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drawings/drawing4.xml" ContentType="application/vnd.openxmlformats-officedocument.drawing+xml"/>
  <Override PartName="/xl/comments3.xml" ContentType="application/vnd.openxmlformats-officedocument.spreadsheetml.comments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comments4.xml" ContentType="application/vnd.openxmlformats-officedocument.spreadsheetml.comments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\Documents\INGENIERIA\informes\4 Informe financiero\2023\07 Julio\"/>
    </mc:Choice>
  </mc:AlternateContent>
  <xr:revisionPtr revIDLastSave="0" documentId="13_ncr:1_{DBE2BAA7-835B-4ACB-B295-30A8C04F1A02}" xr6:coauthVersionLast="36" xr6:coauthVersionMax="36" xr10:uidLastSave="{00000000-0000-0000-0000-000000000000}"/>
  <bookViews>
    <workbookView xWindow="0" yWindow="0" windowWidth="19200" windowHeight="5910" tabRatio="949" activeTab="2" xr2:uid="{00000000-000D-0000-FFFF-FFFF00000000}"/>
  </bookViews>
  <sheets>
    <sheet name="Julio - 2023" sheetId="43" r:id="rId1"/>
    <sheet name="Hoja1" sheetId="42" state="hidden" r:id="rId2"/>
    <sheet name="Adhesiones" sheetId="41" r:id="rId3"/>
    <sheet name="Conciliación Quipu" sheetId="4" r:id="rId4"/>
    <sheet name="Anexo 3-Porcion C-NC" sheetId="3" r:id="rId5"/>
    <sheet name="Cta 11100613" sheetId="6" r:id="rId6"/>
    <sheet name="Cta 29020102" sheetId="7" r:id="rId7"/>
    <sheet name="Cta 29020103 rend" sheetId="37" r:id="rId8"/>
    <sheet name="Cta 19050301" sheetId="29" r:id="rId9"/>
    <sheet name="Mov Cta BBVA" sheetId="40" r:id="rId10"/>
    <sheet name="Mov Cta OCCIDENTE" sheetId="48" r:id="rId11"/>
    <sheet name="Anexo. Matrix" sheetId="47" r:id="rId12"/>
    <sheet name="GMF" sheetId="9" r:id="rId13"/>
    <sheet name="Impuestos" sheetId="8" r:id="rId14"/>
    <sheet name="Anexo 2 Sena" sheetId="2" r:id="rId15"/>
    <sheet name="Anexo 7 Capital Semilla" sheetId="44" r:id="rId16"/>
    <sheet name="Anexo 6 Tauramena" sheetId="11" r:id="rId17"/>
    <sheet name="Anexo 5 Itagüí" sheetId="12" r:id="rId18"/>
    <sheet name="Anexo 7 Villanueva" sheetId="14" r:id="rId19"/>
    <sheet name="Anexo 8 San Juan de Urabá" sheetId="15" r:id="rId20"/>
    <sheet name="Anexo 9 Yarumal" sheetId="16" r:id="rId21"/>
    <sheet name="Anexo 10 Garzón" sheetId="17" r:id="rId22"/>
    <sheet name="Anexo 11 Dpto Sucre" sheetId="18" r:id="rId23"/>
    <sheet name="Anexo 12 Planadas" sheetId="19" r:id="rId24"/>
    <sheet name="Anexo 13 Caldas" sheetId="21" r:id="rId25"/>
    <sheet name="Anexo 14 Bugalagrande" sheetId="22" r:id="rId26"/>
    <sheet name="Anexo 15 Carmen de Viboral" sheetId="23" r:id="rId27"/>
    <sheet name="Anexo 16 Planeta Rica" sheetId="24" r:id="rId28"/>
    <sheet name="Anexo 17 Barrancabermeja" sheetId="25" r:id="rId29"/>
    <sheet name="Anexo 18 Gramalote" sheetId="26" r:id="rId30"/>
    <sheet name="Anexo 19 Pastoral Social" sheetId="27" r:id="rId31"/>
    <sheet name="Anexo 20 Minera de Cobre" sheetId="28" r:id="rId32"/>
    <sheet name="Anexo 21 Ministerio del Interio" sheetId="31" r:id="rId33"/>
    <sheet name="Anexo 22 Municipio Manizales" sheetId="34" r:id="rId34"/>
    <sheet name="Anexo 24 Municipio de la virgin" sheetId="36" r:id="rId35"/>
    <sheet name="Anexo 23 Dpto Norte de Santande" sheetId="35" r:id="rId36"/>
    <sheet name="Anexo 25 Municipio Acacias" sheetId="38" r:id="rId37"/>
    <sheet name="Anexo 26 Distrito Riohacha" sheetId="39" r:id="rId38"/>
    <sheet name="Anexo 4- Relación facturas IVA" sheetId="32" r:id="rId39"/>
  </sheets>
  <externalReferences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</externalReferences>
  <definedNames>
    <definedName name="_xlnm._FilterDatabase" localSheetId="21" hidden="1">'Anexo 10 Garzón'!#REF!</definedName>
    <definedName name="_xlnm._FilterDatabase" localSheetId="22" hidden="1">'Anexo 11 Dpto Sucre'!#REF!</definedName>
    <definedName name="_xlnm._FilterDatabase" localSheetId="23" hidden="1">'Anexo 12 Planadas'!#REF!</definedName>
    <definedName name="_xlnm._FilterDatabase" localSheetId="24" hidden="1">'Anexo 13 Caldas'!#REF!</definedName>
    <definedName name="_xlnm._FilterDatabase" localSheetId="25" hidden="1">'Anexo 14 Bugalagrande'!#REF!</definedName>
    <definedName name="_xlnm._FilterDatabase" localSheetId="26" hidden="1">'Anexo 15 Carmen de Viboral'!#REF!</definedName>
    <definedName name="_xlnm._FilterDatabase" localSheetId="27" hidden="1">'Anexo 16 Planeta Rica'!#REF!</definedName>
    <definedName name="_xlnm._FilterDatabase" localSheetId="28" hidden="1">'Anexo 17 Barrancabermeja'!#REF!</definedName>
    <definedName name="_xlnm._FilterDatabase" localSheetId="29" hidden="1">'Anexo 18 Gramalote'!#REF!</definedName>
    <definedName name="_xlnm._FilterDatabase" localSheetId="30" hidden="1">'Anexo 19 Pastoral Social'!#REF!</definedName>
    <definedName name="_xlnm._FilterDatabase" localSheetId="14" hidden="1">'Anexo 2 Sena'!#REF!</definedName>
    <definedName name="_xlnm._FilterDatabase" localSheetId="31" hidden="1">'Anexo 20 Minera de Cobre'!#REF!</definedName>
    <definedName name="_xlnm._FilterDatabase" localSheetId="32" hidden="1">'Anexo 21 Ministerio del Interio'!#REF!</definedName>
    <definedName name="_xlnm._FilterDatabase" localSheetId="33" hidden="1">'Anexo 22 Municipio Manizales'!#REF!</definedName>
    <definedName name="_xlnm._FilterDatabase" localSheetId="35" hidden="1">'Anexo 23 Dpto Norte de Santande'!#REF!</definedName>
    <definedName name="_xlnm._FilterDatabase" localSheetId="34" hidden="1">'Anexo 24 Municipio de la virgin'!#REF!</definedName>
    <definedName name="_xlnm._FilterDatabase" localSheetId="36" hidden="1">'Anexo 25 Municipio Acacias'!#REF!</definedName>
    <definedName name="_xlnm._FilterDatabase" localSheetId="37" hidden="1">'Anexo 26 Distrito Riohacha'!#REF!</definedName>
    <definedName name="_xlnm._FilterDatabase" localSheetId="17" hidden="1">'Anexo 5 Itagüí'!#REF!</definedName>
    <definedName name="_xlnm._FilterDatabase" localSheetId="16" hidden="1">'Anexo 6 Tauramena'!#REF!</definedName>
    <definedName name="_xlnm._FilterDatabase" localSheetId="15" hidden="1">'Anexo 7 Capital Semilla'!$A$2:$AC$2</definedName>
    <definedName name="_xlnm._FilterDatabase" localSheetId="18" hidden="1">'Anexo 7 Villanueva'!#REF!</definedName>
    <definedName name="_xlnm._FilterDatabase" localSheetId="19" hidden="1">'Anexo 8 San Juan de Urabá'!#REF!</definedName>
    <definedName name="_xlnm._FilterDatabase" localSheetId="20" hidden="1">'Anexo 9 Yarumal'!#REF!</definedName>
    <definedName name="_xlnm._FilterDatabase" localSheetId="5" hidden="1">'Cta 11100613'!#REF!</definedName>
    <definedName name="_xlnm._FilterDatabase" localSheetId="6" hidden="1">'Cta 29020102'!$A$9:$G$25</definedName>
    <definedName name="_xlnm._FilterDatabase" localSheetId="7" hidden="1">'Cta 29020103 rend'!$A$9:$G$20</definedName>
    <definedName name="_xlnm._FilterDatabase" localSheetId="9" hidden="1">'Mov Cta BBVA'!$A$13:$F$13</definedName>
    <definedName name="_xlnm._FilterDatabase" localSheetId="10" hidden="1">'Mov Cta OCCIDENTE'!$A$13:$F$45</definedName>
    <definedName name="_xlnm.Print_Area" localSheetId="2">Adhesiones!$A$1:$O$232</definedName>
    <definedName name="_xlnm.Print_Area" localSheetId="21">'Anexo 10 Garzón'!$A$1:$F$60</definedName>
    <definedName name="_xlnm.Print_Area" localSheetId="22">'Anexo 11 Dpto Sucre'!$A$1:$F$60</definedName>
    <definedName name="_xlnm.Print_Area" localSheetId="23">'Anexo 12 Planadas'!$A$1:$F$60</definedName>
    <definedName name="_xlnm.Print_Area" localSheetId="24">'Anexo 13 Caldas'!$A$1:$F$60</definedName>
    <definedName name="_xlnm.Print_Area" localSheetId="25">'Anexo 14 Bugalagrande'!$A$1:$F$60</definedName>
    <definedName name="_xlnm.Print_Area" localSheetId="26">'Anexo 15 Carmen de Viboral'!$A$1:$F$60</definedName>
    <definedName name="_xlnm.Print_Area" localSheetId="27">'Anexo 16 Planeta Rica'!$A$1:$F$60</definedName>
    <definedName name="_xlnm.Print_Area" localSheetId="28">'Anexo 17 Barrancabermeja'!$A$1:$F$60</definedName>
    <definedName name="_xlnm.Print_Area" localSheetId="29">'Anexo 18 Gramalote'!$A$1:$F$62</definedName>
    <definedName name="_xlnm.Print_Area" localSheetId="30">'Anexo 19 Pastoral Social'!$A$1:$F$63</definedName>
    <definedName name="_xlnm.Print_Area" localSheetId="14">'Anexo 2 Sena'!$A$1:$F$115</definedName>
    <definedName name="_xlnm.Print_Area" localSheetId="31">'Anexo 20 Minera de Cobre'!$A$1:$F$60</definedName>
    <definedName name="_xlnm.Print_Area" localSheetId="32">'Anexo 21 Ministerio del Interio'!$A$1:$F$57</definedName>
    <definedName name="_xlnm.Print_Area" localSheetId="33">'Anexo 22 Municipio Manizales'!$A$1:$F$55</definedName>
    <definedName name="_xlnm.Print_Area" localSheetId="35">'Anexo 23 Dpto Norte de Santande'!$A$1:$F$54</definedName>
    <definedName name="_xlnm.Print_Area" localSheetId="34">'Anexo 24 Municipio de la virgin'!$A$1:$F$54</definedName>
    <definedName name="_xlnm.Print_Area" localSheetId="36">'Anexo 25 Municipio Acacias'!$A$1:$F$52</definedName>
    <definedName name="_xlnm.Print_Area" localSheetId="37">'Anexo 26 Distrito Riohacha'!$A$1:$F$52</definedName>
    <definedName name="_xlnm.Print_Area" localSheetId="4">'Anexo 3-Porcion C-NC'!$A$2:$R$82</definedName>
    <definedName name="_xlnm.Print_Area" localSheetId="17">'Anexo 5 Itagüí'!$A$1:$F$60</definedName>
    <definedName name="_xlnm.Print_Area" localSheetId="16">'Anexo 6 Tauramena'!$A$1:$F$60</definedName>
    <definedName name="_xlnm.Print_Area" localSheetId="18">'Anexo 7 Villanueva'!$A$1:$F$60</definedName>
    <definedName name="_xlnm.Print_Area" localSheetId="19">'Anexo 8 San Juan de Urabá'!$A$1:$F$60</definedName>
    <definedName name="_xlnm.Print_Area" localSheetId="20">'Anexo 9 Yarumal'!$A$1:$F$60</definedName>
    <definedName name="_xlnm.Print_Area" localSheetId="11">'Anexo. Matrix'!$A$1:$F$64</definedName>
    <definedName name="_xlnm.Print_Area" localSheetId="0">'Julio - 2023'!$A$1:$M$161</definedName>
    <definedName name="_xlnm.Print_Area" localSheetId="10">'Mov Cta OCCIDENTE'!$A$1:$I$45</definedName>
    <definedName name="_xlnm.Print_Area">#REF!</definedName>
    <definedName name="_xlnm.Auto_Open" localSheetId="21">#REF!</definedName>
    <definedName name="_xlnm.Auto_Open" localSheetId="22">#REF!</definedName>
    <definedName name="_xlnm.Auto_Open" localSheetId="23">#REF!</definedName>
    <definedName name="_xlnm.Auto_Open" localSheetId="24">#REF!</definedName>
    <definedName name="_xlnm.Auto_Open" localSheetId="25">#REF!</definedName>
    <definedName name="_xlnm.Auto_Open" localSheetId="26">#REF!</definedName>
    <definedName name="_xlnm.Auto_Open" localSheetId="27">#REF!</definedName>
    <definedName name="_xlnm.Auto_Open" localSheetId="28">#REF!</definedName>
    <definedName name="_xlnm.Auto_Open" localSheetId="29">#REF!</definedName>
    <definedName name="_xlnm.Auto_Open" localSheetId="30">#REF!</definedName>
    <definedName name="_xlnm.Auto_Open" localSheetId="14">#REF!</definedName>
    <definedName name="_xlnm.Auto_Open" localSheetId="31">#REF!</definedName>
    <definedName name="_xlnm.Auto_Open" localSheetId="32">#REF!</definedName>
    <definedName name="_xlnm.Auto_Open" localSheetId="33">#REF!</definedName>
    <definedName name="_xlnm.Auto_Open" localSheetId="35">#REF!</definedName>
    <definedName name="_xlnm.Auto_Open" localSheetId="34">#REF!</definedName>
    <definedName name="_xlnm.Auto_Open" localSheetId="36">#REF!</definedName>
    <definedName name="_xlnm.Auto_Open" localSheetId="37">#REF!</definedName>
    <definedName name="_xlnm.Auto_Open" localSheetId="17">#REF!</definedName>
    <definedName name="_xlnm.Auto_Open" localSheetId="16">#REF!</definedName>
    <definedName name="_xlnm.Auto_Open" localSheetId="18">#REF!</definedName>
    <definedName name="_xlnm.Auto_Open" localSheetId="19">#REF!</definedName>
    <definedName name="_xlnm.Auto_Open" localSheetId="20">#REF!</definedName>
    <definedName name="_xlnm.Auto_Open">#REF!</definedName>
    <definedName name="CONCIL" localSheetId="21">#REF!</definedName>
    <definedName name="CONCIL" localSheetId="22">#REF!</definedName>
    <definedName name="CONCIL" localSheetId="23">#REF!</definedName>
    <definedName name="CONCIL" localSheetId="24">#REF!</definedName>
    <definedName name="CONCIL" localSheetId="25">#REF!</definedName>
    <definedName name="CONCIL" localSheetId="26">#REF!</definedName>
    <definedName name="CONCIL" localSheetId="27">#REF!</definedName>
    <definedName name="CONCIL" localSheetId="28">#REF!</definedName>
    <definedName name="CONCIL" localSheetId="29">#REF!</definedName>
    <definedName name="CONCIL" localSheetId="30">#REF!</definedName>
    <definedName name="CONCIL" localSheetId="14">#REF!</definedName>
    <definedName name="CONCIL" localSheetId="31">#REF!</definedName>
    <definedName name="CONCIL" localSheetId="32">#REF!</definedName>
    <definedName name="CONCIL" localSheetId="33">#REF!</definedName>
    <definedName name="CONCIL" localSheetId="35">#REF!</definedName>
    <definedName name="CONCIL" localSheetId="34">#REF!</definedName>
    <definedName name="CONCIL" localSheetId="36">#REF!</definedName>
    <definedName name="CONCIL" localSheetId="37">#REF!</definedName>
    <definedName name="CONCIL" localSheetId="17">#REF!</definedName>
    <definedName name="CONCIL" localSheetId="16">#REF!</definedName>
    <definedName name="CONCIL" localSheetId="18">#REF!</definedName>
    <definedName name="CONCIL" localSheetId="19">#REF!</definedName>
    <definedName name="CONCIL" localSheetId="20">#REF!</definedName>
    <definedName name="CONCIL">#REF!</definedName>
    <definedName name="CONCIL1" localSheetId="21">#REF!</definedName>
    <definedName name="CONCIL1" localSheetId="22">#REF!</definedName>
    <definedName name="CONCIL1" localSheetId="23">#REF!</definedName>
    <definedName name="CONCIL1" localSheetId="24">#REF!</definedName>
    <definedName name="CONCIL1" localSheetId="25">#REF!</definedName>
    <definedName name="CONCIL1" localSheetId="26">#REF!</definedName>
    <definedName name="CONCIL1" localSheetId="27">#REF!</definedName>
    <definedName name="CONCIL1" localSheetId="28">#REF!</definedName>
    <definedName name="CONCIL1" localSheetId="29">#REF!</definedName>
    <definedName name="CONCIL1" localSheetId="30">#REF!</definedName>
    <definedName name="CONCIL1" localSheetId="14">#REF!</definedName>
    <definedName name="CONCIL1" localSheetId="31">#REF!</definedName>
    <definedName name="CONCIL1" localSheetId="32">#REF!</definedName>
    <definedName name="CONCIL1" localSheetId="33">#REF!</definedName>
    <definedName name="CONCIL1" localSheetId="35">#REF!</definedName>
    <definedName name="CONCIL1" localSheetId="34">#REF!</definedName>
    <definedName name="CONCIL1" localSheetId="36">#REF!</definedName>
    <definedName name="CONCIL1" localSheetId="37">#REF!</definedName>
    <definedName name="CONCIL1" localSheetId="17">#REF!</definedName>
    <definedName name="CONCIL1" localSheetId="16">#REF!</definedName>
    <definedName name="CONCIL1" localSheetId="18">#REF!</definedName>
    <definedName name="CONCIL1" localSheetId="19">#REF!</definedName>
    <definedName name="CONCIL1" localSheetId="20">#REF!</definedName>
    <definedName name="CONCIL1">#REF!</definedName>
    <definedName name="CONCIL2" localSheetId="21">#REF!</definedName>
    <definedName name="CONCIL2" localSheetId="22">#REF!</definedName>
    <definedName name="CONCIL2" localSheetId="23">#REF!</definedName>
    <definedName name="CONCIL2" localSheetId="24">#REF!</definedName>
    <definedName name="CONCIL2" localSheetId="25">#REF!</definedName>
    <definedName name="CONCIL2" localSheetId="26">#REF!</definedName>
    <definedName name="CONCIL2" localSheetId="27">#REF!</definedName>
    <definedName name="CONCIL2" localSheetId="28">#REF!</definedName>
    <definedName name="CONCIL2" localSheetId="29">#REF!</definedName>
    <definedName name="CONCIL2" localSheetId="30">#REF!</definedName>
    <definedName name="CONCIL2" localSheetId="14">#REF!</definedName>
    <definedName name="CONCIL2" localSheetId="31">#REF!</definedName>
    <definedName name="CONCIL2" localSheetId="32">#REF!</definedName>
    <definedName name="CONCIL2" localSheetId="33">#REF!</definedName>
    <definedName name="CONCIL2" localSheetId="35">#REF!</definedName>
    <definedName name="CONCIL2" localSheetId="34">#REF!</definedName>
    <definedName name="CONCIL2" localSheetId="36">#REF!</definedName>
    <definedName name="CONCIL2" localSheetId="37">#REF!</definedName>
    <definedName name="CONCIL2" localSheetId="17">#REF!</definedName>
    <definedName name="CONCIL2" localSheetId="16">#REF!</definedName>
    <definedName name="CONCIL2" localSheetId="18">#REF!</definedName>
    <definedName name="CONCIL2" localSheetId="19">#REF!</definedName>
    <definedName name="CONCIL2" localSheetId="20">#REF!</definedName>
    <definedName name="CONCIL2">#REF!</definedName>
    <definedName name="Macro1" localSheetId="21">#REF!</definedName>
    <definedName name="Macro1" localSheetId="22">#REF!</definedName>
    <definedName name="Macro1" localSheetId="23">#REF!</definedName>
    <definedName name="Macro1" localSheetId="24">#REF!</definedName>
    <definedName name="Macro1" localSheetId="25">#REF!</definedName>
    <definedName name="Macro1" localSheetId="26">#REF!</definedName>
    <definedName name="Macro1" localSheetId="27">#REF!</definedName>
    <definedName name="Macro1" localSheetId="28">#REF!</definedName>
    <definedName name="Macro1" localSheetId="29">#REF!</definedName>
    <definedName name="Macro1" localSheetId="30">#REF!</definedName>
    <definedName name="Macro1" localSheetId="14">#REF!</definedName>
    <definedName name="Macro1" localSheetId="31">#REF!</definedName>
    <definedName name="Macro1" localSheetId="32">#REF!</definedName>
    <definedName name="Macro1" localSheetId="33">#REF!</definedName>
    <definedName name="Macro1" localSheetId="35">#REF!</definedName>
    <definedName name="Macro1" localSheetId="34">#REF!</definedName>
    <definedName name="Macro1" localSheetId="36">#REF!</definedName>
    <definedName name="Macro1" localSheetId="37">#REF!</definedName>
    <definedName name="Macro1" localSheetId="17">#REF!</definedName>
    <definedName name="Macro1" localSheetId="16">#REF!</definedName>
    <definedName name="Macro1" localSheetId="18">#REF!</definedName>
    <definedName name="Macro1" localSheetId="19">#REF!</definedName>
    <definedName name="Macro1" localSheetId="20">#REF!</definedName>
    <definedName name="Macro1">#REF!</definedName>
    <definedName name="Macro2" localSheetId="21">#REF!</definedName>
    <definedName name="Macro2" localSheetId="22">#REF!</definedName>
    <definedName name="Macro2" localSheetId="23">#REF!</definedName>
    <definedName name="Macro2" localSheetId="24">#REF!</definedName>
    <definedName name="Macro2" localSheetId="25">#REF!</definedName>
    <definedName name="Macro2" localSheetId="26">#REF!</definedName>
    <definedName name="Macro2" localSheetId="27">#REF!</definedName>
    <definedName name="Macro2" localSheetId="28">#REF!</definedName>
    <definedName name="Macro2" localSheetId="29">#REF!</definedName>
    <definedName name="Macro2" localSheetId="30">#REF!</definedName>
    <definedName name="Macro2" localSheetId="14">#REF!</definedName>
    <definedName name="Macro2" localSheetId="31">#REF!</definedName>
    <definedName name="Macro2" localSheetId="32">#REF!</definedName>
    <definedName name="Macro2" localSheetId="33">#REF!</definedName>
    <definedName name="Macro2" localSheetId="35">#REF!</definedName>
    <definedName name="Macro2" localSheetId="34">#REF!</definedName>
    <definedName name="Macro2" localSheetId="36">#REF!</definedName>
    <definedName name="Macro2" localSheetId="37">#REF!</definedName>
    <definedName name="Macro2" localSheetId="17">#REF!</definedName>
    <definedName name="Macro2" localSheetId="16">#REF!</definedName>
    <definedName name="Macro2" localSheetId="18">#REF!</definedName>
    <definedName name="Macro2" localSheetId="19">#REF!</definedName>
    <definedName name="Macro2" localSheetId="20">#REF!</definedName>
    <definedName name="Macro2">#REF!</definedName>
    <definedName name="Macro3" localSheetId="21">#REF!</definedName>
    <definedName name="Macro3" localSheetId="22">#REF!</definedName>
    <definedName name="Macro3" localSheetId="23">#REF!</definedName>
    <definedName name="Macro3" localSheetId="24">#REF!</definedName>
    <definedName name="Macro3" localSheetId="25">#REF!</definedName>
    <definedName name="Macro3" localSheetId="26">#REF!</definedName>
    <definedName name="Macro3" localSheetId="27">#REF!</definedName>
    <definedName name="Macro3" localSheetId="28">#REF!</definedName>
    <definedName name="Macro3" localSheetId="29">#REF!</definedName>
    <definedName name="Macro3" localSheetId="30">#REF!</definedName>
    <definedName name="Macro3" localSheetId="14">#REF!</definedName>
    <definedName name="Macro3" localSheetId="31">#REF!</definedName>
    <definedName name="Macro3" localSheetId="32">#REF!</definedName>
    <definedName name="Macro3" localSheetId="33">#REF!</definedName>
    <definedName name="Macro3" localSheetId="35">#REF!</definedName>
    <definedName name="Macro3" localSheetId="34">#REF!</definedName>
    <definedName name="Macro3" localSheetId="36">#REF!</definedName>
    <definedName name="Macro3" localSheetId="37">#REF!</definedName>
    <definedName name="Macro3" localSheetId="17">#REF!</definedName>
    <definedName name="Macro3" localSheetId="16">#REF!</definedName>
    <definedName name="Macro3" localSheetId="18">#REF!</definedName>
    <definedName name="Macro3" localSheetId="19">#REF!</definedName>
    <definedName name="Macro3" localSheetId="20">#REF!</definedName>
    <definedName name="Macro3">#REF!</definedName>
    <definedName name="Macro4" localSheetId="21">#REF!</definedName>
    <definedName name="Macro4" localSheetId="22">#REF!</definedName>
    <definedName name="Macro4" localSheetId="23">#REF!</definedName>
    <definedName name="Macro4" localSheetId="24">#REF!</definedName>
    <definedName name="Macro4" localSheetId="25">#REF!</definedName>
    <definedName name="Macro4" localSheetId="26">#REF!</definedName>
    <definedName name="Macro4" localSheetId="27">#REF!</definedName>
    <definedName name="Macro4" localSheetId="28">#REF!</definedName>
    <definedName name="Macro4" localSheetId="29">#REF!</definedName>
    <definedName name="Macro4" localSheetId="30">#REF!</definedName>
    <definedName name="Macro4" localSheetId="14">#REF!</definedName>
    <definedName name="Macro4" localSheetId="31">#REF!</definedName>
    <definedName name="Macro4" localSheetId="32">#REF!</definedName>
    <definedName name="Macro4" localSheetId="33">#REF!</definedName>
    <definedName name="Macro4" localSheetId="35">#REF!</definedName>
    <definedName name="Macro4" localSheetId="34">#REF!</definedName>
    <definedName name="Macro4" localSheetId="36">#REF!</definedName>
    <definedName name="Macro4" localSheetId="37">#REF!</definedName>
    <definedName name="Macro4" localSheetId="17">#REF!</definedName>
    <definedName name="Macro4" localSheetId="16">#REF!</definedName>
    <definedName name="Macro4" localSheetId="18">#REF!</definedName>
    <definedName name="Macro4" localSheetId="19">#REF!</definedName>
    <definedName name="Macro4" localSheetId="20">#REF!</definedName>
    <definedName name="Macro4">#REF!</definedName>
    <definedName name="Macro5" localSheetId="21">#REF!</definedName>
    <definedName name="Macro5" localSheetId="22">#REF!</definedName>
    <definedName name="Macro5" localSheetId="23">#REF!</definedName>
    <definedName name="Macro5" localSheetId="24">#REF!</definedName>
    <definedName name="Macro5" localSheetId="25">#REF!</definedName>
    <definedName name="Macro5" localSheetId="26">#REF!</definedName>
    <definedName name="Macro5" localSheetId="27">#REF!</definedName>
    <definedName name="Macro5" localSheetId="28">#REF!</definedName>
    <definedName name="Macro5" localSheetId="29">#REF!</definedName>
    <definedName name="Macro5" localSheetId="30">#REF!</definedName>
    <definedName name="Macro5" localSheetId="14">#REF!</definedName>
    <definedName name="Macro5" localSheetId="31">#REF!</definedName>
    <definedName name="Macro5" localSheetId="32">#REF!</definedName>
    <definedName name="Macro5" localSheetId="33">#REF!</definedName>
    <definedName name="Macro5" localSheetId="35">#REF!</definedName>
    <definedName name="Macro5" localSheetId="34">#REF!</definedName>
    <definedName name="Macro5" localSheetId="36">#REF!</definedName>
    <definedName name="Macro5" localSheetId="37">#REF!</definedName>
    <definedName name="Macro5" localSheetId="17">#REF!</definedName>
    <definedName name="Macro5" localSheetId="16">#REF!</definedName>
    <definedName name="Macro5" localSheetId="18">#REF!</definedName>
    <definedName name="Macro5" localSheetId="19">#REF!</definedName>
    <definedName name="Macro5" localSheetId="20">#REF!</definedName>
    <definedName name="Macro5">#REF!</definedName>
    <definedName name="NombreTabla">"Dummy"</definedName>
    <definedName name="Recover" localSheetId="21">#REF!</definedName>
    <definedName name="Recover" localSheetId="22">#REF!</definedName>
    <definedName name="Recover" localSheetId="23">#REF!</definedName>
    <definedName name="Recover" localSheetId="24">#REF!</definedName>
    <definedName name="Recover" localSheetId="25">#REF!</definedName>
    <definedName name="Recover" localSheetId="26">#REF!</definedName>
    <definedName name="Recover" localSheetId="27">#REF!</definedName>
    <definedName name="Recover" localSheetId="28">#REF!</definedName>
    <definedName name="Recover" localSheetId="29">#REF!</definedName>
    <definedName name="Recover" localSheetId="30">#REF!</definedName>
    <definedName name="Recover" localSheetId="14">#REF!</definedName>
    <definedName name="Recover" localSheetId="31">#REF!</definedName>
    <definedName name="Recover" localSheetId="32">#REF!</definedName>
    <definedName name="Recover" localSheetId="33">#REF!</definedName>
    <definedName name="Recover" localSheetId="35">#REF!</definedName>
    <definedName name="Recover" localSheetId="34">#REF!</definedName>
    <definedName name="Recover" localSheetId="36">#REF!</definedName>
    <definedName name="Recover" localSheetId="37">#REF!</definedName>
    <definedName name="Recover" localSheetId="17">#REF!</definedName>
    <definedName name="Recover" localSheetId="16">#REF!</definedName>
    <definedName name="Recover" localSheetId="18">#REF!</definedName>
    <definedName name="Recover" localSheetId="19">#REF!</definedName>
    <definedName name="Recover" localSheetId="20">#REF!</definedName>
    <definedName name="Recover">#REF!</definedName>
    <definedName name="TableName">"Dummy"</definedName>
    <definedName name="_xlnm.Print_Titles" localSheetId="2">Adhesiones!$1:$1</definedName>
    <definedName name="_xlnm.Print_Titles" localSheetId="0">'Julio - 2023'!$1:$3</definedName>
  </definedNames>
  <calcPr calcId="191029"/>
</workbook>
</file>

<file path=xl/calcChain.xml><?xml version="1.0" encoding="utf-8"?>
<calcChain xmlns="http://schemas.openxmlformats.org/spreadsheetml/2006/main">
  <c r="E32" i="39" l="1"/>
  <c r="E32" i="38"/>
  <c r="B64" i="3"/>
  <c r="B46" i="3"/>
  <c r="B36" i="3" l="1"/>
  <c r="B35" i="3"/>
  <c r="B34" i="3"/>
  <c r="B33" i="3"/>
  <c r="B32" i="3"/>
  <c r="B30" i="3"/>
  <c r="B29" i="3"/>
  <c r="B28" i="3"/>
  <c r="B27" i="3"/>
  <c r="B26" i="3"/>
  <c r="B25" i="3"/>
  <c r="B24" i="3"/>
  <c r="B23" i="3"/>
  <c r="B22" i="3"/>
  <c r="B21" i="3"/>
  <c r="B20" i="3"/>
  <c r="B19" i="3"/>
  <c r="B18" i="3"/>
  <c r="B17" i="3"/>
  <c r="B16" i="3"/>
  <c r="B15" i="3"/>
  <c r="B65" i="3"/>
  <c r="B63" i="3"/>
  <c r="B62" i="3"/>
  <c r="B61" i="3"/>
  <c r="B59" i="3"/>
  <c r="B58" i="3"/>
  <c r="B57" i="3"/>
  <c r="B56" i="3"/>
  <c r="B55" i="3"/>
  <c r="B54" i="3"/>
  <c r="B53" i="3"/>
  <c r="B52" i="3"/>
  <c r="B51" i="3"/>
  <c r="B50" i="3"/>
  <c r="B49" i="3"/>
  <c r="B48" i="3"/>
  <c r="B47" i="3"/>
  <c r="B45" i="3"/>
  <c r="B44" i="3"/>
  <c r="D90" i="43" l="1"/>
  <c r="E97" i="2"/>
  <c r="H100" i="2" s="1"/>
  <c r="H101" i="2" s="1"/>
  <c r="H103" i="2" s="1"/>
  <c r="H99" i="2"/>
  <c r="G99" i="2"/>
  <c r="C82" i="41"/>
  <c r="G28" i="7" l="1"/>
  <c r="F28" i="7"/>
  <c r="G23" i="37" l="1"/>
  <c r="F23" i="37"/>
  <c r="G88" i="2"/>
  <c r="F88" i="2" l="1"/>
  <c r="F16" i="29"/>
  <c r="H11" i="6"/>
  <c r="B39" i="8"/>
  <c r="F61" i="4"/>
  <c r="D75" i="8"/>
  <c r="E75" i="8" s="1"/>
  <c r="F9" i="27"/>
  <c r="F9" i="26"/>
  <c r="I9" i="47"/>
  <c r="E25" i="47"/>
  <c r="F20" i="48"/>
  <c r="H88" i="2"/>
  <c r="B84" i="9"/>
  <c r="F82" i="9"/>
  <c r="E82" i="9"/>
  <c r="D82" i="9"/>
  <c r="C82" i="9"/>
  <c r="B82" i="9"/>
  <c r="G65" i="8"/>
  <c r="F65" i="8"/>
  <c r="E65" i="8"/>
  <c r="D65" i="8"/>
  <c r="B65" i="8"/>
  <c r="B66" i="8" s="1"/>
  <c r="B60" i="3"/>
  <c r="J24" i="41"/>
  <c r="M24" i="41" s="1"/>
  <c r="O24" i="41" s="1"/>
  <c r="J22" i="41"/>
  <c r="L24" i="41"/>
  <c r="K24" i="41"/>
  <c r="J23" i="41"/>
  <c r="M23" i="41" s="1"/>
  <c r="F24" i="41"/>
  <c r="B23" i="41"/>
  <c r="N23" i="41" l="1"/>
  <c r="O23" i="41"/>
  <c r="L23" i="41"/>
  <c r="K23" i="41"/>
  <c r="E55" i="41"/>
  <c r="N24" i="41"/>
  <c r="F55" i="41" l="1"/>
  <c r="I55" i="41" s="1"/>
  <c r="G55" i="41"/>
  <c r="J55" i="41" s="1"/>
  <c r="H55" i="41"/>
  <c r="E110" i="4"/>
  <c r="F81" i="2" l="1"/>
  <c r="F76" i="2"/>
  <c r="F68" i="2"/>
  <c r="E82" i="2"/>
  <c r="E63" i="4" s="1"/>
  <c r="D83" i="4"/>
  <c r="C43" i="4"/>
  <c r="D43" i="4"/>
  <c r="D44" i="4" s="1"/>
  <c r="E43" i="4" l="1"/>
  <c r="J18" i="41" l="1"/>
  <c r="E65" i="41"/>
  <c r="L24" i="43"/>
  <c r="F96" i="43" l="1"/>
  <c r="K127" i="41"/>
  <c r="J213" i="41" l="1"/>
  <c r="K211" i="41"/>
  <c r="K210" i="41"/>
  <c r="K189" i="41"/>
  <c r="K188" i="41"/>
  <c r="K133" i="41"/>
  <c r="J109" i="41"/>
  <c r="K107" i="41"/>
  <c r="L22" i="41" l="1"/>
  <c r="D145" i="43" l="1"/>
  <c r="H8" i="40" l="1"/>
  <c r="I7" i="40"/>
  <c r="I9" i="40"/>
  <c r="I6" i="40"/>
  <c r="K7" i="32" l="1"/>
  <c r="H13" i="32" s="1"/>
  <c r="J7" i="32"/>
  <c r="H12" i="32" s="1"/>
  <c r="H14" i="32" s="1"/>
  <c r="H7" i="32"/>
  <c r="I6" i="32"/>
  <c r="I7" i="32" s="1"/>
  <c r="H9" i="32" s="1"/>
  <c r="H11" i="32" s="1"/>
  <c r="L6" i="32" l="1"/>
  <c r="L7" i="32" s="1"/>
  <c r="A33" i="39" l="1"/>
  <c r="A33" i="38"/>
  <c r="A35" i="35"/>
  <c r="A35" i="36"/>
  <c r="A36" i="34"/>
  <c r="A38" i="31"/>
  <c r="A41" i="28"/>
  <c r="A41" i="27"/>
  <c r="A41" i="26"/>
  <c r="A41" i="25"/>
  <c r="A41" i="24"/>
  <c r="A41" i="23"/>
  <c r="A41" i="22"/>
  <c r="A41" i="21"/>
  <c r="A43" i="21"/>
  <c r="A41" i="19"/>
  <c r="A41" i="18"/>
  <c r="A41" i="17"/>
  <c r="A41" i="16"/>
  <c r="A41" i="15"/>
  <c r="A41" i="14"/>
  <c r="A41" i="12"/>
  <c r="G31" i="39" l="1"/>
  <c r="G31" i="38"/>
  <c r="G33" i="35"/>
  <c r="G33" i="36"/>
  <c r="G34" i="34"/>
  <c r="G36" i="31"/>
  <c r="G39" i="28"/>
  <c r="G39" i="27"/>
  <c r="G39" i="26"/>
  <c r="G39" i="25"/>
  <c r="G39" i="24"/>
  <c r="G39" i="23"/>
  <c r="G39" i="22"/>
  <c r="G39" i="21"/>
  <c r="G39" i="19"/>
  <c r="G39" i="18"/>
  <c r="G39" i="17"/>
  <c r="G39" i="16"/>
  <c r="G39" i="15"/>
  <c r="G39" i="14"/>
  <c r="G39" i="12"/>
  <c r="D142" i="43" l="1"/>
  <c r="H5" i="48" l="1"/>
  <c r="G20" i="47" l="1"/>
  <c r="G39" i="11" l="1"/>
  <c r="E138" i="43"/>
  <c r="G124" i="4" l="1"/>
  <c r="G123" i="4"/>
  <c r="G122" i="4"/>
  <c r="F124" i="4"/>
  <c r="F123" i="4"/>
  <c r="F122" i="4"/>
  <c r="D85" i="41" l="1"/>
  <c r="D89" i="43" l="1"/>
  <c r="K190" i="41" l="1"/>
  <c r="J117" i="41"/>
  <c r="K116" i="41"/>
  <c r="K115" i="41"/>
  <c r="K114" i="41"/>
  <c r="K108" i="41"/>
  <c r="K109" i="41" s="1"/>
  <c r="K117" i="41" l="1"/>
  <c r="H5" i="40" l="1"/>
  <c r="D22" i="40"/>
  <c r="G19" i="47" l="1"/>
  <c r="F35" i="39" l="1"/>
  <c r="F9" i="39" s="1"/>
  <c r="E26" i="39"/>
  <c r="F35" i="38"/>
  <c r="F9" i="38" s="1"/>
  <c r="E26" i="38"/>
  <c r="F37" i="35"/>
  <c r="G20" i="35"/>
  <c r="E20" i="35"/>
  <c r="G19" i="35"/>
  <c r="F9" i="35"/>
  <c r="H38" i="36"/>
  <c r="F37" i="36"/>
  <c r="G20" i="36"/>
  <c r="E20" i="36"/>
  <c r="G19" i="36"/>
  <c r="F9" i="36"/>
  <c r="F38" i="34"/>
  <c r="G21" i="34"/>
  <c r="E21" i="34"/>
  <c r="G20" i="34"/>
  <c r="F9" i="34"/>
  <c r="F40" i="31"/>
  <c r="F9" i="31" s="1"/>
  <c r="G23" i="31"/>
  <c r="E23" i="31"/>
  <c r="G22" i="31"/>
  <c r="E22" i="31"/>
  <c r="G19" i="31"/>
  <c r="E19" i="31"/>
  <c r="F43" i="28"/>
  <c r="F9" i="28" s="1"/>
  <c r="G26" i="28"/>
  <c r="E26" i="28"/>
  <c r="G19" i="28"/>
  <c r="E19" i="28"/>
  <c r="E18" i="28"/>
  <c r="E43" i="27"/>
  <c r="F42" i="27"/>
  <c r="G26" i="27"/>
  <c r="E26" i="27"/>
  <c r="G19" i="27"/>
  <c r="E19" i="27"/>
  <c r="F46" i="27"/>
  <c r="F42" i="26"/>
  <c r="G26" i="26"/>
  <c r="E26" i="26"/>
  <c r="G19" i="26"/>
  <c r="E19" i="26"/>
  <c r="F45" i="26"/>
  <c r="F43" i="25"/>
  <c r="F9" i="25" s="1"/>
  <c r="G26" i="25"/>
  <c r="E26" i="25"/>
  <c r="G19" i="25"/>
  <c r="E19" i="25"/>
  <c r="F43" i="24"/>
  <c r="F9" i="24" s="1"/>
  <c r="G26" i="24"/>
  <c r="E26" i="24"/>
  <c r="G19" i="24"/>
  <c r="E19" i="24"/>
  <c r="F43" i="23"/>
  <c r="F9" i="23" s="1"/>
  <c r="G26" i="23"/>
  <c r="E26" i="23"/>
  <c r="G19" i="23"/>
  <c r="E19" i="23"/>
  <c r="G17" i="23"/>
  <c r="E17" i="23"/>
  <c r="F43" i="22"/>
  <c r="F9" i="22" s="1"/>
  <c r="G26" i="22"/>
  <c r="E26" i="22"/>
  <c r="G17" i="22"/>
  <c r="E17" i="22"/>
  <c r="F43" i="21"/>
  <c r="F9" i="21" s="1"/>
  <c r="G26" i="21"/>
  <c r="E26" i="21"/>
  <c r="G19" i="21"/>
  <c r="E19" i="21"/>
  <c r="F43" i="19"/>
  <c r="F9" i="19" s="1"/>
  <c r="G26" i="19"/>
  <c r="E26" i="19"/>
  <c r="G19" i="19"/>
  <c r="E19" i="19"/>
  <c r="F43" i="18"/>
  <c r="F9" i="18" s="1"/>
  <c r="G26" i="18"/>
  <c r="E26" i="18"/>
  <c r="G20" i="18"/>
  <c r="E20" i="18"/>
  <c r="F43" i="17"/>
  <c r="F9" i="17" s="1"/>
  <c r="G33" i="17"/>
  <c r="E33" i="17"/>
  <c r="G26" i="17"/>
  <c r="E26" i="17"/>
  <c r="G17" i="17"/>
  <c r="E17" i="17"/>
  <c r="F43" i="16"/>
  <c r="F9" i="16" s="1"/>
  <c r="G26" i="16"/>
  <c r="E26" i="16"/>
  <c r="G19" i="16"/>
  <c r="E19" i="16"/>
  <c r="F43" i="15"/>
  <c r="F9" i="15" s="1"/>
  <c r="G26" i="15"/>
  <c r="E26" i="15"/>
  <c r="G25" i="15"/>
  <c r="G22" i="15"/>
  <c r="E22" i="15"/>
  <c r="F43" i="14"/>
  <c r="F9" i="14" s="1"/>
  <c r="G26" i="14"/>
  <c r="E26" i="14"/>
  <c r="G25" i="14"/>
  <c r="G19" i="14"/>
  <c r="E19" i="14"/>
  <c r="F43" i="12"/>
  <c r="A43" i="12"/>
  <c r="A43" i="14" s="1"/>
  <c r="A43" i="15" s="1"/>
  <c r="A43" i="16" s="1"/>
  <c r="A43" i="17" s="1"/>
  <c r="A43" i="18" s="1"/>
  <c r="A43" i="19" s="1"/>
  <c r="A43" i="22" s="1"/>
  <c r="A43" i="23" s="1"/>
  <c r="A43" i="24" s="1"/>
  <c r="A43" i="25" s="1"/>
  <c r="A45" i="26" s="1"/>
  <c r="A46" i="27" s="1"/>
  <c r="A43" i="28" s="1"/>
  <c r="A40" i="31" s="1"/>
  <c r="A38" i="34" s="1"/>
  <c r="A37" i="36" s="1"/>
  <c r="A37" i="35" s="1"/>
  <c r="A35" i="38" s="1"/>
  <c r="A35" i="39" s="1"/>
  <c r="A40" i="12"/>
  <c r="A40" i="14" s="1"/>
  <c r="A40" i="15" s="1"/>
  <c r="A40" i="16" s="1"/>
  <c r="A40" i="17" s="1"/>
  <c r="A40" i="18" s="1"/>
  <c r="A40" i="19" s="1"/>
  <c r="A40" i="21" s="1"/>
  <c r="A40" i="22" s="1"/>
  <c r="A40" i="23" s="1"/>
  <c r="A40" i="24" s="1"/>
  <c r="A40" i="25" s="1"/>
  <c r="A40" i="26" s="1"/>
  <c r="A40" i="27" s="1"/>
  <c r="A40" i="28" s="1"/>
  <c r="A37" i="31" s="1"/>
  <c r="A35" i="34" s="1"/>
  <c r="A34" i="36" s="1"/>
  <c r="A34" i="35" s="1"/>
  <c r="A32" i="38" s="1"/>
  <c r="A32" i="39" s="1"/>
  <c r="A39" i="12"/>
  <c r="A39" i="14" s="1"/>
  <c r="A39" i="15" s="1"/>
  <c r="A39" i="16" s="1"/>
  <c r="A39" i="17" s="1"/>
  <c r="A39" i="18" s="1"/>
  <c r="A39" i="19" s="1"/>
  <c r="A39" i="21" s="1"/>
  <c r="A39" i="22" s="1"/>
  <c r="A39" i="23" s="1"/>
  <c r="A39" i="24" s="1"/>
  <c r="A39" i="25" s="1"/>
  <c r="A39" i="26" s="1"/>
  <c r="A39" i="27" s="1"/>
  <c r="A39" i="28" s="1"/>
  <c r="A36" i="31" s="1"/>
  <c r="A34" i="34" s="1"/>
  <c r="A33" i="36" s="1"/>
  <c r="A33" i="35" s="1"/>
  <c r="A31" i="38" s="1"/>
  <c r="A31" i="39" s="1"/>
  <c r="G26" i="12"/>
  <c r="E26" i="12"/>
  <c r="G25" i="12"/>
  <c r="E11" i="12"/>
  <c r="F9" i="12"/>
  <c r="A9" i="12"/>
  <c r="A9" i="14" s="1"/>
  <c r="A9" i="15" s="1"/>
  <c r="A9" i="16" s="1"/>
  <c r="A9" i="17" s="1"/>
  <c r="A9" i="18" s="1"/>
  <c r="A9" i="19" s="1"/>
  <c r="A9" i="21" s="1"/>
  <c r="A9" i="22" s="1"/>
  <c r="A9" i="23" s="1"/>
  <c r="A9" i="24" s="1"/>
  <c r="A9" i="25" s="1"/>
  <c r="A9" i="26" s="1"/>
  <c r="A9" i="27" s="1"/>
  <c r="A9" i="28" s="1"/>
  <c r="A9" i="31" s="1"/>
  <c r="A9" i="34" s="1"/>
  <c r="A9" i="36" s="1"/>
  <c r="A9" i="35" s="1"/>
  <c r="A9" i="38" s="1"/>
  <c r="A9" i="39" s="1"/>
  <c r="A4" i="12"/>
  <c r="A4" i="14" s="1"/>
  <c r="A4" i="15" s="1"/>
  <c r="A4" i="16" s="1"/>
  <c r="A4" i="17" s="1"/>
  <c r="A4" i="18" s="1"/>
  <c r="A4" i="19" s="1"/>
  <c r="A4" i="21" s="1"/>
  <c r="A4" i="22" s="1"/>
  <c r="A4" i="23" s="1"/>
  <c r="A4" i="24" s="1"/>
  <c r="A4" i="25" s="1"/>
  <c r="A4" i="26" s="1"/>
  <c r="A4" i="27" s="1"/>
  <c r="A4" i="28" s="1"/>
  <c r="A4" i="31" s="1"/>
  <c r="A4" i="34" s="1"/>
  <c r="A4" i="36" s="1"/>
  <c r="A4" i="35" s="1"/>
  <c r="A4" i="38" s="1"/>
  <c r="A4" i="39" s="1"/>
  <c r="F43" i="11"/>
  <c r="F9" i="11" s="1"/>
  <c r="G26" i="11"/>
  <c r="E26" i="11"/>
  <c r="G19" i="11"/>
  <c r="E19" i="11"/>
  <c r="G17" i="11"/>
  <c r="E17" i="11"/>
  <c r="E96" i="2"/>
  <c r="F99" i="2" s="1"/>
  <c r="E95" i="2"/>
  <c r="F84" i="2"/>
  <c r="F64" i="2"/>
  <c r="F56" i="2"/>
  <c r="F52" i="2"/>
  <c r="F44" i="2"/>
  <c r="H43" i="2"/>
  <c r="G43" i="2"/>
  <c r="F40" i="2"/>
  <c r="F32" i="2"/>
  <c r="F28" i="2"/>
  <c r="F20" i="2"/>
  <c r="F16" i="2"/>
  <c r="F8" i="2"/>
  <c r="D74" i="8"/>
  <c r="E74" i="8" s="1"/>
  <c r="D73" i="8"/>
  <c r="E73" i="8" s="1"/>
  <c r="D72" i="8"/>
  <c r="E71" i="8"/>
  <c r="C66" i="8"/>
  <c r="H55" i="8"/>
  <c r="H54" i="8"/>
  <c r="H53" i="8"/>
  <c r="H44" i="8"/>
  <c r="H43" i="8"/>
  <c r="B38" i="8"/>
  <c r="B11" i="8"/>
  <c r="B7" i="9"/>
  <c r="G42" i="47"/>
  <c r="G27" i="47"/>
  <c r="I7" i="47"/>
  <c r="E45" i="48"/>
  <c r="B5" i="48" s="1"/>
  <c r="D45" i="48"/>
  <c r="B6" i="48" s="1"/>
  <c r="F14" i="48"/>
  <c r="F15" i="48" s="1"/>
  <c r="F16" i="48" s="1"/>
  <c r="F17" i="48" s="1"/>
  <c r="F18" i="48" s="1"/>
  <c r="F19" i="48" s="1"/>
  <c r="F21" i="48" s="1"/>
  <c r="F22" i="48" s="1"/>
  <c r="F23" i="48" s="1"/>
  <c r="F24" i="48" s="1"/>
  <c r="F25" i="48" s="1"/>
  <c r="F26" i="48" s="1"/>
  <c r="F27" i="48" s="1"/>
  <c r="F28" i="48" s="1"/>
  <c r="F29" i="48" s="1"/>
  <c r="F30" i="48" s="1"/>
  <c r="F31" i="48" s="1"/>
  <c r="F32" i="48" s="1"/>
  <c r="F33" i="48" s="1"/>
  <c r="F34" i="48" s="1"/>
  <c r="F35" i="48" s="1"/>
  <c r="F36" i="48" s="1"/>
  <c r="F37" i="48" s="1"/>
  <c r="F38" i="48" s="1"/>
  <c r="F39" i="48" s="1"/>
  <c r="F40" i="48" s="1"/>
  <c r="F41" i="48" s="1"/>
  <c r="F42" i="48" s="1"/>
  <c r="F43" i="48" s="1"/>
  <c r="F44" i="48" s="1"/>
  <c r="H10" i="48"/>
  <c r="J8" i="48"/>
  <c r="E22" i="40"/>
  <c r="B5" i="40" s="1"/>
  <c r="B6" i="40"/>
  <c r="F14" i="40"/>
  <c r="F15" i="40" s="1"/>
  <c r="F16" i="40" s="1"/>
  <c r="F17" i="40" s="1"/>
  <c r="F18" i="40" s="1"/>
  <c r="F19" i="40" s="1"/>
  <c r="F20" i="40" s="1"/>
  <c r="F21" i="40" s="1"/>
  <c r="I11" i="40"/>
  <c r="H11" i="40"/>
  <c r="G19" i="29"/>
  <c r="D91" i="4" s="1"/>
  <c r="D92" i="4" s="1"/>
  <c r="E90" i="4" s="1"/>
  <c r="G16" i="29"/>
  <c r="H27" i="37"/>
  <c r="G26" i="37"/>
  <c r="H89" i="2" s="1"/>
  <c r="G31" i="7"/>
  <c r="C11" i="3" s="1"/>
  <c r="G16" i="6"/>
  <c r="F16" i="6"/>
  <c r="F19" i="6" s="1"/>
  <c r="E112" i="3"/>
  <c r="D112" i="3"/>
  <c r="E111" i="3"/>
  <c r="F111" i="3" s="1"/>
  <c r="C36" i="3" s="1"/>
  <c r="E110" i="3"/>
  <c r="F110" i="3" s="1"/>
  <c r="C35" i="3" s="1"/>
  <c r="E109" i="3"/>
  <c r="F109" i="3" s="1"/>
  <c r="C34" i="3" s="1"/>
  <c r="E108" i="3"/>
  <c r="F108" i="3" s="1"/>
  <c r="C33" i="3" s="1"/>
  <c r="E107" i="3"/>
  <c r="F107" i="3" s="1"/>
  <c r="C32" i="3" s="1"/>
  <c r="E106" i="3"/>
  <c r="F106" i="3" s="1"/>
  <c r="E105" i="3"/>
  <c r="F105" i="3" s="1"/>
  <c r="D105" i="3"/>
  <c r="E104" i="3"/>
  <c r="F104" i="3" s="1"/>
  <c r="E103" i="3"/>
  <c r="F103" i="3" s="1"/>
  <c r="E102" i="3"/>
  <c r="F102" i="3" s="1"/>
  <c r="C27" i="3" s="1"/>
  <c r="E101" i="3"/>
  <c r="F101" i="3" s="1"/>
  <c r="E100" i="3"/>
  <c r="F100" i="3" s="1"/>
  <c r="E99" i="3"/>
  <c r="F99" i="3" s="1"/>
  <c r="K24" i="3" s="1"/>
  <c r="E98" i="3"/>
  <c r="F98" i="3" s="1"/>
  <c r="K23" i="3" s="1"/>
  <c r="E97" i="3"/>
  <c r="F97" i="3" s="1"/>
  <c r="E96" i="3"/>
  <c r="F96" i="3" s="1"/>
  <c r="E95" i="3"/>
  <c r="F95" i="3" s="1"/>
  <c r="K20" i="3" s="1"/>
  <c r="E94" i="3"/>
  <c r="F94" i="3" s="1"/>
  <c r="K19" i="3" s="1"/>
  <c r="E93" i="3"/>
  <c r="F93" i="3" s="1"/>
  <c r="K18" i="3" s="1"/>
  <c r="E92" i="3"/>
  <c r="F92" i="3" s="1"/>
  <c r="E91" i="3"/>
  <c r="F91" i="3" s="1"/>
  <c r="K16" i="3" s="1"/>
  <c r="E90" i="3"/>
  <c r="F90" i="3" s="1"/>
  <c r="K15" i="3" s="1"/>
  <c r="F65" i="3"/>
  <c r="F64" i="3"/>
  <c r="F63" i="3"/>
  <c r="D62" i="3"/>
  <c r="F61" i="3"/>
  <c r="F60" i="3"/>
  <c r="D60" i="3"/>
  <c r="F59" i="3"/>
  <c r="D59" i="3"/>
  <c r="D58" i="3"/>
  <c r="D57" i="3"/>
  <c r="F57" i="3"/>
  <c r="F56" i="3"/>
  <c r="F55" i="3"/>
  <c r="D55" i="3"/>
  <c r="D54" i="3"/>
  <c r="F53" i="3"/>
  <c r="F52" i="3"/>
  <c r="F51" i="3"/>
  <c r="D50" i="3"/>
  <c r="F49" i="3"/>
  <c r="F48" i="3"/>
  <c r="F47" i="3"/>
  <c r="D46" i="3"/>
  <c r="F45" i="3"/>
  <c r="G44" i="11"/>
  <c r="G45" i="11" s="1"/>
  <c r="I35" i="39"/>
  <c r="H35" i="3"/>
  <c r="H34" i="3"/>
  <c r="G37" i="36"/>
  <c r="H37" i="36" s="1"/>
  <c r="H32" i="3"/>
  <c r="H30" i="3"/>
  <c r="I43" i="28"/>
  <c r="I43" i="25"/>
  <c r="H27" i="3"/>
  <c r="H26" i="3"/>
  <c r="H25" i="3"/>
  <c r="H24" i="3"/>
  <c r="I43" i="19"/>
  <c r="H22" i="3"/>
  <c r="I43" i="12"/>
  <c r="I45" i="26"/>
  <c r="H18" i="3"/>
  <c r="H17" i="3"/>
  <c r="I43" i="14"/>
  <c r="H15" i="3"/>
  <c r="E113" i="4"/>
  <c r="E41" i="4"/>
  <c r="E40" i="4"/>
  <c r="E39" i="4"/>
  <c r="E38" i="4"/>
  <c r="E37" i="4"/>
  <c r="C36" i="4"/>
  <c r="C44" i="4" s="1"/>
  <c r="E35" i="4"/>
  <c r="E34" i="4"/>
  <c r="E33" i="4"/>
  <c r="E32" i="4"/>
  <c r="E31" i="4"/>
  <c r="E30" i="4"/>
  <c r="E29" i="4"/>
  <c r="E28" i="4"/>
  <c r="E27" i="4"/>
  <c r="E26" i="4"/>
  <c r="E25" i="4"/>
  <c r="E24" i="4"/>
  <c r="E23" i="4"/>
  <c r="E22" i="4"/>
  <c r="E21" i="4"/>
  <c r="E20" i="4"/>
  <c r="E19" i="4"/>
  <c r="E18" i="4"/>
  <c r="E16" i="4"/>
  <c r="E15" i="4"/>
  <c r="E14" i="4"/>
  <c r="E13" i="4"/>
  <c r="C12" i="4"/>
  <c r="E12" i="4" s="1"/>
  <c r="E11" i="4"/>
  <c r="E10" i="4"/>
  <c r="C9" i="4"/>
  <c r="E9" i="4" s="1"/>
  <c r="E8" i="4"/>
  <c r="E7" i="4"/>
  <c r="J224" i="41"/>
  <c r="J28" i="41" s="1"/>
  <c r="E59" i="41" s="1"/>
  <c r="H59" i="41" s="1"/>
  <c r="K223" i="41"/>
  <c r="K224" i="41" s="1"/>
  <c r="J219" i="41"/>
  <c r="J27" i="41" s="1"/>
  <c r="K218" i="41"/>
  <c r="K212" i="41"/>
  <c r="K213" i="41" s="1"/>
  <c r="J205" i="41"/>
  <c r="K204" i="41"/>
  <c r="K205" i="41" s="1"/>
  <c r="J199" i="41"/>
  <c r="J20" i="41" s="1"/>
  <c r="K198" i="41"/>
  <c r="J193" i="41"/>
  <c r="K192" i="41"/>
  <c r="K191" i="41"/>
  <c r="K187" i="41"/>
  <c r="J182" i="41"/>
  <c r="J21" i="41" s="1"/>
  <c r="E52" i="41" s="1"/>
  <c r="H52" i="41" s="1"/>
  <c r="K181" i="41"/>
  <c r="K182" i="41" s="1"/>
  <c r="K176" i="41"/>
  <c r="J176" i="41"/>
  <c r="J19" i="41" s="1"/>
  <c r="E50" i="41" s="1"/>
  <c r="J170" i="41"/>
  <c r="J11" i="41" s="1"/>
  <c r="K169" i="41"/>
  <c r="K170" i="41" s="1"/>
  <c r="J164" i="41"/>
  <c r="J14" i="41" s="1"/>
  <c r="K163" i="41"/>
  <c r="K164" i="41" s="1"/>
  <c r="J158" i="41"/>
  <c r="J13" i="41" s="1"/>
  <c r="E44" i="41" s="1"/>
  <c r="H44" i="41" s="1"/>
  <c r="K157" i="41"/>
  <c r="K158" i="41" s="1"/>
  <c r="J152" i="41"/>
  <c r="J17" i="41" s="1"/>
  <c r="K152" i="41"/>
  <c r="K146" i="41"/>
  <c r="J146" i="41"/>
  <c r="J16" i="41" s="1"/>
  <c r="K16" i="41" s="1"/>
  <c r="K140" i="41"/>
  <c r="J140" i="41"/>
  <c r="J12" i="41" s="1"/>
  <c r="K134" i="41"/>
  <c r="J134" i="41"/>
  <c r="J15" i="41" s="1"/>
  <c r="E46" i="41" s="1"/>
  <c r="K128" i="41"/>
  <c r="J128" i="41"/>
  <c r="E49" i="41" s="1"/>
  <c r="H49" i="41" s="1"/>
  <c r="K122" i="41"/>
  <c r="J122" i="41"/>
  <c r="J9" i="41" s="1"/>
  <c r="J10" i="41"/>
  <c r="J8" i="41"/>
  <c r="K103" i="41"/>
  <c r="J103" i="41"/>
  <c r="J7" i="41" s="1"/>
  <c r="M7" i="41" s="1"/>
  <c r="K98" i="41"/>
  <c r="J98" i="41"/>
  <c r="J6" i="41" s="1"/>
  <c r="E37" i="41" s="1"/>
  <c r="K93" i="41"/>
  <c r="J93" i="41"/>
  <c r="J5" i="41" s="1"/>
  <c r="E87" i="41"/>
  <c r="F80" i="43" s="1"/>
  <c r="C86" i="41"/>
  <c r="H86" i="41" s="1"/>
  <c r="D89" i="41"/>
  <c r="C85" i="41"/>
  <c r="D84" i="41"/>
  <c r="C84" i="41"/>
  <c r="C83" i="41"/>
  <c r="H83" i="41" s="1"/>
  <c r="D82" i="41"/>
  <c r="C81" i="41"/>
  <c r="H81" i="41" s="1"/>
  <c r="C80" i="41"/>
  <c r="H80" i="41" s="1"/>
  <c r="C79" i="41"/>
  <c r="H79" i="41" s="1"/>
  <c r="G43" i="18" s="1"/>
  <c r="H43" i="18" s="1"/>
  <c r="C78" i="41"/>
  <c r="H78" i="41" s="1"/>
  <c r="C77" i="41"/>
  <c r="H77" i="41" s="1"/>
  <c r="G43" i="28" s="1"/>
  <c r="H43" i="28" s="1"/>
  <c r="C75" i="41"/>
  <c r="H75" i="41" s="1"/>
  <c r="C74" i="41"/>
  <c r="H74" i="41" s="1"/>
  <c r="G43" i="24" s="1"/>
  <c r="H43" i="24" s="1"/>
  <c r="D73" i="41"/>
  <c r="C73" i="41"/>
  <c r="C72" i="41"/>
  <c r="H72" i="41" s="1"/>
  <c r="G43" i="16" s="1"/>
  <c r="H43" i="16" s="1"/>
  <c r="C71" i="41"/>
  <c r="H71" i="41" s="1"/>
  <c r="D70" i="41"/>
  <c r="C70" i="41"/>
  <c r="D68" i="41"/>
  <c r="C68" i="41"/>
  <c r="D67" i="41"/>
  <c r="C67" i="41"/>
  <c r="C66" i="41"/>
  <c r="H66" i="41" s="1"/>
  <c r="C65" i="41"/>
  <c r="H65" i="41" s="1"/>
  <c r="D60" i="41"/>
  <c r="C60" i="41"/>
  <c r="B60" i="41"/>
  <c r="E54" i="41"/>
  <c r="H54" i="41" s="1"/>
  <c r="I29" i="41"/>
  <c r="H29" i="41"/>
  <c r="G29" i="41"/>
  <c r="D29" i="41"/>
  <c r="F28" i="41"/>
  <c r="E28" i="41" s="1"/>
  <c r="F27" i="41"/>
  <c r="C27" i="41" s="1"/>
  <c r="J26" i="41"/>
  <c r="E57" i="41" s="1"/>
  <c r="H57" i="41" s="1"/>
  <c r="F26" i="41"/>
  <c r="E26" i="41" s="1"/>
  <c r="J25" i="41"/>
  <c r="E56" i="41" s="1"/>
  <c r="H56" i="41" s="1"/>
  <c r="F25" i="41"/>
  <c r="C25" i="41" s="1"/>
  <c r="F23" i="41"/>
  <c r="B22" i="41"/>
  <c r="F22" i="41" s="1"/>
  <c r="F21" i="41"/>
  <c r="E21" i="41" s="1"/>
  <c r="F20" i="41"/>
  <c r="C20" i="41" s="1"/>
  <c r="F19" i="41"/>
  <c r="E19" i="41" s="1"/>
  <c r="F18" i="41"/>
  <c r="E18" i="41" s="1"/>
  <c r="F17" i="41"/>
  <c r="C17" i="41" s="1"/>
  <c r="B16" i="41"/>
  <c r="C76" i="41" s="1"/>
  <c r="H76" i="41" s="1"/>
  <c r="F15" i="41"/>
  <c r="C15" i="41" s="1"/>
  <c r="F14" i="41"/>
  <c r="E14" i="41" s="1"/>
  <c r="F13" i="41"/>
  <c r="E13" i="41" s="1"/>
  <c r="F12" i="41"/>
  <c r="E12" i="41" s="1"/>
  <c r="F11" i="41"/>
  <c r="C11" i="41" s="1"/>
  <c r="F10" i="41"/>
  <c r="E10" i="41" s="1"/>
  <c r="B9" i="41"/>
  <c r="F8" i="41"/>
  <c r="E8" i="41" s="1"/>
  <c r="F7" i="41"/>
  <c r="C7" i="41" s="1"/>
  <c r="F6" i="41"/>
  <c r="E6" i="41" s="1"/>
  <c r="F5" i="41"/>
  <c r="C5" i="41" s="1"/>
  <c r="P53" i="42"/>
  <c r="P52" i="42"/>
  <c r="P51" i="42"/>
  <c r="P50" i="42"/>
  <c r="P49" i="42"/>
  <c r="P48" i="42"/>
  <c r="P47" i="42"/>
  <c r="P46" i="42"/>
  <c r="P45" i="42"/>
  <c r="P44" i="42"/>
  <c r="P43" i="42"/>
  <c r="P42" i="42"/>
  <c r="P41" i="42"/>
  <c r="P40" i="42"/>
  <c r="P39" i="42"/>
  <c r="P38" i="42"/>
  <c r="P37" i="42"/>
  <c r="P36" i="42"/>
  <c r="P35" i="42"/>
  <c r="P34" i="42"/>
  <c r="P33" i="42"/>
  <c r="P32" i="42"/>
  <c r="P31" i="42"/>
  <c r="P30" i="42"/>
  <c r="P29" i="42"/>
  <c r="P28" i="42"/>
  <c r="P27" i="42"/>
  <c r="P26" i="42"/>
  <c r="P25" i="42"/>
  <c r="P24" i="42"/>
  <c r="P23" i="42"/>
  <c r="P22" i="42"/>
  <c r="P21" i="42"/>
  <c r="P20" i="42"/>
  <c r="P19" i="42"/>
  <c r="P18" i="42"/>
  <c r="P17" i="42"/>
  <c r="P16" i="42"/>
  <c r="P15" i="42"/>
  <c r="P14" i="42"/>
  <c r="P13" i="42"/>
  <c r="P12" i="42"/>
  <c r="P11" i="42"/>
  <c r="P10" i="42"/>
  <c r="P9" i="42"/>
  <c r="P8" i="42"/>
  <c r="A8" i="42"/>
  <c r="B8" i="42" s="1"/>
  <c r="P7" i="42"/>
  <c r="P6" i="42"/>
  <c r="P5" i="42"/>
  <c r="P4" i="42"/>
  <c r="P3" i="42"/>
  <c r="P2" i="42"/>
  <c r="I11" i="47"/>
  <c r="D126" i="43"/>
  <c r="D127" i="43" s="1"/>
  <c r="K115" i="43"/>
  <c r="K110" i="43"/>
  <c r="K117" i="43" s="1"/>
  <c r="K109" i="43"/>
  <c r="K111" i="43" s="1"/>
  <c r="K107" i="43"/>
  <c r="J107" i="43"/>
  <c r="G91" i="43"/>
  <c r="E88" i="43"/>
  <c r="D88" i="43"/>
  <c r="D91" i="43" s="1"/>
  <c r="F87" i="43"/>
  <c r="E87" i="43"/>
  <c r="D87" i="43"/>
  <c r="F86" i="43"/>
  <c r="E86" i="43"/>
  <c r="F85" i="43"/>
  <c r="E85" i="43"/>
  <c r="D85" i="43"/>
  <c r="F84" i="43"/>
  <c r="E84" i="43"/>
  <c r="F83" i="43"/>
  <c r="E83" i="43"/>
  <c r="F82" i="43"/>
  <c r="E82" i="43"/>
  <c r="F81" i="43"/>
  <c r="E81" i="43"/>
  <c r="E80" i="43"/>
  <c r="E79" i="43"/>
  <c r="E78" i="43"/>
  <c r="K73" i="43"/>
  <c r="L17" i="43" s="1"/>
  <c r="J73" i="43"/>
  <c r="L16" i="43" s="1"/>
  <c r="L72" i="43"/>
  <c r="M72" i="43" s="1"/>
  <c r="L71" i="43"/>
  <c r="L67" i="43"/>
  <c r="L66" i="43"/>
  <c r="K66" i="43"/>
  <c r="J66" i="43"/>
  <c r="J55" i="43"/>
  <c r="I55" i="43"/>
  <c r="H54" i="43"/>
  <c r="H56" i="43" s="1"/>
  <c r="J53" i="43"/>
  <c r="I52" i="43"/>
  <c r="J52" i="43" s="1"/>
  <c r="J51" i="43"/>
  <c r="I51" i="43"/>
  <c r="F50" i="43"/>
  <c r="I50" i="43" s="1"/>
  <c r="J49" i="43"/>
  <c r="I49" i="43"/>
  <c r="I48" i="43"/>
  <c r="J48" i="43" s="1"/>
  <c r="J47" i="43"/>
  <c r="I47" i="43"/>
  <c r="F46" i="43"/>
  <c r="I46" i="43" s="1"/>
  <c r="J45" i="43"/>
  <c r="I45" i="43"/>
  <c r="I44" i="43"/>
  <c r="J44" i="43" s="1"/>
  <c r="J43" i="43"/>
  <c r="I43" i="43"/>
  <c r="I42" i="43"/>
  <c r="J42" i="43" s="1"/>
  <c r="I41" i="43"/>
  <c r="F41" i="43"/>
  <c r="I40" i="43"/>
  <c r="J40" i="43" s="1"/>
  <c r="J39" i="43"/>
  <c r="I39" i="43"/>
  <c r="I38" i="43"/>
  <c r="J38" i="43" s="1"/>
  <c r="J37" i="43"/>
  <c r="I37" i="43"/>
  <c r="I36" i="43"/>
  <c r="J36" i="43" s="1"/>
  <c r="J35" i="43"/>
  <c r="I35" i="43"/>
  <c r="I34" i="43"/>
  <c r="J34" i="43" s="1"/>
  <c r="J33" i="43"/>
  <c r="I33" i="43"/>
  <c r="I32" i="43"/>
  <c r="J32" i="43" s="1"/>
  <c r="L15" i="43"/>
  <c r="L8" i="43"/>
  <c r="F8" i="43"/>
  <c r="F21" i="43" s="1"/>
  <c r="F25" i="43" s="1"/>
  <c r="D76" i="8" l="1"/>
  <c r="B40" i="8"/>
  <c r="B69" i="8" s="1"/>
  <c r="G40" i="31"/>
  <c r="H40" i="31" s="1"/>
  <c r="G43" i="25"/>
  <c r="H43" i="25" s="1"/>
  <c r="G43" i="15"/>
  <c r="H43" i="15" s="1"/>
  <c r="G43" i="14"/>
  <c r="H43" i="14" s="1"/>
  <c r="E82" i="4"/>
  <c r="B43" i="3"/>
  <c r="E103" i="4"/>
  <c r="E60" i="4"/>
  <c r="E99" i="2"/>
  <c r="H85" i="2"/>
  <c r="H86" i="2" s="1"/>
  <c r="B7" i="48"/>
  <c r="G52" i="47"/>
  <c r="I12" i="47"/>
  <c r="I10" i="48"/>
  <c r="F56" i="47"/>
  <c r="F8" i="47" s="1"/>
  <c r="G24" i="47"/>
  <c r="I10" i="47"/>
  <c r="I14" i="47" s="1"/>
  <c r="B11" i="3"/>
  <c r="F11" i="3" s="1"/>
  <c r="E49" i="4"/>
  <c r="E119" i="4"/>
  <c r="D51" i="3"/>
  <c r="D53" i="3"/>
  <c r="D47" i="3"/>
  <c r="D49" i="3"/>
  <c r="F62" i="3"/>
  <c r="D45" i="3"/>
  <c r="I54" i="43"/>
  <c r="J54" i="43" s="1"/>
  <c r="M74" i="43"/>
  <c r="K116" i="43"/>
  <c r="D94" i="43" s="1"/>
  <c r="F56" i="43"/>
  <c r="M71" i="43"/>
  <c r="M73" i="43" s="1"/>
  <c r="M75" i="43" s="1"/>
  <c r="L18" i="43" s="1"/>
  <c r="D147" i="43"/>
  <c r="L26" i="43" s="1"/>
  <c r="J11" i="3" s="1"/>
  <c r="L73" i="43"/>
  <c r="F46" i="3"/>
  <c r="F50" i="3"/>
  <c r="F54" i="3"/>
  <c r="F58" i="3"/>
  <c r="D61" i="3"/>
  <c r="D63" i="3"/>
  <c r="D65" i="3"/>
  <c r="E36" i="4"/>
  <c r="G46" i="27"/>
  <c r="H46" i="27" s="1"/>
  <c r="J46" i="27" s="1"/>
  <c r="G45" i="26"/>
  <c r="H45" i="26" s="1"/>
  <c r="J45" i="26" s="1"/>
  <c r="G43" i="11"/>
  <c r="H43" i="11" s="1"/>
  <c r="E106" i="4"/>
  <c r="E107" i="4" s="1"/>
  <c r="C93" i="3"/>
  <c r="C97" i="3"/>
  <c r="C101" i="3"/>
  <c r="C107" i="3"/>
  <c r="C109" i="3"/>
  <c r="C111" i="3"/>
  <c r="I43" i="16"/>
  <c r="J43" i="16" s="1"/>
  <c r="I43" i="18"/>
  <c r="J43" i="18" s="1"/>
  <c r="I43" i="24"/>
  <c r="J43" i="24" s="1"/>
  <c r="I37" i="36"/>
  <c r="J37" i="36" s="1"/>
  <c r="G37" i="35"/>
  <c r="H37" i="35" s="1"/>
  <c r="J43" i="28"/>
  <c r="D15" i="3"/>
  <c r="D16" i="3"/>
  <c r="D17" i="3"/>
  <c r="D18" i="3"/>
  <c r="D19" i="3"/>
  <c r="D20" i="3"/>
  <c r="D21" i="3"/>
  <c r="D22" i="3"/>
  <c r="D23" i="3"/>
  <c r="D24" i="3"/>
  <c r="D25" i="3"/>
  <c r="D26" i="3"/>
  <c r="D27" i="3"/>
  <c r="D28" i="3"/>
  <c r="D29" i="3"/>
  <c r="D30" i="3"/>
  <c r="D32" i="3"/>
  <c r="D33" i="3"/>
  <c r="D34" i="3"/>
  <c r="D35" i="3"/>
  <c r="D36" i="3"/>
  <c r="D44" i="3"/>
  <c r="D48" i="3"/>
  <c r="D52" i="3"/>
  <c r="D56" i="3"/>
  <c r="D64" i="3"/>
  <c r="I43" i="11"/>
  <c r="I43" i="15"/>
  <c r="J43" i="15" s="1"/>
  <c r="I43" i="17"/>
  <c r="I43" i="23"/>
  <c r="I38" i="34"/>
  <c r="I37" i="35"/>
  <c r="G35" i="38"/>
  <c r="H35" i="38" s="1"/>
  <c r="C91" i="3"/>
  <c r="C99" i="3"/>
  <c r="C103" i="3"/>
  <c r="C105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F28" i="3"/>
  <c r="F29" i="3"/>
  <c r="F30" i="3"/>
  <c r="F32" i="3"/>
  <c r="F33" i="3"/>
  <c r="F34" i="3"/>
  <c r="F35" i="3"/>
  <c r="F36" i="3"/>
  <c r="F44" i="3"/>
  <c r="C90" i="3"/>
  <c r="C92" i="3"/>
  <c r="C94" i="3"/>
  <c r="C96" i="3"/>
  <c r="C98" i="3"/>
  <c r="C100" i="3"/>
  <c r="C102" i="3"/>
  <c r="C104" i="3"/>
  <c r="C108" i="3"/>
  <c r="C110" i="3"/>
  <c r="I43" i="21"/>
  <c r="I38" i="36"/>
  <c r="J38" i="36" s="1"/>
  <c r="I35" i="38"/>
  <c r="J43" i="25"/>
  <c r="C95" i="3"/>
  <c r="J43" i="14"/>
  <c r="H16" i="3"/>
  <c r="H19" i="3"/>
  <c r="H20" i="3"/>
  <c r="H21" i="3"/>
  <c r="H23" i="3"/>
  <c r="H28" i="3"/>
  <c r="H29" i="3"/>
  <c r="H33" i="3"/>
  <c r="H36" i="3"/>
  <c r="G35" i="39" s="1"/>
  <c r="H35" i="39" s="1"/>
  <c r="J35" i="39" s="1"/>
  <c r="H84" i="41"/>
  <c r="M19" i="41"/>
  <c r="O19" i="41" s="1"/>
  <c r="D87" i="41"/>
  <c r="F79" i="43" s="1"/>
  <c r="H68" i="41"/>
  <c r="G43" i="21" s="1"/>
  <c r="H43" i="21" s="1"/>
  <c r="J43" i="21" s="1"/>
  <c r="K9" i="41"/>
  <c r="L9" i="41"/>
  <c r="E40" i="41"/>
  <c r="G40" i="41" s="1"/>
  <c r="J40" i="41" s="1"/>
  <c r="M9" i="41"/>
  <c r="O9" i="41" s="1"/>
  <c r="M14" i="41"/>
  <c r="E45" i="41"/>
  <c r="H45" i="41" s="1"/>
  <c r="M27" i="41"/>
  <c r="N27" i="41" s="1"/>
  <c r="F85" i="41" s="1"/>
  <c r="I35" i="3" s="1"/>
  <c r="J35" i="3" s="1"/>
  <c r="P35" i="3" s="1"/>
  <c r="E58" i="41"/>
  <c r="H58" i="41" s="1"/>
  <c r="H82" i="41"/>
  <c r="G38" i="34" s="1"/>
  <c r="H38" i="34" s="1"/>
  <c r="K15" i="41"/>
  <c r="L16" i="41"/>
  <c r="L14" i="41"/>
  <c r="M16" i="41"/>
  <c r="O16" i="41" s="1"/>
  <c r="L19" i="41"/>
  <c r="M26" i="41"/>
  <c r="O26" i="41" s="1"/>
  <c r="G54" i="41"/>
  <c r="J54" i="41" s="1"/>
  <c r="H85" i="41"/>
  <c r="B29" i="41"/>
  <c r="F54" i="41"/>
  <c r="I54" i="41" s="1"/>
  <c r="E47" i="41"/>
  <c r="G47" i="41" s="1"/>
  <c r="J47" i="41" s="1"/>
  <c r="H67" i="41"/>
  <c r="G43" i="17" s="1"/>
  <c r="H43" i="17" s="1"/>
  <c r="K199" i="41"/>
  <c r="K219" i="41"/>
  <c r="M20" i="41"/>
  <c r="N20" i="41" s="1"/>
  <c r="F80" i="41" s="1"/>
  <c r="E51" i="41"/>
  <c r="H51" i="41" s="1"/>
  <c r="M5" i="41"/>
  <c r="N5" i="41" s="1"/>
  <c r="F65" i="41" s="1"/>
  <c r="G65" i="41" s="1"/>
  <c r="I65" i="41" s="1"/>
  <c r="E36" i="41"/>
  <c r="H36" i="41" s="1"/>
  <c r="M12" i="41"/>
  <c r="O12" i="41" s="1"/>
  <c r="E43" i="41"/>
  <c r="H43" i="41" s="1"/>
  <c r="M18" i="41"/>
  <c r="O18" i="41" s="1"/>
  <c r="M6" i="41"/>
  <c r="M21" i="41"/>
  <c r="G57" i="41"/>
  <c r="J57" i="41" s="1"/>
  <c r="M28" i="41"/>
  <c r="O28" i="41" s="1"/>
  <c r="C69" i="41"/>
  <c r="H69" i="41" s="1"/>
  <c r="G43" i="22" s="1"/>
  <c r="H43" i="22" s="1"/>
  <c r="J43" i="22" s="1"/>
  <c r="E38" i="41"/>
  <c r="F38" i="41" s="1"/>
  <c r="I38" i="41" s="1"/>
  <c r="K5" i="41"/>
  <c r="F9" i="41"/>
  <c r="F16" i="41"/>
  <c r="K20" i="41"/>
  <c r="M25" i="41"/>
  <c r="N25" i="41" s="1"/>
  <c r="F83" i="41" s="1"/>
  <c r="E11" i="41"/>
  <c r="M15" i="41"/>
  <c r="K25" i="41"/>
  <c r="H70" i="41"/>
  <c r="G43" i="23" s="1"/>
  <c r="H43" i="23" s="1"/>
  <c r="J43" i="23" s="1"/>
  <c r="H73" i="41"/>
  <c r="G43" i="19" s="1"/>
  <c r="H43" i="19" s="1"/>
  <c r="J43" i="19" s="1"/>
  <c r="K193" i="41"/>
  <c r="K22" i="41"/>
  <c r="M22" i="41"/>
  <c r="N22" i="41" s="1"/>
  <c r="F82" i="41" s="1"/>
  <c r="I32" i="3" s="1"/>
  <c r="J32" i="3" s="1"/>
  <c r="N32" i="3" s="1"/>
  <c r="E53" i="41"/>
  <c r="H53" i="41" s="1"/>
  <c r="C13" i="41"/>
  <c r="F44" i="41" s="1"/>
  <c r="I44" i="41" s="1"/>
  <c r="E27" i="41"/>
  <c r="G58" i="41" s="1"/>
  <c r="J58" i="41" s="1"/>
  <c r="F56" i="41"/>
  <c r="I56" i="41" s="1"/>
  <c r="E7" i="41"/>
  <c r="L7" i="41" s="1"/>
  <c r="C10" i="41"/>
  <c r="K10" i="41" s="1"/>
  <c r="C28" i="41"/>
  <c r="E42" i="41"/>
  <c r="F42" i="41" s="1"/>
  <c r="I42" i="41" s="1"/>
  <c r="M11" i="41"/>
  <c r="K11" i="41"/>
  <c r="L13" i="41"/>
  <c r="M13" i="41"/>
  <c r="O13" i="41" s="1"/>
  <c r="E48" i="41"/>
  <c r="H48" i="41" s="1"/>
  <c r="M17" i="41"/>
  <c r="N17" i="41" s="1"/>
  <c r="F77" i="41" s="1"/>
  <c r="C15" i="3"/>
  <c r="C19" i="3"/>
  <c r="M10" i="41"/>
  <c r="O10" i="41" s="1"/>
  <c r="E41" i="41"/>
  <c r="H41" i="41" s="1"/>
  <c r="J29" i="41"/>
  <c r="L10" i="41"/>
  <c r="C23" i="3"/>
  <c r="N7" i="41"/>
  <c r="F67" i="41" s="1"/>
  <c r="I17" i="3" s="1"/>
  <c r="J17" i="3" s="1"/>
  <c r="N17" i="3" s="1"/>
  <c r="E17" i="41"/>
  <c r="L17" i="41" s="1"/>
  <c r="C18" i="41"/>
  <c r="N18" i="41" s="1"/>
  <c r="F78" i="41" s="1"/>
  <c r="C21" i="41"/>
  <c r="K21" i="41" s="1"/>
  <c r="C26" i="41"/>
  <c r="K26" i="41" s="1"/>
  <c r="C6" i="41"/>
  <c r="K6" i="41" s="1"/>
  <c r="C19" i="41"/>
  <c r="K19" i="41" s="1"/>
  <c r="C20" i="3"/>
  <c r="L6" i="41"/>
  <c r="L12" i="41"/>
  <c r="G43" i="41"/>
  <c r="J43" i="41" s="1"/>
  <c r="K17" i="41"/>
  <c r="L21" i="41"/>
  <c r="O21" i="41"/>
  <c r="L18" i="41"/>
  <c r="K27" i="41"/>
  <c r="K7" i="41"/>
  <c r="L26" i="41"/>
  <c r="G37" i="41"/>
  <c r="J37" i="41" s="1"/>
  <c r="G50" i="41"/>
  <c r="J50" i="41" s="1"/>
  <c r="G43" i="12"/>
  <c r="H43" i="12" s="1"/>
  <c r="J43" i="12" s="1"/>
  <c r="C87" i="41"/>
  <c r="E5" i="41"/>
  <c r="C8" i="41"/>
  <c r="K8" i="41" s="1"/>
  <c r="C12" i="41"/>
  <c r="E15" i="41"/>
  <c r="L15" i="41" s="1"/>
  <c r="N16" i="41"/>
  <c r="F76" i="41" s="1"/>
  <c r="E25" i="41"/>
  <c r="G59" i="41"/>
  <c r="J59" i="41" s="1"/>
  <c r="L28" i="41"/>
  <c r="G45" i="41"/>
  <c r="J45" i="41" s="1"/>
  <c r="F46" i="41"/>
  <c r="I46" i="41" s="1"/>
  <c r="G49" i="41"/>
  <c r="J49" i="41" s="1"/>
  <c r="B31" i="3"/>
  <c r="H31" i="3" s="1"/>
  <c r="O14" i="41"/>
  <c r="C14" i="41"/>
  <c r="N15" i="41"/>
  <c r="F75" i="41" s="1"/>
  <c r="E20" i="41"/>
  <c r="H37" i="41"/>
  <c r="G44" i="41"/>
  <c r="J44" i="41" s="1"/>
  <c r="H46" i="41"/>
  <c r="H50" i="41"/>
  <c r="F51" i="41"/>
  <c r="I51" i="41" s="1"/>
  <c r="G52" i="41"/>
  <c r="J52" i="41" s="1"/>
  <c r="K26" i="3"/>
  <c r="K32" i="3"/>
  <c r="K25" i="3"/>
  <c r="C25" i="3"/>
  <c r="K21" i="3"/>
  <c r="C21" i="3"/>
  <c r="K35" i="3"/>
  <c r="C30" i="3"/>
  <c r="K34" i="3"/>
  <c r="K29" i="3"/>
  <c r="C29" i="3"/>
  <c r="K33" i="3"/>
  <c r="C22" i="3"/>
  <c r="K22" i="3"/>
  <c r="K17" i="3"/>
  <c r="C17" i="3"/>
  <c r="E39" i="41"/>
  <c r="L8" i="41"/>
  <c r="M8" i="41"/>
  <c r="C18" i="3"/>
  <c r="C26" i="3"/>
  <c r="C16" i="3"/>
  <c r="B7" i="40"/>
  <c r="E97" i="4" s="1"/>
  <c r="E72" i="4"/>
  <c r="J6" i="40"/>
  <c r="F88" i="43"/>
  <c r="B5" i="9"/>
  <c r="B9" i="9" s="1"/>
  <c r="B11" i="9" s="1"/>
  <c r="B87" i="9" s="1"/>
  <c r="D70" i="8"/>
  <c r="E72" i="8"/>
  <c r="E76" i="8" s="1"/>
  <c r="C28" i="3"/>
  <c r="K31" i="3"/>
  <c r="K28" i="3"/>
  <c r="K36" i="3"/>
  <c r="C31" i="3"/>
  <c r="C24" i="3"/>
  <c r="K30" i="3"/>
  <c r="K27" i="3"/>
  <c r="F31" i="3"/>
  <c r="A9" i="42"/>
  <c r="E111" i="4" l="1"/>
  <c r="E115" i="4" s="1"/>
  <c r="E85" i="4"/>
  <c r="E86" i="4" s="1"/>
  <c r="D77" i="8"/>
  <c r="B71" i="8"/>
  <c r="D11" i="3"/>
  <c r="J43" i="11"/>
  <c r="F29" i="41"/>
  <c r="F78" i="43"/>
  <c r="F91" i="43" s="1"/>
  <c r="H91" i="43" s="1"/>
  <c r="I91" i="43" s="1"/>
  <c r="I40" i="31"/>
  <c r="J40" i="31" s="1"/>
  <c r="F52" i="41"/>
  <c r="I52" i="41" s="1"/>
  <c r="C106" i="3"/>
  <c r="G82" i="41"/>
  <c r="I82" i="41" s="1"/>
  <c r="N10" i="41"/>
  <c r="F70" i="41" s="1"/>
  <c r="I26" i="3" s="1"/>
  <c r="J26" i="3" s="1"/>
  <c r="H40" i="41"/>
  <c r="F40" i="41"/>
  <c r="I40" i="41" s="1"/>
  <c r="N6" i="41"/>
  <c r="F66" i="41" s="1"/>
  <c r="I15" i="3" s="1"/>
  <c r="J15" i="3" s="1"/>
  <c r="P15" i="3" s="1"/>
  <c r="B66" i="3"/>
  <c r="J38" i="34"/>
  <c r="H90" i="2"/>
  <c r="G28" i="37"/>
  <c r="G29" i="37" s="1"/>
  <c r="I15" i="47"/>
  <c r="I16" i="47"/>
  <c r="I17" i="47" s="1"/>
  <c r="E114" i="4"/>
  <c r="E88" i="4"/>
  <c r="E42" i="4"/>
  <c r="E44" i="4" s="1"/>
  <c r="L9" i="43"/>
  <c r="L10" i="43" s="1"/>
  <c r="M76" i="43"/>
  <c r="I56" i="43"/>
  <c r="J56" i="43" s="1"/>
  <c r="F37" i="3"/>
  <c r="F38" i="3" s="1"/>
  <c r="J43" i="17"/>
  <c r="J37" i="35"/>
  <c r="H37" i="3"/>
  <c r="J35" i="38"/>
  <c r="G42" i="41"/>
  <c r="J42" i="41" s="1"/>
  <c r="N21" i="41"/>
  <c r="F81" i="41" s="1"/>
  <c r="I31" i="3" s="1"/>
  <c r="J31" i="3" s="1"/>
  <c r="N31" i="3" s="1"/>
  <c r="H42" i="41"/>
  <c r="O20" i="41"/>
  <c r="O6" i="41"/>
  <c r="H87" i="41"/>
  <c r="L27" i="41"/>
  <c r="F47" i="41"/>
  <c r="I47" i="41" s="1"/>
  <c r="L11" i="41"/>
  <c r="F48" i="41"/>
  <c r="I48" i="41" s="1"/>
  <c r="O11" i="41"/>
  <c r="F58" i="41"/>
  <c r="I58" i="41" s="1"/>
  <c r="N12" i="41"/>
  <c r="F72" i="41" s="1"/>
  <c r="I22" i="3" s="1"/>
  <c r="J22" i="3" s="1"/>
  <c r="O7" i="41"/>
  <c r="N9" i="41"/>
  <c r="F69" i="41" s="1"/>
  <c r="H47" i="41"/>
  <c r="O25" i="41"/>
  <c r="N28" i="41"/>
  <c r="F86" i="41" s="1"/>
  <c r="I36" i="3" s="1"/>
  <c r="J36" i="3" s="1"/>
  <c r="H38" i="41"/>
  <c r="F36" i="41"/>
  <c r="I36" i="41" s="1"/>
  <c r="G53" i="41"/>
  <c r="J53" i="41" s="1"/>
  <c r="F53" i="41"/>
  <c r="I53" i="41" s="1"/>
  <c r="O22" i="41"/>
  <c r="B37" i="3"/>
  <c r="B38" i="3" s="1"/>
  <c r="G48" i="41"/>
  <c r="J48" i="41" s="1"/>
  <c r="G67" i="41"/>
  <c r="I67" i="41" s="1"/>
  <c r="K13" i="41"/>
  <c r="D31" i="3"/>
  <c r="D37" i="3" s="1"/>
  <c r="F37" i="41"/>
  <c r="I37" i="41" s="1"/>
  <c r="N26" i="41"/>
  <c r="F84" i="41" s="1"/>
  <c r="G84" i="41" s="1"/>
  <c r="I84" i="41" s="1"/>
  <c r="F57" i="41"/>
  <c r="I57" i="41" s="1"/>
  <c r="I20" i="3"/>
  <c r="J20" i="3" s="1"/>
  <c r="P20" i="3" s="1"/>
  <c r="G85" i="41"/>
  <c r="I85" i="41" s="1"/>
  <c r="G38" i="41"/>
  <c r="J38" i="41" s="1"/>
  <c r="N11" i="41"/>
  <c r="F71" i="41" s="1"/>
  <c r="I16" i="3" s="1"/>
  <c r="J16" i="3" s="1"/>
  <c r="O15" i="41"/>
  <c r="O17" i="41"/>
  <c r="N13" i="41"/>
  <c r="F73" i="41" s="1"/>
  <c r="F59" i="41"/>
  <c r="I59" i="41" s="1"/>
  <c r="K28" i="41"/>
  <c r="O27" i="41"/>
  <c r="L35" i="3"/>
  <c r="P17" i="3"/>
  <c r="N35" i="3"/>
  <c r="G41" i="41"/>
  <c r="J41" i="41" s="1"/>
  <c r="F41" i="41"/>
  <c r="I41" i="41" s="1"/>
  <c r="L32" i="3"/>
  <c r="P32" i="3"/>
  <c r="F50" i="41"/>
  <c r="I50" i="41" s="1"/>
  <c r="K18" i="41"/>
  <c r="F49" i="41"/>
  <c r="I49" i="41" s="1"/>
  <c r="L17" i="3"/>
  <c r="N19" i="41"/>
  <c r="F79" i="41" s="1"/>
  <c r="G79" i="41" s="1"/>
  <c r="I79" i="41" s="1"/>
  <c r="I33" i="3"/>
  <c r="J33" i="3" s="1"/>
  <c r="G83" i="41"/>
  <c r="I83" i="41" s="1"/>
  <c r="I28" i="3"/>
  <c r="J28" i="3" s="1"/>
  <c r="G75" i="41"/>
  <c r="I75" i="41" s="1"/>
  <c r="I29" i="3"/>
  <c r="J29" i="3" s="1"/>
  <c r="G77" i="41"/>
  <c r="I77" i="41" s="1"/>
  <c r="K14" i="41"/>
  <c r="N14" i="41"/>
  <c r="F74" i="41" s="1"/>
  <c r="F45" i="41"/>
  <c r="I45" i="41" s="1"/>
  <c r="G56" i="41"/>
  <c r="J56" i="41" s="1"/>
  <c r="L25" i="41"/>
  <c r="G46" i="41"/>
  <c r="J46" i="41" s="1"/>
  <c r="I19" i="3"/>
  <c r="J19" i="3" s="1"/>
  <c r="G78" i="41"/>
  <c r="I78" i="41" s="1"/>
  <c r="G36" i="41"/>
  <c r="J36" i="41" s="1"/>
  <c r="L5" i="41"/>
  <c r="G72" i="41"/>
  <c r="I72" i="41" s="1"/>
  <c r="G51" i="41"/>
  <c r="J51" i="41" s="1"/>
  <c r="L20" i="41"/>
  <c r="O5" i="41"/>
  <c r="I30" i="3"/>
  <c r="J30" i="3" s="1"/>
  <c r="G76" i="41"/>
  <c r="I76" i="41" s="1"/>
  <c r="F43" i="41"/>
  <c r="I43" i="41" s="1"/>
  <c r="K12" i="41"/>
  <c r="I21" i="3"/>
  <c r="J21" i="3" s="1"/>
  <c r="G80" i="41"/>
  <c r="I80" i="41" s="1"/>
  <c r="O8" i="41"/>
  <c r="M29" i="41"/>
  <c r="N8" i="41"/>
  <c r="F39" i="41"/>
  <c r="E60" i="41"/>
  <c r="H39" i="41"/>
  <c r="G39" i="41"/>
  <c r="E112" i="4"/>
  <c r="E67" i="4"/>
  <c r="E70" i="4" s="1"/>
  <c r="E74" i="4" s="1"/>
  <c r="B9" i="42"/>
  <c r="D9" i="42"/>
  <c r="C9" i="42"/>
  <c r="C10" i="42" s="1"/>
  <c r="E117" i="4" l="1"/>
  <c r="E121" i="4" s="1"/>
  <c r="F121" i="4" s="1"/>
  <c r="D38" i="3"/>
  <c r="G70" i="41"/>
  <c r="I70" i="41" s="1"/>
  <c r="G66" i="41"/>
  <c r="I66" i="41" s="1"/>
  <c r="F43" i="3"/>
  <c r="F66" i="3" s="1"/>
  <c r="D43" i="3"/>
  <c r="D66" i="3" s="1"/>
  <c r="I34" i="3"/>
  <c r="J34" i="3" s="1"/>
  <c r="P34" i="3" s="1"/>
  <c r="I18" i="3"/>
  <c r="J18" i="3" s="1"/>
  <c r="N18" i="3" s="1"/>
  <c r="G71" i="41"/>
  <c r="I71" i="41" s="1"/>
  <c r="G81" i="41"/>
  <c r="I81" i="41" s="1"/>
  <c r="G86" i="41"/>
  <c r="I86" i="41" s="1"/>
  <c r="E79" i="4"/>
  <c r="E95" i="4" s="1"/>
  <c r="H11" i="3"/>
  <c r="H38" i="3" s="1"/>
  <c r="P38" i="3" s="1"/>
  <c r="E52" i="4"/>
  <c r="E56" i="4" s="1"/>
  <c r="F56" i="4" s="1"/>
  <c r="H60" i="41"/>
  <c r="G69" i="41"/>
  <c r="I69" i="41" s="1"/>
  <c r="I25" i="3"/>
  <c r="J25" i="3" s="1"/>
  <c r="N20" i="3"/>
  <c r="P31" i="3"/>
  <c r="L20" i="3"/>
  <c r="G73" i="41"/>
  <c r="I73" i="41" s="1"/>
  <c r="I23" i="3"/>
  <c r="J23" i="3" s="1"/>
  <c r="L29" i="41"/>
  <c r="L31" i="3"/>
  <c r="N15" i="3"/>
  <c r="O29" i="41"/>
  <c r="L15" i="3"/>
  <c r="K29" i="41"/>
  <c r="G74" i="41"/>
  <c r="I74" i="41" s="1"/>
  <c r="I27" i="3"/>
  <c r="J27" i="3" s="1"/>
  <c r="L28" i="3"/>
  <c r="N28" i="3"/>
  <c r="P28" i="3"/>
  <c r="P16" i="3"/>
  <c r="N16" i="3"/>
  <c r="L16" i="3"/>
  <c r="L36" i="3"/>
  <c r="N36" i="3"/>
  <c r="P36" i="3"/>
  <c r="P22" i="3"/>
  <c r="L22" i="3"/>
  <c r="N22" i="3"/>
  <c r="P26" i="3"/>
  <c r="N26" i="3"/>
  <c r="L26" i="3"/>
  <c r="P29" i="3"/>
  <c r="N29" i="3"/>
  <c r="L29" i="3"/>
  <c r="P33" i="3"/>
  <c r="L33" i="3"/>
  <c r="N33" i="3"/>
  <c r="P21" i="3"/>
  <c r="N21" i="3"/>
  <c r="L21" i="3"/>
  <c r="P30" i="3"/>
  <c r="L30" i="3"/>
  <c r="N30" i="3"/>
  <c r="P19" i="3"/>
  <c r="N19" i="3"/>
  <c r="L19" i="3"/>
  <c r="F60" i="41"/>
  <c r="I39" i="41"/>
  <c r="I60" i="41" s="1"/>
  <c r="G60" i="41"/>
  <c r="J39" i="41"/>
  <c r="J60" i="41" s="1"/>
  <c r="N29" i="41"/>
  <c r="F68" i="41"/>
  <c r="F10" i="42"/>
  <c r="E10" i="42"/>
  <c r="E9" i="42"/>
  <c r="P18" i="3" l="1"/>
  <c r="E99" i="4"/>
  <c r="D95" i="43"/>
  <c r="L19" i="43" s="1"/>
  <c r="L31" i="41"/>
  <c r="N34" i="3"/>
  <c r="L18" i="3"/>
  <c r="L34" i="3"/>
  <c r="P25" i="3"/>
  <c r="L25" i="3"/>
  <c r="N25" i="3"/>
  <c r="P23" i="3"/>
  <c r="L23" i="3"/>
  <c r="N23" i="3"/>
  <c r="L27" i="3"/>
  <c r="N27" i="3"/>
  <c r="P27" i="3"/>
  <c r="F87" i="41"/>
  <c r="I24" i="3"/>
  <c r="G68" i="41"/>
  <c r="E96" i="43"/>
  <c r="E59" i="42"/>
  <c r="E55" i="42"/>
  <c r="E47" i="42"/>
  <c r="E45" i="42"/>
  <c r="E43" i="42"/>
  <c r="E41" i="42"/>
  <c r="E39" i="42"/>
  <c r="E37" i="42"/>
  <c r="E35" i="42"/>
  <c r="E33" i="42"/>
  <c r="E31" i="42"/>
  <c r="E29" i="42"/>
  <c r="E27" i="42"/>
  <c r="E25" i="42"/>
  <c r="E23" i="42"/>
  <c r="E21" i="42"/>
  <c r="E58" i="42"/>
  <c r="E54" i="42"/>
  <c r="E52" i="42"/>
  <c r="E50" i="42"/>
  <c r="A1" i="42"/>
  <c r="E61" i="42"/>
  <c r="E57" i="42"/>
  <c r="E48" i="42"/>
  <c r="E46" i="42"/>
  <c r="E44" i="42"/>
  <c r="E42" i="42"/>
  <c r="E40" i="42"/>
  <c r="E38" i="42"/>
  <c r="E36" i="42"/>
  <c r="E34" i="42"/>
  <c r="E32" i="42"/>
  <c r="E30" i="42"/>
  <c r="E28" i="42"/>
  <c r="E26" i="42"/>
  <c r="E24" i="42"/>
  <c r="E22" i="42"/>
  <c r="K16" i="42"/>
  <c r="E60" i="42"/>
  <c r="E56" i="42"/>
  <c r="E53" i="42"/>
  <c r="E51" i="42"/>
  <c r="E49" i="42"/>
  <c r="K8" i="42"/>
  <c r="S2" i="42"/>
  <c r="F48" i="42" s="1"/>
  <c r="D99" i="43" l="1"/>
  <c r="L20" i="43" s="1"/>
  <c r="L21" i="43" s="1"/>
  <c r="L23" i="43" s="1"/>
  <c r="D96" i="43"/>
  <c r="G96" i="43" s="1"/>
  <c r="G87" i="41"/>
  <c r="I68" i="41"/>
  <c r="I87" i="41" s="1"/>
  <c r="J24" i="3"/>
  <c r="I37" i="3"/>
  <c r="D100" i="43" l="1"/>
  <c r="D102" i="43" s="1"/>
  <c r="L25" i="43" s="1"/>
  <c r="L24" i="3"/>
  <c r="L37" i="3" s="1"/>
  <c r="P24" i="3"/>
  <c r="N24" i="3"/>
  <c r="N37" i="3" s="1"/>
  <c r="J37" i="3"/>
  <c r="P37" i="3" s="1"/>
  <c r="I11" i="3" l="1"/>
  <c r="K11" i="3" s="1"/>
  <c r="L38" i="3" s="1"/>
  <c r="L27" i="43"/>
  <c r="I38" i="3" l="1"/>
  <c r="J38" i="3" s="1"/>
  <c r="L11" i="3"/>
  <c r="Q11" i="3"/>
  <c r="R12" i="3" s="1"/>
  <c r="O11" i="3"/>
  <c r="M28" i="43"/>
  <c r="M30" i="43" s="1"/>
  <c r="M11" i="3"/>
  <c r="N38" i="3" s="1"/>
  <c r="O30" i="41" l="1"/>
  <c r="O31" i="41" s="1"/>
  <c r="N30" i="41" l="1"/>
  <c r="N31" i="41" s="1"/>
  <c r="F99" i="4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Admin</author>
  </authors>
  <commentList>
    <comment ref="D67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-2,791,413 por error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Admin</author>
  </authors>
  <commentList>
    <comment ref="S12" authorId="0" shapeId="0" xr:uid="{68EDEE7C-2971-4769-BB82-AD4AB78C1F52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letras en blanco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Admin</author>
  </authors>
  <commentList>
    <comment ref="B58" authorId="0" shapeId="0" xr:uid="{00000000-0006-0000-0C00-000001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40MM DEL GMF DE MATRIX</t>
        </r>
      </text>
    </comment>
    <comment ref="B60" authorId="0" shapeId="0" xr:uid="{00000000-0006-0000-0C00-000002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40MM DEL GMF DE MATRIX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Admin</author>
  </authors>
  <commentList>
    <comment ref="F48" authorId="0" shapeId="0" xr:uid="{6F499601-B21E-475F-B28C-8606A41DAC4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<sst xmlns="http://schemas.openxmlformats.org/spreadsheetml/2006/main" count="3095" uniqueCount="1126">
  <si>
    <t>R E S U M E N</t>
  </si>
  <si>
    <t>RECURSOS FONDO EMPRENDER</t>
  </si>
  <si>
    <t>VALOR APORTE</t>
  </si>
  <si>
    <t>APORTES COMPROMETIDOS EN ADHESIONES AL CONTRATO INTERADMINISTRATIVO</t>
  </si>
  <si>
    <t>RECURSOS SENA MONETIZACION CUOTA APRENDIZAJE</t>
  </si>
  <si>
    <t>TOTAL CONTRAPARTIDA SENA POR ADHESIONES ( Recursos incluidos dentro del total de Recursos del FE)</t>
  </si>
  <si>
    <t>TOTAL APORTES ENTIDADES ADHERENTES AL CONTRATO INTERADMINISTRATIVO</t>
  </si>
  <si>
    <t>TOTAL INGRESOS Y APORTES AL CONTRATO INTERADMINISTRATIVO</t>
  </si>
  <si>
    <t>APORTES DEL PRESUPUESTO NACIONAL</t>
  </si>
  <si>
    <t>RECURSOS FINANCIEROS ORGANISMOS INTERNACIONALES</t>
  </si>
  <si>
    <t xml:space="preserve">RECURSOS DE FONDOS DE INVERSION PUBLICA Y PRIVADA </t>
  </si>
  <si>
    <t>EJECUCIÓN DEL PRESENTE INFORME</t>
  </si>
  <si>
    <t>DONACIONES</t>
  </si>
  <si>
    <t>GASTOS CUOTA DE GERENCIA</t>
  </si>
  <si>
    <t>TOTAL RENDIMIENTOS GENERADOS POR LOS RECURSOS DEL FONDO</t>
  </si>
  <si>
    <t>GASTOS COSTOS DE OPERACIÓN</t>
  </si>
  <si>
    <t>(Ver relación adjunta)</t>
  </si>
  <si>
    <t>GASTOS CAPITAL SEMILLA</t>
  </si>
  <si>
    <t>IVA</t>
  </si>
  <si>
    <t>TOTAL RECURSOS DISPONIBLES FONDO EMPRENDER</t>
  </si>
  <si>
    <t>GMF</t>
  </si>
  <si>
    <t>INGRESOS RECURSOS FONDO EMPRENDER</t>
  </si>
  <si>
    <t>DETALLE  APORTES ADHERENTES</t>
  </si>
  <si>
    <t>No. De Adhesion</t>
  </si>
  <si>
    <t>FECHA DE CONTRATO</t>
  </si>
  <si>
    <t>NOMBRE DE LA ENTIDAD ADHERENTE</t>
  </si>
  <si>
    <t>NIT</t>
  </si>
  <si>
    <t>VALOR APORTADO POR 
EL ENTE ADHERENTE</t>
  </si>
  <si>
    <t>TOTAL APORTES</t>
  </si>
  <si>
    <t>RELACION DETALLADA DE LOS PAGOS EN LA EJECUCION</t>
  </si>
  <si>
    <t>1. PLAN OPERATIVO - CUOTA DE GERENCIA</t>
  </si>
  <si>
    <t>FECHA DE PAGO</t>
  </si>
  <si>
    <t xml:space="preserve">No. CPTE </t>
  </si>
  <si>
    <t>CUENTA PLAN OPERATIVO</t>
  </si>
  <si>
    <t>TIPO DE CONTRATO</t>
  </si>
  <si>
    <t>No. DE CONTRATO</t>
  </si>
  <si>
    <t>CONCEPTO</t>
  </si>
  <si>
    <t>NOMBRE</t>
  </si>
  <si>
    <t>VR BRUTO DEL BIEN O SERVICIO</t>
  </si>
  <si>
    <t>I.V.A.</t>
  </si>
  <si>
    <t>VR. TOTAL DE LA FACTURA</t>
  </si>
  <si>
    <t xml:space="preserve">SUBTOTALES </t>
  </si>
  <si>
    <t>2. EJECUCION PLAN OPERATIVO - COSTOS DE OPERACIÓN</t>
  </si>
  <si>
    <t>IMPUESTO GMF</t>
  </si>
  <si>
    <t xml:space="preserve">TOTAL RELACION DE GASTOS </t>
  </si>
  <si>
    <t>VALOR TOTAL DE LA ADHESION</t>
  </si>
  <si>
    <t>% DE PARTICIPACION ADHERENTE</t>
  </si>
  <si>
    <t>Universidad Nacional de Colombia</t>
  </si>
  <si>
    <t>Contrato 1471299  de 2020 - UN-SENA FE</t>
  </si>
  <si>
    <t>TOTAL RENDIMIENTOS GENERADOS POR LOS RECURSOS DEL FONDO DE JULIO A DICIEMBRE 2020</t>
  </si>
  <si>
    <t>Rendimientos financieros al 31 de julio de 2020</t>
  </si>
  <si>
    <t>Rendimientos financieros al 31 de agosto de 2020</t>
  </si>
  <si>
    <t>Rendimientos financieros al 30 de septiembre de 2020</t>
  </si>
  <si>
    <t>Rendimientos financieros al 31 de octubre de 2020</t>
  </si>
  <si>
    <t>Rendimientos financieros al 30 de noviembre de 2020</t>
  </si>
  <si>
    <t>MENOS:</t>
  </si>
  <si>
    <t>TOTAL RENDIMIENTOS GENERADOS POR RECURSOS DEL FONDO DE ENERO A JUNIO 2021</t>
  </si>
  <si>
    <t>Vr Total Proyecto</t>
  </si>
  <si>
    <t>SENA</t>
  </si>
  <si>
    <t>Corte</t>
  </si>
  <si>
    <t>% de Ejecución al corte</t>
  </si>
  <si>
    <t>Corriente</t>
  </si>
  <si>
    <t>%</t>
  </si>
  <si>
    <t>No Corriente</t>
  </si>
  <si>
    <t>Saldo por Ejecutar Inf. SENA</t>
  </si>
  <si>
    <t>Diferencia</t>
  </si>
  <si>
    <t>Adhesiones</t>
  </si>
  <si>
    <t>Saldo Contable</t>
  </si>
  <si>
    <t>Total Adhesiones</t>
  </si>
  <si>
    <t>Total Saldo Aportes</t>
  </si>
  <si>
    <t>Conciliaciones Contables</t>
  </si>
  <si>
    <t>1. Informe todas las vigencias &amp; Informe Sena</t>
  </si>
  <si>
    <t>TOTAL PAGOS TODAS LAS VIGENCIAS</t>
  </si>
  <si>
    <t>INFORME SENA- incluido GMF</t>
  </si>
  <si>
    <t>DIFERENCIA $</t>
  </si>
  <si>
    <t>OBSERVACIONES</t>
  </si>
  <si>
    <t>MES</t>
  </si>
  <si>
    <t>VALOR</t>
  </si>
  <si>
    <t xml:space="preserve">TOTAL  </t>
  </si>
  <si>
    <t>2. Conciliación Informe SENA Vs Cta 29020102</t>
  </si>
  <si>
    <t>Saldo cuenta 29020102</t>
  </si>
  <si>
    <t>3.  Conciliación cuenta contable  11100613 &amp;  Extracto Bancario</t>
  </si>
  <si>
    <t>Saldo en libros cuenta Cuenta 11100613</t>
  </si>
  <si>
    <t>Mas:</t>
  </si>
  <si>
    <t>Menos:</t>
  </si>
  <si>
    <t>TOTAL</t>
  </si>
  <si>
    <t>4. Conciliación Informe Sena &amp; Extracto Bancario</t>
  </si>
  <si>
    <t>Saldo informe Sena</t>
  </si>
  <si>
    <t>Impuestos Trasladados (ver hoja Impuestos)</t>
  </si>
  <si>
    <t>5. Conciliación cuenta  11100613 Vs 29020102</t>
  </si>
  <si>
    <t>Saldo cuenta 11100613</t>
  </si>
  <si>
    <t xml:space="preserve">Diferencia </t>
  </si>
  <si>
    <t xml:space="preserve">RESUMEN </t>
  </si>
  <si>
    <t>RESUMEN MOVIMIENTO MENSUAL</t>
  </si>
  <si>
    <t>SALDO ANTERIOR</t>
  </si>
  <si>
    <t>DEBITO</t>
  </si>
  <si>
    <t>CREDITO</t>
  </si>
  <si>
    <t>NUEVO SALDO</t>
  </si>
  <si>
    <t>TOTALES</t>
  </si>
  <si>
    <t>DIA</t>
  </si>
  <si>
    <t>TRANSACCIÓN</t>
  </si>
  <si>
    <t>IDENT.</t>
  </si>
  <si>
    <t>DEBITOS</t>
  </si>
  <si>
    <t>CREDITOS</t>
  </si>
  <si>
    <t>SALDO</t>
  </si>
  <si>
    <t xml:space="preserve">MOVIMIENTOS POR MAYOR - AUXILIAR: </t>
  </si>
  <si>
    <t xml:space="preserve"> </t>
  </si>
  <si>
    <t>Empresa: 2018 - FACULTAD INGENIERIA SEDE BOGOTA</t>
  </si>
  <si>
    <t>Cuenta Mayor: 11100613 - BANCO BBVA</t>
  </si>
  <si>
    <t>Auxiliar: 309045797 - CONTRATO SENA 2020  CO1.PCCNTR 1471299</t>
  </si>
  <si>
    <t xml:space="preserve">TpCo Genérico </t>
  </si>
  <si>
    <t xml:space="preserve">Específico </t>
  </si>
  <si>
    <t>Número</t>
  </si>
  <si>
    <t>Detalle</t>
  </si>
  <si>
    <t>Fecha Comp</t>
  </si>
  <si>
    <t>Valor Débito</t>
  </si>
  <si>
    <t>Valor Crédito</t>
  </si>
  <si>
    <t>Movimiento</t>
  </si>
  <si>
    <t>Saldo Anterior</t>
  </si>
  <si>
    <t>Saldo Final</t>
  </si>
  <si>
    <t>Auxiliar: 899999034 - SERVICIO NACIONAL DE APRENDIZAJE SENA</t>
  </si>
  <si>
    <t>EJECUCIÓN GASTOS PROYECTO</t>
  </si>
  <si>
    <t>Relación impuestos Rete fuente, Rete Ica y AFC</t>
  </si>
  <si>
    <t>Rete fuente - Ica- Rete Iva</t>
  </si>
  <si>
    <t>AFC</t>
  </si>
  <si>
    <t>Sub - Total Impuestos Liquidados</t>
  </si>
  <si>
    <t>Giros  Ban BBVA  a  Banco Popular</t>
  </si>
  <si>
    <t>Sub - Total  giros Unal</t>
  </si>
  <si>
    <t>Análisis GMF</t>
  </si>
  <si>
    <t>Todas las vigencias</t>
  </si>
  <si>
    <t>SIN GMF</t>
  </si>
  <si>
    <t>Valor GMF Info SENA</t>
  </si>
  <si>
    <t>Mes</t>
  </si>
  <si>
    <t>Valor</t>
  </si>
  <si>
    <t>Comprobante</t>
  </si>
  <si>
    <t>IVÁN GÓMEZ SIERRA</t>
  </si>
  <si>
    <t>Registros Cuenta Bancos 11100613</t>
  </si>
  <si>
    <t>Rendimientos financieros mes de abril de 2021</t>
  </si>
  <si>
    <t>Rendimientos financieros mes de mayo de 2021</t>
  </si>
  <si>
    <t>Rendimientos financieros mes de junio de 2021</t>
  </si>
  <si>
    <t>Rendimientos financieros mes de enero de 2021</t>
  </si>
  <si>
    <r>
      <t xml:space="preserve">PRIMER GIRO </t>
    </r>
    <r>
      <rPr>
        <b/>
        <sz val="12"/>
        <rFont val="Ancizar Sans"/>
        <family val="2"/>
      </rPr>
      <t>02 de julio de 2020</t>
    </r>
  </si>
  <si>
    <r>
      <t xml:space="preserve">RECURSOS CONTRAPARTIDA SENA POR ADHESIONES </t>
    </r>
    <r>
      <rPr>
        <sz val="12"/>
        <rFont val="Ancizar Sans"/>
        <family val="2"/>
      </rPr>
      <t>(Recursos incluidos dentro del Total de Recursos FE)</t>
    </r>
  </si>
  <si>
    <r>
      <t>VALOR CONTRAPARTIDA SENA POR ADHESIONES</t>
    </r>
    <r>
      <rPr>
        <b/>
        <sz val="12"/>
        <color indexed="62"/>
        <rFont val="Ancizar Sans"/>
        <family val="2"/>
      </rPr>
      <t xml:space="preserve"> </t>
    </r>
    <r>
      <rPr>
        <b/>
        <sz val="9"/>
        <color indexed="62"/>
        <rFont val="Ancizar Sans"/>
        <family val="2"/>
      </rPr>
      <t>(1)</t>
    </r>
  </si>
  <si>
    <r>
      <t xml:space="preserve">SEGUNDO GIRO </t>
    </r>
    <r>
      <rPr>
        <b/>
        <sz val="12"/>
        <rFont val="Ancizar Sans"/>
        <family val="2"/>
      </rPr>
      <t>30 de septiembre de 2020</t>
    </r>
  </si>
  <si>
    <t>Supervisor Financiero</t>
  </si>
  <si>
    <r>
      <t xml:space="preserve">TERCER GIRO </t>
    </r>
    <r>
      <rPr>
        <b/>
        <sz val="12"/>
        <rFont val="Ancizar Sans"/>
        <family val="2"/>
      </rPr>
      <t>20 de octubre de 2020</t>
    </r>
  </si>
  <si>
    <t xml:space="preserve">Pago Comisión Fiducia </t>
  </si>
  <si>
    <t>Transferencias al exterior</t>
  </si>
  <si>
    <t>FECHA CPTE</t>
  </si>
  <si>
    <t>No. CPTE</t>
  </si>
  <si>
    <t>No. FACTURA PROVEEDOR</t>
  </si>
  <si>
    <t>FECHA FACTURA PROVEEDOR</t>
  </si>
  <si>
    <t>NIT PROVEEDOR</t>
  </si>
  <si>
    <t>CONCEPTO DE LA FACTURA</t>
  </si>
  <si>
    <t>VALOR FACTURA ANTES DE IVA</t>
  </si>
  <si>
    <t>VALOR BASE DE IVA</t>
  </si>
  <si>
    <t>VALOR TOTAL IVA 19%</t>
  </si>
  <si>
    <t>VALOR TOTAL IVA 5%</t>
  </si>
  <si>
    <t>TOTAL FACTURA</t>
  </si>
  <si>
    <t>BASE DE IVA 19%</t>
  </si>
  <si>
    <t>BASE DE IVA 5%</t>
  </si>
  <si>
    <t>BASE DE IVA TOTAL</t>
  </si>
  <si>
    <t>VALOR IVA 19%</t>
  </si>
  <si>
    <t>VALOR IVA 5%</t>
  </si>
  <si>
    <t>TOTAL IVA</t>
  </si>
  <si>
    <t>Sede Bogotá</t>
  </si>
  <si>
    <t>Se ajustó presupuestalmente en Diciembre através del REI 1 correspondiente a la ODC 120 por el GMF por valor de $706.657</t>
  </si>
  <si>
    <r>
      <t xml:space="preserve">CUARTO GIRO </t>
    </r>
    <r>
      <rPr>
        <b/>
        <sz val="12"/>
        <rFont val="Ancizar Sans"/>
        <family val="2"/>
      </rPr>
      <t>11 de diciembre de 2020</t>
    </r>
  </si>
  <si>
    <t>MUNICIPIO DE YARUMAL</t>
  </si>
  <si>
    <t>MUNICIPIO DE TAURAMENA</t>
  </si>
  <si>
    <t>RETENCIONES</t>
  </si>
  <si>
    <t>Retenciones Septiembre</t>
  </si>
  <si>
    <t>GMF de Fygp</t>
  </si>
  <si>
    <t>Pago 1 FYGP</t>
  </si>
  <si>
    <t>Neoserra</t>
  </si>
  <si>
    <t>Evaluadores, firma digital y FYGP</t>
  </si>
  <si>
    <t>Impuestos Octubre</t>
  </si>
  <si>
    <t>Diferencia registrada de menos en GMF</t>
  </si>
  <si>
    <t>MUNICIPIO DE VILLANUEVA</t>
  </si>
  <si>
    <t>MUNICIPIO DE SAN JUAN DE URABÁ</t>
  </si>
  <si>
    <t>MUNICIPIO DE PLANADAS TOLIMA</t>
  </si>
  <si>
    <t>MUNICIPIO DE CALDAS</t>
  </si>
  <si>
    <t>MUNICIPIO DE BUGALAGRANDE</t>
  </si>
  <si>
    <t>MUNICIPIO DEL CARMEN DE VIBORAL</t>
  </si>
  <si>
    <t>MUNICIPIO PLANETA RICA</t>
  </si>
  <si>
    <t>DISTRITO DE BARRANCABERMEJA</t>
  </si>
  <si>
    <t>SOCIEDAD MINERA DE COBRE QUEBRADONA S.A.S. BIC.</t>
  </si>
  <si>
    <t>BANCO DAVIVIENDA CUENTA AHORRO No. 007700868925</t>
  </si>
  <si>
    <t>Rendimientos financieros mes de febrero de 2021</t>
  </si>
  <si>
    <t>Rendimientos financieros mes de marzo de 2021</t>
  </si>
  <si>
    <t>BANCO DAVIVIENDA CUENTA AHORRO No. 007700868958</t>
  </si>
  <si>
    <t>BANCO DAVIVIENDA CUENTA AHORRO No. 007700868933</t>
  </si>
  <si>
    <t>BANCO DAVIVIENDA CUENTA AHORRO No. 007700869055</t>
  </si>
  <si>
    <t>BANCO DAVIVIENDA CUENTA AHORRO No. 007700869022</t>
  </si>
  <si>
    <t>BANCO DAVIVIENDA CUENTA AHORRO No. 007700868941</t>
  </si>
  <si>
    <t>BANCO DAVIVIENDA CUENTA AHORRO No. 007700869063</t>
  </si>
  <si>
    <t>BANCO DAVIVIENDA CUENTA AHORRO No. 007700868966</t>
  </si>
  <si>
    <t>BANCO DAVIVIENDA CUENTA AHORRO No. 007700869014</t>
  </si>
  <si>
    <t>BANCO DAVIVIENDA CUENTA AHORRO No. 007700868974</t>
  </si>
  <si>
    <t>BANCO DAVIVIENDA CUENTA AHORRO No. 007700868990</t>
  </si>
  <si>
    <t>BANCO DAVIVIENDA CUENTA AHORRO No. 007700869089</t>
  </si>
  <si>
    <t>BANCO DAVIVIENDA CUENTA AHORRO No. 007700868982</t>
  </si>
  <si>
    <t>BANCO DAVIVIENDA CUENTA AHORRO No. 007700869097</t>
  </si>
  <si>
    <t>BANCO DAVIVIENDA CUENTA AHORRO No. 007700869105</t>
  </si>
  <si>
    <t>DETALLE DE MOVIMIENTOS BANCARIOS NO INCLUIDOS EN INFORME DE EJECUCIÓN FINANCIERA</t>
  </si>
  <si>
    <t>BANCO DAVIVIENDA CUENTA AHORRO No. 007700869113</t>
  </si>
  <si>
    <t>Nombre Adherente</t>
  </si>
  <si>
    <t>MUNICIPIO DE ITAGÜÍ</t>
  </si>
  <si>
    <t>MUNICIPIO DE GARZÓN</t>
  </si>
  <si>
    <t>DEPARTAMENTO DE SUCRE</t>
  </si>
  <si>
    <t>GRAMALOTE LIMITED</t>
  </si>
  <si>
    <t>Rendimientos financieros AL 31 DE ENERO DE 2021</t>
  </si>
  <si>
    <t>Rendimientos financieros AL 31 DE DICIEMBRE DE 2020</t>
  </si>
  <si>
    <t>FYG y Alejandro Munar</t>
  </si>
  <si>
    <t>GMF transferencias de Diciembre</t>
  </si>
  <si>
    <t>Rendimientos financieros AL 31 de diciembre de 2020</t>
  </si>
  <si>
    <t>Impuestos Diciembre y enero</t>
  </si>
  <si>
    <t xml:space="preserve">Giro Rendimientos semestrales mes de Febrero/2021 Cpte </t>
  </si>
  <si>
    <t>GMF por Rendimientos girados en el mes de febrero/2021</t>
  </si>
  <si>
    <t>GRAMALOTE COLOMBIA LIMITED</t>
  </si>
  <si>
    <t>MUNICIPIO DE ITAGUI</t>
  </si>
  <si>
    <t>SECRETARIADO NACIONAL DE PASTORIAL SOCIAL CARITAS COLOMBIANA</t>
  </si>
  <si>
    <t>Rendimientos financieros al 28 DE FEBRERO DE 2021</t>
  </si>
  <si>
    <t>GMF Transferencias Enero</t>
  </si>
  <si>
    <t>RENDIMIENTOS FINANCIEROS</t>
  </si>
  <si>
    <t>Menor valor trasladado</t>
  </si>
  <si>
    <t>Auxiliar: 800141235 - FIDUCIARIA POPULAR S A</t>
  </si>
  <si>
    <t>Cuenta Mayor: 19050301 - COMISIONES ENCARGOS FIDUCIARIOS</t>
  </si>
  <si>
    <t>Comisión de fiducia pendiente por amortizar</t>
  </si>
  <si>
    <t>GMF de impuestos girados en Febrero</t>
  </si>
  <si>
    <t>Rendimientos financieros al 31 DE MARZO DE 2021</t>
  </si>
  <si>
    <t xml:space="preserve">Evaluadores </t>
  </si>
  <si>
    <t>N/a</t>
  </si>
  <si>
    <t>MUNICIPIO DE SAMANIEGO</t>
  </si>
  <si>
    <t>JUVENTUDES - JÓVENES DEL TERRITORIO NACIONAL</t>
  </si>
  <si>
    <t>MINISTERIO DEL INTERIOR</t>
  </si>
  <si>
    <t>Diferencia corresponde a pago anticipado de la comisión fiduciaria 904-402-2655 más GMF</t>
  </si>
  <si>
    <t>TRANSFERENCIAS UNAL A FIDUCIA</t>
  </si>
  <si>
    <t>12 DE MARZO DE 2021</t>
  </si>
  <si>
    <t>TOTAL DINERO TRANSFERIDO A FIDUCIA</t>
  </si>
  <si>
    <t>Evaluadores y FYGP</t>
  </si>
  <si>
    <t>GMF Transferencias Marzo</t>
  </si>
  <si>
    <t>Rendimientos financieros AL 30 DE ABRIL DE 2021</t>
  </si>
  <si>
    <t>Rendimientos financieros al 30 DE ABRIL DE 2021</t>
  </si>
  <si>
    <t>Rendimientos financieros AL 31 DE MARZO DE 2021</t>
  </si>
  <si>
    <t>GMF comisión fiduciaria</t>
  </si>
  <si>
    <t>No. CONVOCATORIA</t>
  </si>
  <si>
    <t>No.CONTRATO COOPERACION</t>
  </si>
  <si>
    <t>NIT EMPRENDEDOR</t>
  </si>
  <si>
    <t xml:space="preserve">NOMBRE DE PROYECTO </t>
  </si>
  <si>
    <t>ID DE PROYECTO</t>
  </si>
  <si>
    <t>REGIONAL</t>
  </si>
  <si>
    <t>VR. BRUTO</t>
  </si>
  <si>
    <t>Antioquia</t>
  </si>
  <si>
    <t>Caldas</t>
  </si>
  <si>
    <t>Risaralda</t>
  </si>
  <si>
    <t>Norte de Santander</t>
  </si>
  <si>
    <t>APLICADO</t>
  </si>
  <si>
    <t>Impuestos Abril, marzo y enero</t>
  </si>
  <si>
    <t>GMF Transferencias Abril</t>
  </si>
  <si>
    <t>GMF impuestos pendiente por girar</t>
  </si>
  <si>
    <t>FYGP</t>
  </si>
  <si>
    <t>Mayor valor recibido</t>
  </si>
  <si>
    <t>Saldo Contable por Ejecutar</t>
  </si>
  <si>
    <t xml:space="preserve">Saldo por Ejecutar </t>
  </si>
  <si>
    <t>Unal</t>
  </si>
  <si>
    <t>Total por Ejecutar Inf. SENA</t>
  </si>
  <si>
    <t>Fidupopular</t>
  </si>
  <si>
    <t>MUNICIPIO DE MANIZALES</t>
  </si>
  <si>
    <t>UNAL</t>
  </si>
  <si>
    <t>FIDUPOPULAR</t>
  </si>
  <si>
    <t>Rendimientos financieros AL 31 DE MAYO DE 2021</t>
  </si>
  <si>
    <t>BANCO DAVIVIENDA CUENTA AHORRO No. 007700869733</t>
  </si>
  <si>
    <t>Mayor valor consignado por devolución de comisión de fiducia</t>
  </si>
  <si>
    <t>GMF CAPITAL SEMILLA</t>
  </si>
  <si>
    <t>Rendimientos financieros AL 30 DE JUNIO DE 2021</t>
  </si>
  <si>
    <t>(+) CREDITOS</t>
  </si>
  <si>
    <t>(-) DEBITOS</t>
  </si>
  <si>
    <t>GMF Transferencias Mayo</t>
  </si>
  <si>
    <t>Impuestos mayo</t>
  </si>
  <si>
    <t>GMF de impuestos pendientes por girar</t>
  </si>
  <si>
    <t>GMF Comisión fiduciaria</t>
  </si>
  <si>
    <t>BANCO DAVIVIENDA CUENTA AHORRO No. 007700870228</t>
  </si>
  <si>
    <t>BANCO DAVIVIENDA CUENTA AHORRO No. 007700870384</t>
  </si>
  <si>
    <t>BANCO DAVIVIENDA CUENTA AHORRO No. 007770358153</t>
  </si>
  <si>
    <t>Proyección GMF contratos de adhesión vigentes</t>
  </si>
  <si>
    <t>SALDO GMF POR GIRAR A LA FIDUCIARIA</t>
  </si>
  <si>
    <t xml:space="preserve">Giro a fiducia de GMF contratos de adhesión grupo 2 y 3 </t>
  </si>
  <si>
    <t>GMF Transferencias Junio</t>
  </si>
  <si>
    <t>Impuestos junio</t>
  </si>
  <si>
    <t>Evaluadores</t>
  </si>
  <si>
    <t>Rendimientos financieros mes de julio de 2021</t>
  </si>
  <si>
    <t>Rendimientos financieros para cubrir GMF adhesiones</t>
  </si>
  <si>
    <t>Rendimientos financieros AL 31 DE JULIO DE 2021</t>
  </si>
  <si>
    <t>DEPARTAMENTO DE NORTE DE SANTANDER</t>
  </si>
  <si>
    <t>MUNICIPIO DE LA VIRGINIA</t>
  </si>
  <si>
    <t>22 DE JULIO DE 2021 (SENA)</t>
  </si>
  <si>
    <t>Amortización facturas mayo y junio de la fiduciaria comprobantes 905 -501-95 y 96</t>
  </si>
  <si>
    <t>MUNICIPIO DE ACACÍAS</t>
  </si>
  <si>
    <t>Amortización fiduciaria Julio comprobante 905-503-119</t>
  </si>
  <si>
    <t>Cuenta Mayor: 29020103 - RENDIMIENTOS –MANDATO (CONVENIOS Y CONTRATOS DE MEDIOS)</t>
  </si>
  <si>
    <t>GMF Transferencias Julio</t>
  </si>
  <si>
    <t>Rendimientos financieros mes de agosto de 2021</t>
  </si>
  <si>
    <t>TOTAL RENDIMIENTOS GENERADOS POR RECURSOS DEL FONDO DE JULIO A DICIEMBRE 2021</t>
  </si>
  <si>
    <t xml:space="preserve">Giro Rendimientos semestrales mes de Agosto/2021 </t>
  </si>
  <si>
    <t>GMF por Rendimientos girados en el mes de agosto/2021</t>
  </si>
  <si>
    <t>Rendimientos financieros AL 31 DE AGOSTO DE 2021</t>
  </si>
  <si>
    <t>BANCO BBVA CUENTA AHORRO No.0309000200048510</t>
  </si>
  <si>
    <t>BANCO BBVA CUENTA AHORRO No.0309000200048544</t>
  </si>
  <si>
    <t>Saldo de intereses para cubrir GMF de adhesion</t>
  </si>
  <si>
    <t>BANCO DE BBVA CUENTA AHORROS No. 001303090200045797</t>
  </si>
  <si>
    <t>TOTAL APORTE</t>
  </si>
  <si>
    <t>EJECUCIÓN</t>
  </si>
  <si>
    <t>% EJECUCIÓN</t>
  </si>
  <si>
    <t>GMF de egresos  9117 y 9177</t>
  </si>
  <si>
    <t>*(Ver detalle Informe de Ejecución de Adhesiones)</t>
  </si>
  <si>
    <t>EJECUCION CAPITAL  ADHESIONES</t>
  </si>
  <si>
    <t>VALOR APORTADO POR EL ENTE ADHERENTE</t>
  </si>
  <si>
    <t xml:space="preserve">PARTICIPACION APORTE ADHERENTE </t>
  </si>
  <si>
    <t>VALOR APORTADO POR SENA</t>
  </si>
  <si>
    <t xml:space="preserve">PARTICIPACION APORTE SENA </t>
  </si>
  <si>
    <t>TOTAL VALOR DE LA ADHESION</t>
  </si>
  <si>
    <t>EJECUCION ACUMULADA MES ANTERIOR</t>
  </si>
  <si>
    <t xml:space="preserve">EJECUCION MENSUAL </t>
  </si>
  <si>
    <t xml:space="preserve">TOTAL EJECUTADO CAPITAL </t>
  </si>
  <si>
    <t xml:space="preserve">CAPITAL SEMILLA - ADHESIONES </t>
  </si>
  <si>
    <t xml:space="preserve"> APORTES ADHERENTES</t>
  </si>
  <si>
    <t>EJECUCIÓN APORTE SENA (1)</t>
  </si>
  <si>
    <t xml:space="preserve">CAPITAL </t>
  </si>
  <si>
    <t>EJECUCION APORTES ADHERENTES</t>
  </si>
  <si>
    <t xml:space="preserve">EJECUCION GMF- ADHESIONES </t>
  </si>
  <si>
    <t xml:space="preserve">TOTAL GMF </t>
  </si>
  <si>
    <t>EJECUCIÓN ADHERENTES</t>
  </si>
  <si>
    <t xml:space="preserve">EJECUCIÓN SENA </t>
  </si>
  <si>
    <t>TOTAL GMF</t>
  </si>
  <si>
    <t>DETALLE EJECUCIÓN ADHERENTES</t>
  </si>
  <si>
    <t xml:space="preserve">No. CONVOCATORIA </t>
  </si>
  <si>
    <t>Valor Aporte Adherente</t>
  </si>
  <si>
    <t xml:space="preserve">EJECUCION APORTES ADHERENTES </t>
  </si>
  <si>
    <t>SALDO POR EJECUTAR EN UNAL</t>
  </si>
  <si>
    <t>SALDO TOTAL POR EJECUTAR ADHESIONES</t>
  </si>
  <si>
    <t>EJECUCIÓN MUNICIPIO DE ITAGÜÍ</t>
  </si>
  <si>
    <t xml:space="preserve">EJECUCIÓN MUNICIPIO DE TAURAMENA </t>
  </si>
  <si>
    <t>EJECUCIÓN MUNICIPIO DE GARZÓN</t>
  </si>
  <si>
    <t>Municipio de Itagüí</t>
  </si>
  <si>
    <t>Municipio de Tauramena</t>
  </si>
  <si>
    <t>Municipio de Garzón</t>
  </si>
  <si>
    <t>EJECUCIÓN MUNICIPIO DE CALDAS</t>
  </si>
  <si>
    <t>Municipio de Caldas</t>
  </si>
  <si>
    <t>(1) La ejecución correspondiente a SENA se registra con cargo a los recursos del Capital Semilla por valor de $108.935.190.000. Ver hoja Principal del Informe</t>
  </si>
  <si>
    <t xml:space="preserve">TOTAL EJECUTADO GMF </t>
  </si>
  <si>
    <t>Valor traslado a Fiducia</t>
  </si>
  <si>
    <t>Municipio de Bugalagrande</t>
  </si>
  <si>
    <t xml:space="preserve">SALDO POR EJECUTAR EN FIDUCIA </t>
  </si>
  <si>
    <t>JULIO</t>
  </si>
  <si>
    <t>AGOSTO</t>
  </si>
  <si>
    <t xml:space="preserve">RENDIMIENTOS FINANCIEROS </t>
  </si>
  <si>
    <t xml:space="preserve">Total Rendimientos Financieros </t>
  </si>
  <si>
    <t>Nombre cuenta</t>
  </si>
  <si>
    <t>SENA BBVA</t>
  </si>
  <si>
    <t xml:space="preserve">Rendimientos disponibles </t>
  </si>
  <si>
    <t>NOMBRE O RAZON SOCIAL PROVEEDOR</t>
  </si>
  <si>
    <t>17 DE SEPTIEMBRE DE 2021 (GRUPO 4)</t>
  </si>
  <si>
    <t>Rendimientos financieros mes de septiembre de 2021</t>
  </si>
  <si>
    <t>Rendimientos financieros AL 30 DE SEPTIEMBRE DE 2021</t>
  </si>
  <si>
    <t>Municipio de Carmen de Viboral</t>
  </si>
  <si>
    <t>EJECUCIÓN MUNICIPIO DE CARMEN DE VIBORAL</t>
  </si>
  <si>
    <t>EJECUCIÓN MUNICIPIO DE BUGALAGRANDE</t>
  </si>
  <si>
    <t>Giro a fiducia de GMF contratos de adhesión grupo 4</t>
  </si>
  <si>
    <t xml:space="preserve">Municipio de Villanueva </t>
  </si>
  <si>
    <t>Municipio de Yarumal</t>
  </si>
  <si>
    <t>Municipio de Planadas</t>
  </si>
  <si>
    <t>Municipio de Planeta Rica</t>
  </si>
  <si>
    <t>Municipio de Barrancabermeja</t>
  </si>
  <si>
    <t>Secretariado Nacional de Pastoral Social Caritas Colombiana</t>
  </si>
  <si>
    <t>Sociedad Minera de Cobre Quebradona S.A.S. BIC.</t>
  </si>
  <si>
    <t>Gramalote Limited</t>
  </si>
  <si>
    <t>Amortización fiduciaria Agosto comprobante 905-503-133</t>
  </si>
  <si>
    <t>DISTRITO ESPECIAL TURISTICO Y CULTURAL DE RIOHACHA</t>
  </si>
  <si>
    <t>Evaluadores, FYGP</t>
  </si>
  <si>
    <t>Impuestos Agosto</t>
  </si>
  <si>
    <t>GMF Transferencias Agosto</t>
  </si>
  <si>
    <t>GMF de los impuestos por trasladar</t>
  </si>
  <si>
    <t>CONVOCATORIA</t>
  </si>
  <si>
    <t>MUNICIPIO DE ACACIAS</t>
  </si>
  <si>
    <t>FEBRERO</t>
  </si>
  <si>
    <t>ENERO</t>
  </si>
  <si>
    <t>MARZO</t>
  </si>
  <si>
    <t>ABRIL</t>
  </si>
  <si>
    <t>MAYO</t>
  </si>
  <si>
    <t>JUNIO</t>
  </si>
  <si>
    <t>SEPTIEMBRE</t>
  </si>
  <si>
    <t>OCTUBRE</t>
  </si>
  <si>
    <t>NOVIEMBRE</t>
  </si>
  <si>
    <t>DICIEMBRE</t>
  </si>
  <si>
    <t xml:space="preserve">TOTAL RENDIMIENTOS DISPONIBLES AL </t>
  </si>
  <si>
    <t xml:space="preserve">Rendimientos financieros AL </t>
  </si>
  <si>
    <t xml:space="preserve">UNIVERSIDAD NACIONAL DE COLOMBIA
NIT.  899.999.063-3
CONTRATO INTERADMINISTRATIVO  1471299
ANEXO 6:  RENDIMIENTOS FINANCIEROS CUENTA ITAGÜÍ  
AL </t>
  </si>
  <si>
    <t xml:space="preserve">UNIVERSIDAD NACIONAL DE COLOMBIA
NIT.  899.999.063-3
CONTRATO INTERADMINISTRATIVO  1471299
ANEXO 6:  RENDIMIENTOS FINANCIEROS CUENTA VILLANUEVA  
AL </t>
  </si>
  <si>
    <t xml:space="preserve">UNIVERSIDAD NACIONAL DE COLOMBIA
NIT.  899.999.063-3
CONTRATO INTERADMINISTRATIVO  1471299
ANEXO 6:  RENDIMIENTOS FINANCIEROS CUENTA SAN JUAN DE URABÁ  
AL </t>
  </si>
  <si>
    <t xml:space="preserve">UNIVERSIDAD NACIONAL DE COLOMBIA
NIT.  899.999.063-3
CONTRATO INTERADMINISTRATIVO  1471299
ANEXO 6:  RENDIMIENTOS FINANCIEROS CUENTA YARUMAL 
AL </t>
  </si>
  <si>
    <t xml:space="preserve">UNIVERSIDAD NACIONAL DE COLOMBIA
NIT.  899.999.063-3
CONTRATO INTERADMINISTRATIVO  1471299
ANEXO 6:  RENDIMIENTOS FINANCIEROS CUENTA 
DEPARTAMENTO DE SUCRE 
AL </t>
  </si>
  <si>
    <t xml:space="preserve">UNIVERSIDAD NACIONAL DE COLOMBIA
NIT.  899.999.063-3
CONTRATO INTERADMINISTRATIVO  1471299
ANEXO 6:  RENDIMIENTOS FINANCIEROS CUENTA PLANADAS
AL </t>
  </si>
  <si>
    <t xml:space="preserve">UNIVERSIDAD NACIONAL DE COLOMBIA
NIT.  899.999.063-3
CONTRATO INTERADMINISTRATIVO  1471299
ANEXO 6:  RENDIMIENTOS FINANCIEROS CUENTA CALDAS
AL </t>
  </si>
  <si>
    <t xml:space="preserve">UNIVERSIDAD NACIONAL DE COLOMBIA
NIT.  899.999.063-3
CONTRATO INTERADMINISTRATIVO  1471299
ANEXO 6:  RENDIMIENTOS FINANCIEROS CUENTA CARMEN DE VIBORAL
AL </t>
  </si>
  <si>
    <t xml:space="preserve">UNIVERSIDAD NACIONAL DE COLOMBIA
NIT.  899.999.063-3
CONTRATO INTERADMINISTRATIVO  1471299
ANEXO 6:  RENDIMIENTOS FINANCIEROS CUENTA PLANETA RICA
AL </t>
  </si>
  <si>
    <t xml:space="preserve">UNIVERSIDAD NACIONAL DE COLOMBIA
NIT.  899.999.063-3
CONTRATO INTERADMINISTRATIVO  1471299
ANEXO 6:  RENDIMIENTOS FINANCIEROS CUENTA BARRANCABERMEJA
AL </t>
  </si>
  <si>
    <t xml:space="preserve">UNIVERSIDAD NACIONAL DE COLOMBIA
NIT.  899.999.063-3
CONTRATO INTERADMINISTRATIVO  1471299
ANEXO 6:  RENDIMIENTOS FINANCIEROS CUENTA GRAMALOTE
AL </t>
  </si>
  <si>
    <t xml:space="preserve">UNIVERSIDAD NACIONAL DE COLOMBIA
NIT.  899.999.063-3
CONTRATO INTERADMINISTRATIVO  1471299
ANEXO 6:  RENDIMIENTOS FINANCIEROS CUENTA PASTORAL SOCIAL CARITAS
AL </t>
  </si>
  <si>
    <t xml:space="preserve">UNIVERSIDAD NACIONAL DE COLOMBIA
NIT.  899.999.063-3
CONTRATO INTERADMINISTRATIVO  1471299
ANEXO 6:  RENDIMIENTOS FINANCIEROS CUENTA MINERA DE COBRE 
QUEBRADONA
AL </t>
  </si>
  <si>
    <t xml:space="preserve">UNIVERSIDAD NACIONAL DE COLOMBIA
NIT.  899.999.063-3
CONTRATO INTERADMINISTRATIVO  1471299
ANEXO 6:  RENDIMIENTOS FINANCIEROS CUENTA MINISTERIO DEL INTERIOR
AL </t>
  </si>
  <si>
    <t xml:space="preserve">UNIVERSIDAD NACIONAL DE COLOMBIA
NIT.  899.999.063-3
CONTRATO INTERADMINISTRATIVO  1471299
ANEXO 6:  RENDIMIENTOS FINANCIEROS CUENTA MUNICIPIO MANIZALES
AL </t>
  </si>
  <si>
    <t xml:space="preserve">UNIVERSIDAD NACIONAL DE COLOMBIA
NIT.  899.999.063-3
CONTRATO INTERADMINISTRATIVO  1471299
ANEXO 6:  RENDIMIENTOS FINANCIEROS CUENTA MUNICIPIO DE LA VIRGINIA
AL </t>
  </si>
  <si>
    <t xml:space="preserve">UNIVERSIDAD NACIONAL DE COLOMBIA
NIT.  899.999.063-3
CONTRATO INTERADMINISTRATIVO  1471299
ANEXO 6:  RENDIMIENTOS FINANCIEROS CUENTA MUNICIPIO DE LA ACACÍAS
AL </t>
  </si>
  <si>
    <t xml:space="preserve">UNIVERSIDAD NACIONAL DE COLOMBIA
NIT.  899.999.063-3
CONTRATO INTERADMINISTRATIVO  1471299
ANEXO 6:  RENDIMIENTOS FINANCIEROS CUENTA DISTRITO 
ESPECIAL TURISTICO Y CULTURAL DE RIOHACHA
AL </t>
  </si>
  <si>
    <t xml:space="preserve">TOTAL RENDIMIENTOS GENERADOS POR LOS RECURSOS DEL FONDO DE </t>
  </si>
  <si>
    <t xml:space="preserve">UNIVERSIDAD NACIONAL DE COLOMBIA
NIT.  899.999.063-3
CONTRATO INTERADMINISTRATIVO  1471299
ANEXO 6:  RENDIMIENTOS FINANCIEROS CUENTA GARZON 
AL </t>
  </si>
  <si>
    <t xml:space="preserve">UNIVERSIDAD NACIONAL DE COLOMBIA
NIT.  899.999.063-3
CONTRATO INTERADMINISTRATIVO  1471299
INFORME DE EJECUCION ADHESIONES 
DEL 1 AL </t>
  </si>
  <si>
    <t xml:space="preserve">UNIVERSIDAD NACIONAL DE COLOMBIA
NIT.  899.999.063-3
CONTRATO INTERADMINISTRATIVO  1471299
ANEXO 7: EJECUCION CAPITAL SEMILLA 
DEL 1 AL </t>
  </si>
  <si>
    <t xml:space="preserve">UNIVERSIDAD NACIONAL DE COLOMBIA
NIT.  899.999.063-3
CONTRATO INTERADMINISTRATIVO  1471299
ANEXO 2:  RENDIMIENTOS FINANCIEROS CUENTA SENA  
AL </t>
  </si>
  <si>
    <t xml:space="preserve">UNIVERSIDAD NACIONAL DE COLOMBIA
NIT.  899.999.063-3
CONTRATO INTERADMINISTRATIVO  1471299
ANEXO 6:  RENDIMIENTOS FINANCIEROS CUENTA BUGALAGRANDE
AL </t>
  </si>
  <si>
    <t xml:space="preserve">UNIVERSIDAD NACIONAL DE COLOMBIA
NIT.  899.999.063-3
CONTRATO INTERADMINISTRATIVO  1471299
ANEXO 6:  RENDIMIENTOS FINANCIEROS CUENTA DEPARTAMENTO DE NORTE DE SANTANDER
AL </t>
  </si>
  <si>
    <t xml:space="preserve">UNIVERSIDAD NACIONAL DE COLOMBIA
NIT.  899.999.063-3
CONTRATO INTERADMINISTRATIVO  1471299
ANEXO 4:  RELACIÓN FACTURAS CON IVA  
AL </t>
  </si>
  <si>
    <t xml:space="preserve">UNIVERSIDAD NACIONAL DE COLOMBIA
NIT.  899.999.063-3
CONTRATO INTERADMINISTRATIVO  1471299
ANEXO 3:  RELACION CORRIENTE /NO CORRIENTE SALDO POR EJECUTAR
AL </t>
  </si>
  <si>
    <t xml:space="preserve">UNIVERSIDAD NACIONAL DE COLOMBIA
NIT.  899.999.063-3
CONTRATO INTERADMINISTRATIVO  1471299
ANEXO 6:  RENDIMIENTOS FINANCIEROS CUENTA TAURAMENA 
AL </t>
  </si>
  <si>
    <t xml:space="preserve">UNIVERSIDAD NACIONAL DE COLOMBIA
NIT.  899.999.063-3
CONTRATO INTERADMINISTRATIVO  1471299
INFORME DE EJECUCION FINANCIERA No. </t>
  </si>
  <si>
    <t>Rendimientos financieros AL 31 DE OCTUBRE DE 2021</t>
  </si>
  <si>
    <t>20 DE OCTUBRE DE 2021 (GRUPO 5)</t>
  </si>
  <si>
    <t>Rendimientos financieros mes de octubre de 2021</t>
  </si>
  <si>
    <t>Giro a fiducia de GMF contratos de adhesión grupo 5</t>
  </si>
  <si>
    <t>EJECUCIÓN GRAMALOTE</t>
  </si>
  <si>
    <t>EJECUCIÓN MUNICIPIO DE BARRANCABERMEJA</t>
  </si>
  <si>
    <t>EJECUCIÓN MUNICIPIO DE YARUMAL</t>
  </si>
  <si>
    <t>EJECUCIÓN  PASTORAL SOCIAL</t>
  </si>
  <si>
    <t>EJECUCIÓN  QUEBRADONA</t>
  </si>
  <si>
    <t>Departamento de Sucre</t>
  </si>
  <si>
    <t>Amortización fiduciaria Septiembre comprobante 905-503-178</t>
  </si>
  <si>
    <t>Evaluadores y red de emprendedores</t>
  </si>
  <si>
    <t>Impuestos Septiembre</t>
  </si>
  <si>
    <t>GMF Transferencias Septiembre</t>
  </si>
  <si>
    <t># DE PROYECTO</t>
  </si>
  <si>
    <t>NIT/CC</t>
  </si>
  <si>
    <t>BENEFICIARIO</t>
  </si>
  <si>
    <t xml:space="preserve">No, DOCUMENTO A PAGAR </t>
  </si>
  <si>
    <t>No, DE CUENTA</t>
  </si>
  <si>
    <t>No. DE SOLICITUD</t>
  </si>
  <si>
    <t>FECHA OP</t>
  </si>
  <si>
    <t>VR. RTEFTE</t>
  </si>
  <si>
    <t>VR. RETEIVA</t>
  </si>
  <si>
    <t>VR. RETEICA</t>
  </si>
  <si>
    <t>VR, RETECREE</t>
  </si>
  <si>
    <t>VR, PAGADO</t>
  </si>
  <si>
    <t># ACH</t>
  </si>
  <si>
    <t>FECHA DE MOVIMIENTO</t>
  </si>
  <si>
    <t>VALOR APROBADO EN ACTA CDN</t>
  </si>
  <si>
    <t>Gramalote Colombia Limited</t>
  </si>
  <si>
    <t>Municipio de Villanueva</t>
  </si>
  <si>
    <t>MUNICIPIO DE PLANADAS</t>
  </si>
  <si>
    <t>MUNICIPIO DE PLANETA RICA</t>
  </si>
  <si>
    <t>Secretariado Nacional De Pastoral Social Caritas Colombiana</t>
  </si>
  <si>
    <t>SECRETARIADO NACIONAL DE PASTORAL SOCIAL CARITAS COLOMBIANA</t>
  </si>
  <si>
    <t>Rendimientos financieros AL 30 DE NOVIEMBRE DE 2021</t>
  </si>
  <si>
    <t>EJECUCIÓN PLANADAS TOLIMA</t>
  </si>
  <si>
    <t>Cuenta Mayor: 29020102 - EN ADMINISTRACIÓN –MANDATO (CONVENIOS Y CONTRATOS DE MEDIOS)</t>
  </si>
  <si>
    <t>Auxiliar: 899999034 - SERVICIO NACIONAL DE APRENDIZAJE</t>
  </si>
  <si>
    <t>Rendimientos financieros mes de noviembre de 2021</t>
  </si>
  <si>
    <t>GMF Transferencias Octubre</t>
  </si>
  <si>
    <t>Impuestos Octubre 2021</t>
  </si>
  <si>
    <t>No INFORME</t>
  </si>
  <si>
    <t>No</t>
  </si>
  <si>
    <t xml:space="preserve">TOTAL REINTEGRO </t>
  </si>
  <si>
    <t>GMF REINTEGRO</t>
  </si>
  <si>
    <t xml:space="preserve">TOTAL NETO CAPITAL </t>
  </si>
  <si>
    <t>TOTAL NETO GMF</t>
  </si>
  <si>
    <t>22 DE DICIEMBRE DE 2021 (GRUPO 6)</t>
  </si>
  <si>
    <t>Municipio de San Juan de Urabá</t>
  </si>
  <si>
    <t>Ministerio del Interior</t>
  </si>
  <si>
    <t>EJECUCIÓN MUNICIPIO DE  PLANETA RICA</t>
  </si>
  <si>
    <t>EJECUCIÓN MUNICIPIO DE  VILLANUEVA</t>
  </si>
  <si>
    <t>EJECUCIÓN DEPARTAMENTO DE SUCRE</t>
  </si>
  <si>
    <t>Amortización fiduciaria Octubre comprobante 905-503-203</t>
  </si>
  <si>
    <t>Rendimientos financieros mes de diciembre de 2021</t>
  </si>
  <si>
    <t>Giro a fiducia de GMF contratos de adhesión grupo 6</t>
  </si>
  <si>
    <t>GMF Transferencias Noviembre</t>
  </si>
  <si>
    <t>TIPO DE CUENTA</t>
  </si>
  <si>
    <t>MOTIVO DE RECHAZO</t>
  </si>
  <si>
    <t>FECHA DE RECHAZO</t>
  </si>
  <si>
    <t>INTERVENTOR LÍDER</t>
  </si>
  <si>
    <t>PROF ENLACE</t>
  </si>
  <si>
    <t>04</t>
  </si>
  <si>
    <t>Paula Mendoza</t>
  </si>
  <si>
    <t>Diego Gutierres</t>
  </si>
  <si>
    <t>01</t>
  </si>
  <si>
    <t>Rendimientos financieros AL 31 DE DICIEMBRE DE 2021</t>
  </si>
  <si>
    <t>Menos</t>
  </si>
  <si>
    <r>
      <t xml:space="preserve">[1] </t>
    </r>
    <r>
      <rPr>
        <sz val="12"/>
        <rFont val="Ancizar Sans"/>
        <family val="2"/>
      </rPr>
      <t>El valor de Contrapartida SENA por $21.844.247.198  esta incluido dentro del total de los recursos del Fondo Emprender por valor de $108.935.190.000 y hacen parte del Capital Semilla, según lo aprobado en el anexo 3 del contrato interadministrativo No.CO1 .PCCNTR. 1471299  del 23 de abril  de 2020</t>
    </r>
  </si>
  <si>
    <t>Rendimientos financieros mes de enero de 2022</t>
  </si>
  <si>
    <t>TOTAL RENDIMIENTOS GENERADOS POR RECURSOS DEL FONDO DE ENERO A JUNIO 2022</t>
  </si>
  <si>
    <t>ABONO INTERESES GANADOS</t>
  </si>
  <si>
    <t>Amortización fiduciaria Noviembre y Diciembre comprobante 905-503-2 y 905-503-3</t>
  </si>
  <si>
    <t>Rendimientos financieros AL 31 DE ENERO DE 2022</t>
  </si>
  <si>
    <t>GMF Transferencias Diciembre</t>
  </si>
  <si>
    <t>Impuestos, Gravamen de los impuestos, retenciones</t>
  </si>
  <si>
    <t xml:space="preserve">Giro Rendimientos semestrales mes de Febrero/2022 Cpte </t>
  </si>
  <si>
    <t>GMF por Rendimientos girados en el mes de febrero/2022</t>
  </si>
  <si>
    <t>EJECUCIÓN MINISTERIO DEL INTERIOR</t>
  </si>
  <si>
    <t>TRASLADO DE IMPUESTOS DE DICIEMBRE 2021 PROYECTO 309010025881</t>
  </si>
  <si>
    <t>Rendimientos financieros mes de febrero de 2022</t>
  </si>
  <si>
    <t>4 POR MIL</t>
  </si>
  <si>
    <t>PAGO A PROVEEDORES</t>
  </si>
  <si>
    <t>IMPUESTO DECRETO</t>
  </si>
  <si>
    <t>CARGO DOMI. 899999063</t>
  </si>
  <si>
    <t>DEVOLUCION RENDIMIENTOS</t>
  </si>
  <si>
    <t>Amortización fiduciaria Enero comprobante 905-503-8 y su gmf correspondiente (911-156-22)</t>
  </si>
  <si>
    <t>Rendimientos financieros AL 28 DE FEBRERO DE 2022</t>
  </si>
  <si>
    <t>Saldo Balance</t>
  </si>
  <si>
    <t>GIOVANNI FERNANDO HURTADO VANEGAS</t>
  </si>
  <si>
    <t>TP-122632-T</t>
  </si>
  <si>
    <t>Contador</t>
  </si>
  <si>
    <t>Rendimientos financieros AL 31 DE MARZO DE 2022</t>
  </si>
  <si>
    <t>30 DE MARZO DE 2022</t>
  </si>
  <si>
    <t>9 DE MARZO DE 2022 (GRUPO 7)</t>
  </si>
  <si>
    <t>Giro a fiducia de GMF contratos de adhesión grupo 7</t>
  </si>
  <si>
    <t>La Viginia</t>
  </si>
  <si>
    <t>Acacias</t>
  </si>
  <si>
    <t>Rioacha</t>
  </si>
  <si>
    <t>EJECUCIÓN MANIZALES</t>
  </si>
  <si>
    <t>Amortización fiduciaria Enero comprobante 905-503-24</t>
  </si>
  <si>
    <t>TRASLADO DE IMPUESTOS DEL MES DE FEBRERO DE 2022 PROYECTO 309010025881</t>
  </si>
  <si>
    <t>Rendimientos financieros mes de marzo de 2022</t>
  </si>
  <si>
    <t>GMF Transferencias febrero</t>
  </si>
  <si>
    <t>Matrix (Fiduagraria)</t>
  </si>
  <si>
    <t>TRASLADO DE CAPITAL SEMILLA</t>
  </si>
  <si>
    <t>Devolución Reteiva Confecamaras</t>
  </si>
  <si>
    <t>Saldo Extracto</t>
  </si>
  <si>
    <t>Saldo Ext - Rendi</t>
  </si>
  <si>
    <t>Rendimientos financieros AL 30 DE ABRIL DE 2022</t>
  </si>
  <si>
    <t>7 DE ABRIL DE 2022 (GRUPO 8)</t>
  </si>
  <si>
    <t>Ministerio del Interior-2 cierre</t>
  </si>
  <si>
    <t>EJECUCIÓN SAN JUAN DE URABA</t>
  </si>
  <si>
    <t>Giro a fiducia de GMF contratos de adhesión grupo 8</t>
  </si>
  <si>
    <t>Rendimientos financieros mes de abril de 2022</t>
  </si>
  <si>
    <t>TRASLADO GMF DE CAPITAL SEMILLA MATRIX</t>
  </si>
  <si>
    <t>914-140-22 GMF $40.000.000 de los $10.000.000.000</t>
  </si>
  <si>
    <t>GMF Transferencias marzo</t>
  </si>
  <si>
    <t>MUNICIPIO DE GARZON</t>
  </si>
  <si>
    <t>MUNICIPIO DE SAN JUAN DE URABA</t>
  </si>
  <si>
    <t>MUNICIPIO EL CARMEN DE VIBORAL</t>
  </si>
  <si>
    <t>MUNICIPIO DE BARRANCABERMEJA</t>
  </si>
  <si>
    <t>MINERA DE COBRE QUEBRADONA S.A.S BENEFICIO E INTERÉS COLECTIVO</t>
  </si>
  <si>
    <t>DEPARTAMENTO NORTE DE SANTANDER</t>
  </si>
  <si>
    <t>MURILLO BORJA OLGA YENNY</t>
  </si>
  <si>
    <t>54977475581</t>
  </si>
  <si>
    <t>EMPRESA</t>
  </si>
  <si>
    <t>SECTOR DE LA ECONOMÍA</t>
  </si>
  <si>
    <t>PROGRAMA</t>
  </si>
  <si>
    <t>VALOR DESEMBOLSO</t>
  </si>
  <si>
    <t>Rendimientos financieros mes de mayo de 2022</t>
  </si>
  <si>
    <t>Ruth Rodriguez</t>
  </si>
  <si>
    <t>HINCAPIÉ GUERRA LEIDY MARJORY</t>
  </si>
  <si>
    <t>Gobernación Norte de Santander -1 Cierre</t>
  </si>
  <si>
    <t>ORTEGA PIÑERES JULIO DAVID</t>
  </si>
  <si>
    <t>Municipio Rioacha (Guajira)- 1 Cierre</t>
  </si>
  <si>
    <t>EJECUCIÓN LA VIRGINIA</t>
  </si>
  <si>
    <t>EJECUCIÓN NORTE DE SANTANDER</t>
  </si>
  <si>
    <t>CONSTRUYO RED S A S y FYGP</t>
  </si>
  <si>
    <t>Rendimientos financieros AL 31 DE MAYO DE 2022</t>
  </si>
  <si>
    <t>DESEMBOLSO EMPRENDEDORES</t>
  </si>
  <si>
    <t>RETEFUENTE</t>
  </si>
  <si>
    <t>EJECUCIÓN ACACIAS</t>
  </si>
  <si>
    <t>NOMBRE CONVOCATORIA</t>
  </si>
  <si>
    <t>TRASLADO DE IMPUESTOS ABRIL 2022 PROYECTO 309010025881</t>
  </si>
  <si>
    <t>TRASLADO IMPUESTOS MAYO 2022 PROYECTO 309010025881</t>
  </si>
  <si>
    <t>INTERESES LIQUIDADOS</t>
  </si>
  <si>
    <t>BANCO DE OCCIDENTE CUENTA AHORRO No. 256-12770-5</t>
  </si>
  <si>
    <t>GIOVANNI FERNANDO HURTADO V.</t>
  </si>
  <si>
    <t>Rendimientos financieros AL 30 DE JUNIO DE 2022</t>
  </si>
  <si>
    <t>Rendimientos financieros mes de junio de 2022</t>
  </si>
  <si>
    <t>Amortización fiduciaria Abril comprobante 905-503-90 y su gmf correspondiente (911-156-57)</t>
  </si>
  <si>
    <t>TRASLADO DE IMPUESTOS DEL MES DE MARZO DE 2022 PROYECTO 309010025881</t>
  </si>
  <si>
    <t>SANDRA SOLER RETEICA</t>
  </si>
  <si>
    <t>29 DE JUNIO DE 2022</t>
  </si>
  <si>
    <t>4. PLAN OPERATIVO - CAPITAL SEMILLA MATRIX CRECER</t>
  </si>
  <si>
    <t>GMF TRANSFERENCIA UNAL A FIDUCIA MATRIX</t>
  </si>
  <si>
    <t>EJECUCIÓN ACUMULADA PLAN SEMILLA MES DE ABRIL DE 2022</t>
  </si>
  <si>
    <t>EJECUCIÓN ACUMULADA PLAN SEMILLA MES DE MAYO DE 2022</t>
  </si>
  <si>
    <t>GIOVANNI FERNANDO HURTADO V</t>
  </si>
  <si>
    <t>EJECUCIÓN ACUMULADA PLAN SEMILLA MES DE JUNIO DE 2022</t>
  </si>
  <si>
    <t>Amortizacion fiduciaria Mayo y Junio (15,027,327)comprobantes 905-503-90, 905-503-116 y sus gmf correspondientes mas 40,000,000 del GMF del traslado de los $10,000,000,000</t>
  </si>
  <si>
    <t>Municipio De Itagui</t>
  </si>
  <si>
    <t>Municipio De Tauramena</t>
  </si>
  <si>
    <t>Municipio De Garzon</t>
  </si>
  <si>
    <t>Municipio De Caldas</t>
  </si>
  <si>
    <t>Municipio De Bugalagrande</t>
  </si>
  <si>
    <t>Municipio El Carmen De Viboral</t>
  </si>
  <si>
    <t>Municipio De Villanueva</t>
  </si>
  <si>
    <t>Municipio De Yarumal</t>
  </si>
  <si>
    <t>Municipio De Planadas</t>
  </si>
  <si>
    <t>Municipio De Planeta Rica</t>
  </si>
  <si>
    <t>Municipio De Barrancabermeja</t>
  </si>
  <si>
    <t>Minera De Cobre Quebradona S.A.S Beneficio E Interés Colectivo</t>
  </si>
  <si>
    <t>Departamento De Sucre</t>
  </si>
  <si>
    <t>Municipio De San Juan De Uraba</t>
  </si>
  <si>
    <t>Ministerio Del Interior</t>
  </si>
  <si>
    <t>Municipio De Manizales</t>
  </si>
  <si>
    <t>Municipio De La Virginia</t>
  </si>
  <si>
    <t>Departamento Norte De Santander</t>
  </si>
  <si>
    <t>Municipio De Acacias</t>
  </si>
  <si>
    <t>Distrito Especial Turistico Y Cultural De Riohacha</t>
  </si>
  <si>
    <t>pendientes sept/21</t>
  </si>
  <si>
    <t>VALOR GMF TRASLADO MATRIX</t>
  </si>
  <si>
    <t>VALOR TRASLADADO MATRIX</t>
  </si>
  <si>
    <t>DESEMBOLSOS</t>
  </si>
  <si>
    <t>SALDO EN CUENTA</t>
  </si>
  <si>
    <t>PRUEBA EXTRACTO</t>
  </si>
  <si>
    <t>SALDO TOMADO DE CAPITAL</t>
  </si>
  <si>
    <t>RUBRO</t>
  </si>
  <si>
    <t>PLAN OPERATIVO - GMF</t>
  </si>
  <si>
    <t>PLAN OPERATIVO - CAPITAL SEMILLA</t>
  </si>
  <si>
    <t>CUENTA DE AHORRO BANCO DE OCCIDENTE</t>
  </si>
  <si>
    <t>MATRIX -COMUNICACIÓN DIRECTA</t>
  </si>
  <si>
    <t>VALORES</t>
  </si>
  <si>
    <t>Municipio Acacías (Meta) - 2 Cierre</t>
  </si>
  <si>
    <t>Municipio La Virginia (Risaralda) - 2 cierre</t>
  </si>
  <si>
    <t>Rendimientos financieros AL 31 DE JULIO DE 2022</t>
  </si>
  <si>
    <t>EJECUCIÓN ACUMULADA PLAN SEMILLA MES DE JULIO DE 2022</t>
  </si>
  <si>
    <t>Rendimientos financieros mes de julio de 2022</t>
  </si>
  <si>
    <t>TRASLADO IMPUESTOS JUNIO 2022 PROYECTO 309010025881</t>
  </si>
  <si>
    <t>CONSTRUYO RED S A S y AMAYA PEREZ SANDRA MARIANA</t>
  </si>
  <si>
    <t xml:space="preserve">Giro Rendimientos semestrales mes de Julio/2022 Cpte </t>
  </si>
  <si>
    <t>GMF por Rendimientos girados en el mes de julio/2022</t>
  </si>
  <si>
    <t>TOTAL RENDIMIENTOS GENERADOS POR RECURSOS DEL FONDO DE JULIO A DICIEMBRE DE 2022</t>
  </si>
  <si>
    <t>Amortizacion fiduciaria Julio (6,180,888) comprobante 905-503-181 y su gmf correspondiente</t>
  </si>
  <si>
    <t>diferencia</t>
  </si>
  <si>
    <r>
      <t xml:space="preserve">3. PLAN OPERATIVO - CAPITAL SEMILLA </t>
    </r>
    <r>
      <rPr>
        <b/>
        <sz val="12"/>
        <color indexed="10"/>
        <rFont val="Ancizar Sans"/>
        <family val="2"/>
      </rPr>
      <t>CREAR</t>
    </r>
    <r>
      <rPr>
        <b/>
        <sz val="12"/>
        <color indexed="54"/>
        <rFont val="Ancizar Sans"/>
        <family val="2"/>
      </rPr>
      <t xml:space="preserve"> (FIDUCIA)</t>
    </r>
  </si>
  <si>
    <t>EJECUCIÓN ACUMULADA PLAN SEMILLA MES DE AGOSTO DE 2022</t>
  </si>
  <si>
    <t>31 DE AGOSTO DE 2022</t>
  </si>
  <si>
    <t>Rendimientos financieros AL 31 DE AGOSTO DE 2022</t>
  </si>
  <si>
    <t>Rendimientos financieros mes de agosto de 2022</t>
  </si>
  <si>
    <t>CONSTRUYO RED S A S y TORRES VIVAS ANDRES ORLANDO</t>
  </si>
  <si>
    <t xml:space="preserve">amortizacion fiduciaria agosto (6,270,847) comprobante 905-503-274 y su gmf correspondiente y el pago anticipado de la comision fiduciaria según comprobante 904-402-7394 (48,445,882) su gmf correspondiente </t>
  </si>
  <si>
    <t>RETEFUENTE RENDIMIENTOS</t>
  </si>
  <si>
    <t>14 DE SEPTIEMBRE DE 2022</t>
  </si>
  <si>
    <t>EJECUCIÓN ACUMULADA PLAN SEMILLA MES DE SEPTIEMBRE DE 2022</t>
  </si>
  <si>
    <t>Este gasto de $160.000.000 pertenece al Gravamen causado por la transferencia realizada por la Universidad Nacional a Fiduciaria Agraria- Matrix en los meses de marzo, junio, agosto y septiembre. El GMF generado por el desembolso de los recursos a los emprendedores será compensado por los rendimientos financieros generados en la cuenta bancaria del Banco de Occidente donde se trasladaron los $40.000.000.000</t>
  </si>
  <si>
    <t>Rendimientos financieros mes de septiembre de 2022</t>
  </si>
  <si>
    <t>Rendimientos financieros AL 30 DE SEPTIEMBRE DE 2022</t>
  </si>
  <si>
    <t>TRASLADO IMPUESTOS JULIO Y AGOSTO 2022 PROYECTO 309010025881</t>
  </si>
  <si>
    <t>EJECUCIÓN ACUMULADA PLAN SEMILLA MES DE OCTUBRE DE 2022</t>
  </si>
  <si>
    <t>FIDUCIA</t>
  </si>
  <si>
    <t>CON</t>
  </si>
  <si>
    <t xml:space="preserve">amortizacion fiduciaria septiembre (5,526,691) comprobante 905-503-371 y su gmf correspondiente; amortizacion fiduciaria octubre (4,468,064) comprobante 905-503-385 y su gmf correspondiente y el pago </t>
  </si>
  <si>
    <t>Rendimientos financieros mes de octubre de 2022</t>
  </si>
  <si>
    <t>Construyo red oct 2022</t>
  </si>
  <si>
    <t>Rendimientos financieros AL 31 DE OCTUBRE DE 2022</t>
  </si>
  <si>
    <t>FIDUCIARIA POPULAR S.A.</t>
  </si>
  <si>
    <t>DEVOLUCION DE RECURSOS</t>
  </si>
  <si>
    <t>Giro a fiducia de GMF contratos de adhesión grupo 9 y 10</t>
  </si>
  <si>
    <t>falta activacion de cuenta de acacias</t>
  </si>
  <si>
    <t>FIDUCIARIA POPULAR</t>
  </si>
  <si>
    <t>EJECUCIÓN ACUMULADA PLAN SEMILLA MES DE NOVIEMBRE DE 2022</t>
  </si>
  <si>
    <t>CERVECERÍA ARTESANAL 2 RIOS</t>
  </si>
  <si>
    <t>Amortizacion fiduciaria noviembre (4,468,064) comprobante 905-503-440 y su gmf correspondiente</t>
  </si>
  <si>
    <t>Rendimientos financieros mes de noviembre de 2022</t>
  </si>
  <si>
    <t>Rendimientos financieros AL 30 DE NOVIEMBRE DE 2022</t>
  </si>
  <si>
    <t>CONSTRUYO RED S A S</t>
  </si>
  <si>
    <t xml:space="preserve">FYGP Y SANDRA SOLER </t>
  </si>
  <si>
    <t>varios nov 2022</t>
  </si>
  <si>
    <t>.</t>
  </si>
  <si>
    <t>EJECUCIÓN RIOHACHA</t>
  </si>
  <si>
    <t>09100005192</t>
  </si>
  <si>
    <t>Devoluciones por parte de la fiducia</t>
  </si>
  <si>
    <t>Municipio San Juan De Urabá (Antioquia)-3 cierre</t>
  </si>
  <si>
    <t>P@UT STUDIOS</t>
  </si>
  <si>
    <t>P@UT STUDIOS S.A.S</t>
  </si>
  <si>
    <t>EJECUCIÓN ACUMULADA PLAN SEMILLA MES DE DICIEMBRE DE 2022</t>
  </si>
  <si>
    <t>Rendimientos financieros AL 31 DE DICIEMBRE DE 2022</t>
  </si>
  <si>
    <t>Rendimientos financieros mes de diciembre de 2022</t>
  </si>
  <si>
    <t>Amortizacion fiduciaria diciembre (3,780,987) comprobante 905-503-496 y su gmf correspondiente</t>
  </si>
  <si>
    <t>FYGP, SANDRA SOLER, CONSTRUYO RED, PILAR SARMIENTO</t>
  </si>
  <si>
    <t>varios dic 2022</t>
  </si>
  <si>
    <t>gmf</t>
  </si>
  <si>
    <t>EJECUCIÓN ACUMULADA PLAN SEMILLA MES DE ENERO DE 2023</t>
  </si>
  <si>
    <t>Amortizacion fiduciaria enero (3,364,032) comprobante 905-503-8 y su gmf correspondiente</t>
  </si>
  <si>
    <t>TOTAL RENDIMIENTOS GENERADOS POR RECURSOS DEL FONDO DE ENERO A JUNIO DE 2023</t>
  </si>
  <si>
    <t>Rendimientos financieros mes de enero de 2023</t>
  </si>
  <si>
    <t>Rendimientos financieros AL 31 DE ENERO DE 2023</t>
  </si>
  <si>
    <t>. PAGO RETENCION EN LA FUENTE  MES DE DICIEMBRE DE 2022 FONDO ESPECIAL FACULTAD DE INGENIERIA</t>
  </si>
  <si>
    <t>. PAGO RETENCION DE INDUSTRIA Y COMERCIO VI BIMESTRE 2022 FACULTAD DE INGENIERIA</t>
  </si>
  <si>
    <t>Retefuente AL 31 DE MARZO DE 2022</t>
  </si>
  <si>
    <t>Retefuente AL 30 DE ABRIL DE 2022</t>
  </si>
  <si>
    <t>Retefuente AL 31 DE MAYO DE 2022</t>
  </si>
  <si>
    <t>Retefuente AL 30 DE JUNIO DE 2022</t>
  </si>
  <si>
    <t>Retefuente AL 31 DE JULIO DE 2022</t>
  </si>
  <si>
    <t>Retefuente AL 31 DE AGOSTO DE 2022</t>
  </si>
  <si>
    <t>Retefuente AL 30 DE SEPTIEMBRE DE 2022</t>
  </si>
  <si>
    <t>Retefuente AL 31 DE OCTUBRE DE 2022</t>
  </si>
  <si>
    <t>Retefuente AL 30 DE NOVIEMBRE DE 2022</t>
  </si>
  <si>
    <t>Retefuente AL 31 DE DICIEMBRE DE 2022</t>
  </si>
  <si>
    <t>Retefuente AL 31 DE ENERO DE 2023</t>
  </si>
  <si>
    <t>GMF AL 31 DE MARZO DE 2022</t>
  </si>
  <si>
    <t>GMF AL 30 DE ABRIL DE 2022</t>
  </si>
  <si>
    <t>GMF AL 31 DE MAYO DE 2022</t>
  </si>
  <si>
    <t>GMF AL 30 DE JUNIO DE 2022</t>
  </si>
  <si>
    <t>GMF AL 31 DE JULIO DE 2022</t>
  </si>
  <si>
    <t>GMF AL 31 DE AGOSTO DE 2022</t>
  </si>
  <si>
    <t>GMF AL 30 DE SEPTIEMBRE DE 2022</t>
  </si>
  <si>
    <t>GMF AL 31 DE OCTUBRE DE 2022</t>
  </si>
  <si>
    <t>GMF AL 30 DE NOVIEMBRE DE 2022</t>
  </si>
  <si>
    <t>GMF AL 31 DE DICIEMBRE DE 2022</t>
  </si>
  <si>
    <t>GMF AL 31 DE ENERO DE 2023</t>
  </si>
  <si>
    <t>GMF (DESEMBOLSOS - RETEFUENTE RENDIMIENTOS)</t>
  </si>
  <si>
    <t>pendiente menor valor a DEVOLVER por $2,497,64 en julio</t>
  </si>
  <si>
    <t>anexo 74 fiducia</t>
  </si>
  <si>
    <t>ejecucion a enero</t>
  </si>
  <si>
    <t>EJECUCIÓN ACUMULADA PLAN SEMILLA MES DE FEBRERO DE 2023</t>
  </si>
  <si>
    <t>Amortizacion fiduciaria febrero (2,073,443) comprobante 905-503-27 y su gmf correspondiente</t>
  </si>
  <si>
    <t>Rendimientos financieros mes de febrero de 2023</t>
  </si>
  <si>
    <t>.  GMF BBVA ENERO</t>
  </si>
  <si>
    <t>Rendimientos financieros AL 28 DE FEBRERO DE 2023</t>
  </si>
  <si>
    <t xml:space="preserve">Giro Rendimientos semestrales mes de febrero/2022 Cpte </t>
  </si>
  <si>
    <t>falta el ajuste de davivienda por parte de contabilidad</t>
  </si>
  <si>
    <t>Retefuente AL 28 DE FEBRERO DE 2023</t>
  </si>
  <si>
    <t>GMF AL 28 DE FEBRERO DE 2023</t>
  </si>
  <si>
    <t>RENDIMIENTOS REINTEGRADOS</t>
  </si>
  <si>
    <t>EJECUCIÓN ACUMULADA PLAN SEMILLA MES DE MARZO DE 2023</t>
  </si>
  <si>
    <t>Amortizacion fiduciaria marzo (1,721,798) comprobante 905-503-61 y su gmf correspondiente</t>
  </si>
  <si>
    <t>Rendimientos financieros mes de marzo de 2023</t>
  </si>
  <si>
    <t>Rendimientos financieros AL 31 DE MARZO DE 2023</t>
  </si>
  <si>
    <t>Giro a fiducia de GMF contratos de adhesión grupo 11 y 12</t>
  </si>
  <si>
    <t>. PAGO RETENCION EN LA FUENTE  MES DE FEBRERO DE 2023 FACULTAD DE INGENIERIA</t>
  </si>
  <si>
    <t>.  GMF BBVA CTA 5797 FEBRERO</t>
  </si>
  <si>
    <t>gmf por contabilizar impuestos de diciembre</t>
  </si>
  <si>
    <t>CONSTRUYO RED</t>
  </si>
  <si>
    <t>gmf por ajustar mayor valor contabilizado de retefuente de diciembre</t>
  </si>
  <si>
    <t>Retefuente AL 31 DE MARZO DE 2023</t>
  </si>
  <si>
    <t>GMF AL 31 DE MARZO DE 2023</t>
  </si>
  <si>
    <t>EJECUCIÓN ACUMULADA PLAN SEMILLA MES DE ABRIL DE 2023</t>
  </si>
  <si>
    <t>Manizales cuarto</t>
  </si>
  <si>
    <t>PLAN DE NEGOCIOS BIOINSECTOS</t>
  </si>
  <si>
    <t>Amortizacion fiduciaria abril (1,739,319) comprobante 905-503-94 y su gmf correspondiente</t>
  </si>
  <si>
    <t>HOYOS RAMOS JUAN BERNARDO</t>
  </si>
  <si>
    <t>31013290787</t>
  </si>
  <si>
    <t>Rendimientos financieros mes de abril de 2023</t>
  </si>
  <si>
    <t>.  GMF MARZO BBVA CTA 5797</t>
  </si>
  <si>
    <t>CONTRIBUCION ESPECIAL..</t>
  </si>
  <si>
    <t>THOMAS SIGNE</t>
  </si>
  <si>
    <t>Rendimientos financieros AL 30 DE ABRIL DE 2023</t>
  </si>
  <si>
    <t>Retefuente AL 30 DE ABRIL DE 2023</t>
  </si>
  <si>
    <t>GMF AL 30 DE ABRIL DE 2023</t>
  </si>
  <si>
    <t>DORIS CUERVO PARRA</t>
  </si>
  <si>
    <t>Jefe Seccion Contabilidad Sede Bogotá</t>
  </si>
  <si>
    <t>TP-21043-T</t>
  </si>
  <si>
    <t>EJECUCIÓN ACUMULADA PLAN SEMILLA MES DE MAYO DE 2023</t>
  </si>
  <si>
    <t>UNIVERSIDAD NACIONAL DE COLOMBIA
NIT.  899.999.063-3
CONTRATO INTERADMINISTRATIVO  1471299
ANEXO 5:  RENDIMIENTOS FINANCIEROS CUENTA ITAGÜÍ</t>
  </si>
  <si>
    <t xml:space="preserve">UNIVERSIDAD NACIONAL DE COLOMBIA
NIT.  899.999.063-3
CONTRATO INTERADMINISTRATIVO  1471299
ANEXO 11:  RENDIMIENTOS FINANCIEROS CUENTA 
DEPARTAMENTO DE SUCRE </t>
  </si>
  <si>
    <t>UNIVERSIDAD NACIONAL DE COLOMBIA
NIT.  899.999.063-3
CONTRATO INTERADMINISTRATIVO  1471299
ANEXO 13:  RENDIMIENTOS FINANCIEROS CUENTA CALDAS</t>
  </si>
  <si>
    <t>UNIVERSIDAD NACIONAL DE COLOMBIA
NIT.  899.999.063-3
CONTRATO INTERADMINISTRATIVO  1471299
ANEXO 14:  RENDIMIENTOS FINANCIEROS CUENTA BUGALAGRANDE</t>
  </si>
  <si>
    <t>UNIVERSIDAD NACIONAL DE COLOMBIA
NIT.  899.999.063-3
CONTRATO INTERADMINISTRATIVO  1471299
ANEXO 15:  RENDIMIENTOS FINANCIEROS CUENTA CARMEN DE VIBORAL</t>
  </si>
  <si>
    <t>UNIVERSIDAD NACIONAL DE COLOMBIA
NIT.  899.999.063-3
CONTRATO INTERADMINISTRATIVO  1471299
ANEXO 16:  RENDIMIENTOS FINANCIEROS CUENTA PLANETA RICA</t>
  </si>
  <si>
    <t>UNIVERSIDAD NACIONAL DE COLOMBIA
NIT.  899.999.063-3
CONTRATO INTERADMINISTRATIVO  1471299
ANEXO 17:  RENDIMIENTOS FINANCIEROS CUENTA BARRANCABERMEJA</t>
  </si>
  <si>
    <t>UNIVERSIDAD NACIONAL DE COLOMBIA
NIT.  899.999.063-3
CONTRATO INTERADMINISTRATIVO  1471299
ANEXO 18:  RENDIMIENTOS FINANCIEROS CUENTA GRAMALOTE</t>
  </si>
  <si>
    <t>UNIVERSIDAD NACIONAL DE COLOMBIA
NIT.  899.999.063-3
CONTRATO INTERADMINISTRATIVO  1471299
ANEXO 19:  RENDIMIENTOS FINANCIEROS CUENTA PASTORAL SOCIAL CARITAS</t>
  </si>
  <si>
    <t>UNIVERSIDAD NACIONAL DE COLOMBIA
NIT.  899.999.063-3
CONTRATO INTERADMINISTRATIVO  1471299
ANEXO 20:  RENDIMIENTOS FINANCIEROS CUENTA MINERA DE COBRE 
QUEBRADONA</t>
  </si>
  <si>
    <t>UNIVERSIDAD NACIONAL DE COLOMBIA
NIT.  899.999.063-3
CONTRATO INTERADMINISTRATIVO  1471299
ANEXO 21:  RENDIMIENTOS FINANCIEROS CUENTA MINISTERIO DEL INTERIOR</t>
  </si>
  <si>
    <t>UNIVERSIDAD NACIONAL DE COLOMBIA
NIT.  899.999.063-3
CONTRATO INTERADMINISTRATIVO  1471299
ANEXO 22:  RENDIMIENTOS FINANCIEROS CUENTA MUNICIPIO MANIZALES</t>
  </si>
  <si>
    <t>UNIVERSIDAD NACIONAL DE COLOMBIA
NIT.  899.999.063-3
CONTRATO INTERADMINISTRATIVO  1471299
ANEXO 24:  RENDIMIENTOS FINANCIEROS CUENTA MUNICIPIO DE LA VIRGINIA</t>
  </si>
  <si>
    <t>UNIVERSIDAD NACIONAL DE COLOMBIA
NIT.  899.999.063-3
CONTRATO INTERADMINISTRATIVO  1471299
ANEXO 23:  RENDIMIENTOS FINANCIEROS CUENTA DEPARTAMENTO DE NORTE DE SANTANDER</t>
  </si>
  <si>
    <t>UNIVERSIDAD NACIONAL DE COLOMBIA
NIT.  899.999.063-3
CONTRATO INTERADMINISTRATIVO  1471299
ANEXO 25:  RENDIMIENTOS FINANCIEROS CUENTA MUNICIPIO DE ACACÍAS</t>
  </si>
  <si>
    <t>UNIVERSIDAD NACIONAL DE COLOMBIA
NIT.  899.999.063-3
CONTRATO INTERADMINISTRATIVO  1471299
ANEXO 26:  RENDIMIENTOS FINANCIEROS CUENTA DISTRITO 
ESPECIAL TURISTICO Y CULTURAL DE RIOHACHA</t>
  </si>
  <si>
    <t>UNIVERSIDAD NACIONAL DE COLOMBIA
NIT.  899.999.063-3
CONTRATO INTERADMINISTRATIVO  1471299
ANEXO 12:  RENDIMIENTOS FINANCIEROS CUENTA PLANADAS</t>
  </si>
  <si>
    <t>UNIVERSIDAD NACIONAL DE COLOMBIA
NIT.  899.999.063-3
CONTRATO INTERADMINISTRATIVO  1471299
ANEXO 10:  RENDIMIENTOS FINANCIEROS CUENTA GARZON</t>
  </si>
  <si>
    <t>UNIVERSIDAD NACIONAL DE COLOMBIA
NIT.  899.999.063-3
CONTRATO INTERADMINISTRATIVO  1471299
ANEXO 9:  RENDIMIENTOS FINANCIEROS CUENTA YARUMAL</t>
  </si>
  <si>
    <t>UNIVERSIDAD NACIONAL DE COLOMBIA
NIT.  899.999.063-3
CONTRATO INTERADMINISTRATIVO  1471299
ANEXO 8:  RENDIMIENTOS FINANCIEROS CUENTA SAN JUAN DE URABÁ</t>
  </si>
  <si>
    <t>UNIVERSIDAD NACIONAL DE COLOMBIA
NIT.  899.999.063-3
CONTRATO INTERADMINISTRATIVO  1471299
ANEXO 7:  RENDIMIENTOS FINANCIEROS CUENTA VILLANUEVA</t>
  </si>
  <si>
    <t>UNIVERSIDAD NACIONAL DE COLOMBIA
NIT.  899.999.063-3
CONTRATO INTERADMINISTRATIVO  1471299
ANEXO 6:  RENDIMIENTOS FINANCIEROS CUENTA TAURAMENA</t>
  </si>
  <si>
    <t>Rendimientos financieros AL 31 DE MAYO DE 2023</t>
  </si>
  <si>
    <t>Rendimientos financieros mes de mayo de 2023</t>
  </si>
  <si>
    <t>Casanare</t>
  </si>
  <si>
    <t>SELVORIA</t>
  </si>
  <si>
    <t>ECOMODULAR</t>
  </si>
  <si>
    <t xml:space="preserve">Planadas Quinto </t>
  </si>
  <si>
    <t>COFFEENEY SPECIALITY</t>
  </si>
  <si>
    <t>Tolima</t>
  </si>
  <si>
    <t>. PAGO RETENCION EN LA FUENTE  MES DE ABRIL DE 2023 FACULTAD DE INGENIERIA</t>
  </si>
  <si>
    <t>. PAGO RETENCION DE INDUSTRIA Y COMERCIO II BIMESTRE 2023 FACULTAD DE INGENIERIA</t>
  </si>
  <si>
    <t>.  GMF BBVA 5797 ABRIL</t>
  </si>
  <si>
    <t>ASEGURADORA SOLIDARIA RETEICA</t>
  </si>
  <si>
    <t>Amortizacion fiduciaria mayo (770,159) comprobante 905-503-121 y su gmf correspondiente</t>
  </si>
  <si>
    <t>gmf por contabilizar impuestos de mayo</t>
  </si>
  <si>
    <t>ARROYAVE GUEVARA GUSTAVO ALEXANDER</t>
  </si>
  <si>
    <t>91251499018</t>
  </si>
  <si>
    <t>ALZATE GONZALEZ CRISTIAN CAMILO</t>
  </si>
  <si>
    <t>07078051919</t>
  </si>
  <si>
    <t>RODRIGUEZ LOPEZ ANA MARCELA</t>
  </si>
  <si>
    <t>03104087059</t>
  </si>
  <si>
    <t>SELVORIA SAS</t>
  </si>
  <si>
    <t>05900008070</t>
  </si>
  <si>
    <t>PEDREROS HERNANDEZ DAYANA MARCELA</t>
  </si>
  <si>
    <t>07944067391</t>
  </si>
  <si>
    <t>Retefuente AL 31 DE MAYO DE 2023</t>
  </si>
  <si>
    <t>GMF AL 31 DE MAYO DE 2023</t>
  </si>
  <si>
    <t>RESUMEN MOVIMIENTO A MAYO DE 2023</t>
  </si>
  <si>
    <t>TOTAL RENDIMIENTOS GENERADOS POR LOS RECURSOS DEL FONDO A MAYO DE 2023</t>
  </si>
  <si>
    <t>EJECUCIÓN ACUMULADA PLAN SEMILLA MES DE JUNIO DE 2023</t>
  </si>
  <si>
    <t>6 Y 8 DE JUNIO DE 2023 (GRUPO 10)</t>
  </si>
  <si>
    <t>GMF de pagos junio</t>
  </si>
  <si>
    <t>.  GMF BBVA CTA 5797 MAYO</t>
  </si>
  <si>
    <t>Rendimientos financieros mes de junio de 2023</t>
  </si>
  <si>
    <t>Giro a fiducia de GMF contratos de adhesión grupo 13</t>
  </si>
  <si>
    <t>FALTA ESTE TRASLADO</t>
  </si>
  <si>
    <t>1 DE MARZO DE 2023 (GRUPO 9)</t>
  </si>
  <si>
    <t>Rendimientos financieros AL 30 DE JUNIO DE 2023</t>
  </si>
  <si>
    <t>Caldas cuarto</t>
  </si>
  <si>
    <t>546-177-2022</t>
  </si>
  <si>
    <t>3DOGS</t>
  </si>
  <si>
    <t>EJECUCIÓN CONTRATO DE COOPERACION</t>
  </si>
  <si>
    <t xml:space="preserve">Carmen De Viborla Tercer </t>
  </si>
  <si>
    <t>558-178-2022</t>
  </si>
  <si>
    <t>ISPORT</t>
  </si>
  <si>
    <t>El Carmen de Viboral – cuarto cierre</t>
  </si>
  <si>
    <t>570-178-2022</t>
  </si>
  <si>
    <t>KIDS SPA PELUQUERÍA INFANTIL Y FAMILIAR</t>
  </si>
  <si>
    <t>571-178-2022</t>
  </si>
  <si>
    <t>VERDE CIMARRÓN</t>
  </si>
  <si>
    <t>563-176-2022</t>
  </si>
  <si>
    <t>Villanueva sexto</t>
  </si>
  <si>
    <t>542-169-2022</t>
  </si>
  <si>
    <t>CRIOLLO DISEÑO</t>
  </si>
  <si>
    <t>Departamento de Sucre-2 Cierre</t>
  </si>
  <si>
    <t>555-188-2022</t>
  </si>
  <si>
    <t>548-188-2022</t>
  </si>
  <si>
    <t xml:space="preserve">Manizales Quinto </t>
  </si>
  <si>
    <t>566-188-2022</t>
  </si>
  <si>
    <t>KIUSHA KIDS</t>
  </si>
  <si>
    <t>461-171-2021</t>
  </si>
  <si>
    <t>528-189-2022</t>
  </si>
  <si>
    <t>504-190-2021</t>
  </si>
  <si>
    <t>BLANDON BERMUDEZ FABIAN ESTEBAN</t>
  </si>
  <si>
    <t>00630654068</t>
  </si>
  <si>
    <t>54100005471</t>
  </si>
  <si>
    <t>CENTRAL DE PROPIEDAD RAIZ</t>
  </si>
  <si>
    <t>54100000902</t>
  </si>
  <si>
    <t>HIGH QUALITY MANAGEMENT SOLUTIONS SAS</t>
  </si>
  <si>
    <t>61700002771</t>
  </si>
  <si>
    <t>KIUSHA SAS</t>
  </si>
  <si>
    <t>05900008230</t>
  </si>
  <si>
    <t>MIER CARDENAS WILLIAM FRANKLIN</t>
  </si>
  <si>
    <t>001060007844</t>
  </si>
  <si>
    <t>PINZON DIAZ MARIA LUZ MILA</t>
  </si>
  <si>
    <t>126360009016</t>
  </si>
  <si>
    <t>41200000962</t>
  </si>
  <si>
    <t>CRIOLLO DESIGN S.A.S</t>
  </si>
  <si>
    <t>30500002087</t>
  </si>
  <si>
    <t>BIOINSECTOS</t>
  </si>
  <si>
    <t>85900002877</t>
  </si>
  <si>
    <t>CERVECERIA ARTESANAL 2 RIOS SAS</t>
  </si>
  <si>
    <t>27000004647</t>
  </si>
  <si>
    <t>ZULUAGA ARBELAEZ LAURA PIEDAD</t>
  </si>
  <si>
    <t>91208709629</t>
  </si>
  <si>
    <t>VERDE CIMARRON SAS</t>
  </si>
  <si>
    <t>55600003168</t>
  </si>
  <si>
    <t>LONDOÑO LONDOÑO GLADIS YANETH</t>
  </si>
  <si>
    <t>285239521</t>
  </si>
  <si>
    <t>Amortizacion fiduciaria junio (1,760,212) comprobante 905-503-166 y su gmf correspondiente mas 25,000,000 mas gmf pago contrato a la fiducia</t>
  </si>
  <si>
    <t>Consignación</t>
  </si>
  <si>
    <t>Rendimientos financieros AL 31 DE JULIO DE 2023</t>
  </si>
  <si>
    <t>TOTAL RENDIMIENTOS DISPONIBLES AL 31 DE JULIO DE 2023</t>
  </si>
  <si>
    <t>TOTAL RENDIMIENTOS GENERADOS POR LOS RECURSOS DEL FONDO DE JULIO DE 2023</t>
  </si>
  <si>
    <t>AL 31 DE JULIO DE 2023</t>
  </si>
  <si>
    <t>UNIVERSIDAD NACIONAL DE COLOMBIA
NIT.  899.999.063-3
CONTRATO INTERADMINISTRATIVO  1471299
ANEXO 4:  RELACIÓN FACTURAS CON IVA  
AL 31 DE JULIO DE 2023</t>
  </si>
  <si>
    <t>905-503-199</t>
  </si>
  <si>
    <t>COMISIÓN FIDUCIARIA JULIO DE 2023</t>
  </si>
  <si>
    <t>DANIEL SALCEDO</t>
  </si>
  <si>
    <t>Coordinador Gestión Tributaria</t>
  </si>
  <si>
    <t>UNIVERSIDAD NACIONAL DE COLOMBIA
NIT.  899.999.063-3
CONTRATO INTERADMINISTRATIVO  1471299
ANEXO 7: EJECUCION CAPITAL SEMILLA 
DEL 1 AL 31 DE JULIO DE 2023</t>
  </si>
  <si>
    <t>1272023144828617Pg377119.zip</t>
  </si>
  <si>
    <t>1272023144828789Pg377410.zip</t>
  </si>
  <si>
    <t>12720231448527Pg375943.zip</t>
  </si>
  <si>
    <t>GELLA SUSTENTABLES SAS</t>
  </si>
  <si>
    <t>1272023144852226Pg376386.zip</t>
  </si>
  <si>
    <t>74402105217</t>
  </si>
  <si>
    <t>INTERCASTER S.A.S</t>
  </si>
  <si>
    <t>1272023144852398Pg376395.zip</t>
  </si>
  <si>
    <t>23360929220</t>
  </si>
  <si>
    <t>VARGAS QUIJADA ROSBELL CAROLINA</t>
  </si>
  <si>
    <t>1272023144852523Pg376452.zip</t>
  </si>
  <si>
    <t>54291864361</t>
  </si>
  <si>
    <t>1272023144852648Pg376751.zip</t>
  </si>
  <si>
    <t>1272023144852929Pg376764.zip</t>
  </si>
  <si>
    <t>127202314485338Pg376796.zip</t>
  </si>
  <si>
    <t>1272023144853148Pg376802.zip</t>
  </si>
  <si>
    <t xml:space="preserve"> Norte de Santander – segundo cierre</t>
  </si>
  <si>
    <t>ANNAGABY</t>
  </si>
  <si>
    <t>INMOBILIARIA Y TRANSPORTES ATRIUM S.A.S.</t>
  </si>
  <si>
    <t>177202385146574Pg378658.zip</t>
  </si>
  <si>
    <t>0560066069997543</t>
  </si>
  <si>
    <t>YURI CECILIA SANCHEZ BUENAVER</t>
  </si>
  <si>
    <t>177202385147934Pg378672.zip</t>
  </si>
  <si>
    <t>82054889361</t>
  </si>
  <si>
    <t>AREPA LA MARIA</t>
  </si>
  <si>
    <t>ALIMENTOS LA MARIA S.A.S</t>
  </si>
  <si>
    <t>177202385148272Pg378677.zip</t>
  </si>
  <si>
    <t>952147205</t>
  </si>
  <si>
    <t>KIDS SPA PELUQUERIA S.A.S.</t>
  </si>
  <si>
    <t>177202385148538Pg378703.zip</t>
  </si>
  <si>
    <t>41200005324</t>
  </si>
  <si>
    <t>PROTEGER IPS SAS</t>
  </si>
  <si>
    <t>PROTEGER RIOHACHA IPS SAS ZOMAC</t>
  </si>
  <si>
    <t>177202385148835Pg378717.zip</t>
  </si>
  <si>
    <t>52600002472</t>
  </si>
  <si>
    <t>La Guajira</t>
  </si>
  <si>
    <t>OLIVER ARÉVALO RENÉ ALEXANDER</t>
  </si>
  <si>
    <t>Alirio Rodriguez</t>
  </si>
  <si>
    <t>177202385149116Pg378719.zip</t>
  </si>
  <si>
    <t>903 NINE ZERO THREE</t>
  </si>
  <si>
    <t>SÁNCHEZ FERNANDEZ LILIANA PATRICIA</t>
  </si>
  <si>
    <t>177202385217888Pg377071.zip</t>
  </si>
  <si>
    <t>01508735746</t>
  </si>
  <si>
    <t>177202385218388Pg377091.zip</t>
  </si>
  <si>
    <t>177202385218751Pg377275.zip</t>
  </si>
  <si>
    <t>177202385218954Pg377278.zip</t>
  </si>
  <si>
    <t>177202385219235Pg377309.zip</t>
  </si>
  <si>
    <t>177202385219595Pg377311.zip</t>
  </si>
  <si>
    <t>17720238522095Pg377655.zip</t>
  </si>
  <si>
    <t>ORTIZ BOLIVAR MARLIN DEL CARME</t>
  </si>
  <si>
    <t>17720238522332Pg372945.zip</t>
  </si>
  <si>
    <t>09658380351</t>
  </si>
  <si>
    <t>Municipio Manizales (Caldas)-2 cierre</t>
  </si>
  <si>
    <t>MANILA CERVEZA ARTESANAL DE FRUTAS</t>
  </si>
  <si>
    <t>RONDON HERRERA OSCAR FERNANDO</t>
  </si>
  <si>
    <t>17720238522660Pg377096.zip</t>
  </si>
  <si>
    <t>05997035927</t>
  </si>
  <si>
    <t>17720238522941Pg377255.zip</t>
  </si>
  <si>
    <t>MAESTRE QUIJANO ELIZABETH</t>
  </si>
  <si>
    <t>17720238523207Pg377258.zip</t>
  </si>
  <si>
    <t>758413330</t>
  </si>
  <si>
    <t>17720238523473Pg377380.zip</t>
  </si>
  <si>
    <t>ANNAGABY SAS</t>
  </si>
  <si>
    <t>17720238523758Pg377948.zip</t>
  </si>
  <si>
    <t>108900326613</t>
  </si>
  <si>
    <t>17720238523900Pg378124.zip</t>
  </si>
  <si>
    <t>17720238524152Pg378200.zip</t>
  </si>
  <si>
    <t>17720238524417Pg378219.zip</t>
  </si>
  <si>
    <t>17720238524683Pg378609.zip</t>
  </si>
  <si>
    <t>17720238523474Pg377284.zip</t>
  </si>
  <si>
    <t>DURAN LEON ISAI</t>
  </si>
  <si>
    <t>177202385234324Pg377497.zip</t>
  </si>
  <si>
    <t>0550226000724246</t>
  </si>
  <si>
    <t>LLORENTE CUENCA LENNY JHOANNA</t>
  </si>
  <si>
    <t>177202385234621Pg377536.zip</t>
  </si>
  <si>
    <t>24304067108</t>
  </si>
  <si>
    <t>177202385234809Pg377590.zip</t>
  </si>
  <si>
    <t>NINE ZERO THREE SAS</t>
  </si>
  <si>
    <t>17720238523528Pg377669.zip</t>
  </si>
  <si>
    <t>54100005494</t>
  </si>
  <si>
    <t>177202385235231Pg377724.zip</t>
  </si>
  <si>
    <t>177202385235371Pg377791.zip</t>
  </si>
  <si>
    <t>CONACUAPONÍA</t>
  </si>
  <si>
    <t>17720238523675Pg378047.zip</t>
  </si>
  <si>
    <t>177202385236358Pg378111.zip</t>
  </si>
  <si>
    <t>177202385246688Pg377175.zip</t>
  </si>
  <si>
    <t>Barrancabermeja Tercer</t>
  </si>
  <si>
    <t>SUEROS ISLA DE MOMPOS</t>
  </si>
  <si>
    <t>TREJOS CABALLERO ALEXANDER</t>
  </si>
  <si>
    <t>177202385247298Pg377668.zip</t>
  </si>
  <si>
    <t>03045909420</t>
  </si>
  <si>
    <t>Santander</t>
  </si>
  <si>
    <t>REVITAL  TERAPIA ACUATICA Y FÍSICA</t>
  </si>
  <si>
    <t>BETANCOURTH RICO ALBA LUZ</t>
  </si>
  <si>
    <t>177202385247501Pg377701.zip</t>
  </si>
  <si>
    <t>1472002364</t>
  </si>
  <si>
    <t>Planeta Rica Tercer</t>
  </si>
  <si>
    <t>CONTADORES ASOCIADOS</t>
  </si>
  <si>
    <t>MARTINEZ ARTEAGA EMIR ENRIQUE</t>
  </si>
  <si>
    <t>177202385247691Pg377733.zip</t>
  </si>
  <si>
    <t>488426102908</t>
  </si>
  <si>
    <t>Córdoba</t>
  </si>
  <si>
    <t>SOTRAVIBORAL SAS</t>
  </si>
  <si>
    <t>177202385247863Pg377803.zip</t>
  </si>
  <si>
    <t>217071869</t>
  </si>
  <si>
    <t>SUAREZ PEREZ OLVER JHONEY</t>
  </si>
  <si>
    <t>177202385248197Pg378056.zip</t>
  </si>
  <si>
    <t>03104127177</t>
  </si>
  <si>
    <t>RAMIREZ PARRA DAVID ALONSO</t>
  </si>
  <si>
    <t>177202385248759Pg378197.zip</t>
  </si>
  <si>
    <t>61470699026</t>
  </si>
  <si>
    <t>177202385219845Pg377356.zip</t>
  </si>
  <si>
    <t>KRAQUET GRUPO TEXTIL SAS</t>
  </si>
  <si>
    <t>197202310445267Pg378861.zip</t>
  </si>
  <si>
    <t>00500004159</t>
  </si>
  <si>
    <t>RESAFE MARKETING SAS</t>
  </si>
  <si>
    <t>197202310445423Pg378898.zip</t>
  </si>
  <si>
    <t>ISPORT SAS</t>
  </si>
  <si>
    <t>197202310445673Pg378981.zip</t>
  </si>
  <si>
    <t>55600003170</t>
  </si>
  <si>
    <t>EMAQ INDUSTRIAL S.A.S</t>
  </si>
  <si>
    <t>197202310445845Pg379031.zip</t>
  </si>
  <si>
    <t>23100000838</t>
  </si>
  <si>
    <t>CALDERON GOMEZ JOSE JAIR</t>
  </si>
  <si>
    <t>197202310444892Pg378797.zip</t>
  </si>
  <si>
    <t>86861188789</t>
  </si>
  <si>
    <t>UREÑA AYALA MARIA FERNANDA</t>
  </si>
  <si>
    <t>197202310446110Pg379100.zip</t>
  </si>
  <si>
    <t>91205607205</t>
  </si>
  <si>
    <t>Rendimientos financieros mes de julio de 2023</t>
  </si>
  <si>
    <t xml:space="preserve">Estado de Cuenta - CUENTA AHORROS
CUENTA No. 00130309000200045797
FECHA DE CORTE: 31/07/2023
</t>
  </si>
  <si>
    <t>ABONO DOMI. 899999063</t>
  </si>
  <si>
    <t>VALOR PAGO FACTURA SERVICIO PSE ENLACE DE APLICATIVO</t>
  </si>
  <si>
    <t>Desde Periodo: 202307</t>
  </si>
  <si>
    <t>Hasta Periodo: 202307</t>
  </si>
  <si>
    <t>UNIVERSIDAD NACIONAL DE COLOMBIA
NIT.  899.999.063-3
CONTRATO INTERADMINISTRATIVO  1471299
INFORME DE EJECUCION FINANCIERA No. 39
DEL 1 AL 31 DE JULIO DE 2023</t>
  </si>
  <si>
    <t>TOTAL EJECUTADO AL 31 DE JULIO DE 2023</t>
  </si>
  <si>
    <t>SALDO  POR EJECUTAR AL 31 DE JULIO DE 2023- UNAL CRECER</t>
  </si>
  <si>
    <t>SALDO  POR EJECUTAR AL 31 DE JULIO DE 2023- FIDUPOPULAR CAPITAL SEMILLA CRECER</t>
  </si>
  <si>
    <t>SALDO  POR EJECUTAR AL 31 DE JULIO DE 2023- MATRIX (FIDUAGRARIA)CREAR</t>
  </si>
  <si>
    <t>TOTAL SALDO POR EJECUTAR AL 31 DE JULIO DE 2023</t>
  </si>
  <si>
    <t>TOTAL DE LA EJECUCION MES DE JULIO DE 2023</t>
  </si>
  <si>
    <t>EJECUCION ACUMULADA AL 30 DE JUNIO DE 2023</t>
  </si>
  <si>
    <t>TOTAL EJECUTADO PLAN SEMILLA DEL 1 AL 31 DE JULIO DE 2023 CONVOCATORIAS 100% SENA</t>
  </si>
  <si>
    <t>TOTAL EJECUTADO PLAN SEMILLA DEL 1 AL 31 DE JULIO DE 2023 APORTE SENA ADHESIONES</t>
  </si>
  <si>
    <t>TOTAL EJECUTADO CAPITAL SEMILLA AL 31 DE JULIO DE 2023</t>
  </si>
  <si>
    <t>EJECUCIÓN ACUMULADA GMF- PLAN SEMILLA AL 31 DE JULIO DE 2023</t>
  </si>
  <si>
    <t>TOTAL EJECUTADO GMF- PLAN SEMILLA DEL 1 AL 31 DE JULIO DE 2023</t>
  </si>
  <si>
    <t>TOTAL EJECUTADO GMF- CAPITAL SEMILLA AL 31 DE JULIO DE 2023</t>
  </si>
  <si>
    <t>SALDO POR EJECUTAR AL 31 DE JULIO DE 2023 - FIDUCIA</t>
  </si>
  <si>
    <t>TOTAL RELACION DE GASTOS AL 31 DE JULIO DE 2023</t>
  </si>
  <si>
    <t>1 AL 31 DE JULIO DE 2023</t>
  </si>
  <si>
    <t>EJECUCIÓN ACUMULADA PLAN SEMILLA MES DE JULIO DE 2023</t>
  </si>
  <si>
    <t>UNIVERSIDAD NACIONAL DE COLOMBIA
NIT.  899.999.063-3
CONTRATO INTERADMINISTRATIVO  1471299
INFORME DE EJECUCION ADHESIONES 
DEL 1 AL 31 DE JULIO DE 2023</t>
  </si>
  <si>
    <t>GMF DEL 1 AL 31 DE JULIO DE 2023</t>
  </si>
  <si>
    <t>TOTAL EJECUTADO DEL 1 AL 31 DE JULIO DE 2023</t>
  </si>
  <si>
    <t>CAPITAL DEL 1 AL 31 DE JULIO DE 2023</t>
  </si>
  <si>
    <t>EVALUADORES</t>
  </si>
  <si>
    <t>OSE</t>
  </si>
  <si>
    <t>PRESTAR SERVICIOS PROFESIONALES PARA REALIZAR LA EVALUACIÓN DE PLAN DE NEGOCIO</t>
  </si>
  <si>
    <t>SOLER JIMENEZ MONICA ANDREA</t>
  </si>
  <si>
    <t>COMISIÓN FIDUCIARIA JULIO DE 2022</t>
  </si>
  <si>
    <t>543-177-2022</t>
  </si>
  <si>
    <t>560-182-2022</t>
  </si>
  <si>
    <t>559-179-2022</t>
  </si>
  <si>
    <t>477-188-2021</t>
  </si>
  <si>
    <t>554-188-2022</t>
  </si>
  <si>
    <t>565-188-2022</t>
  </si>
  <si>
    <t>492-190-2021</t>
  </si>
  <si>
    <t>573-191-2022</t>
  </si>
  <si>
    <t>515-192-2021</t>
  </si>
  <si>
    <t>Gramalote (Antioquia) - 3 cierre</t>
  </si>
  <si>
    <t>CANNATE</t>
  </si>
  <si>
    <t>430-185-2021</t>
  </si>
  <si>
    <t>EJECUCIÓN ACUMULADA PLAN SEMILLA AL 30 DE JUNIO DE 2023</t>
  </si>
  <si>
    <t>Amortizacion fiduciaria julio (1,022,459) comprobante 905-503-199 y su gmf correspondiente</t>
  </si>
  <si>
    <t>27:REND FINANCIEROS PROYECTO 309010025881 JUNIO 2023 - CTA AHORROS 309045797</t>
  </si>
  <si>
    <t>. PAGO RETENCION DE INDUSTRIA Y COMERCIO III BIMESTRE 2023 FACULTAD DE INGENIERIA</t>
  </si>
  <si>
    <t>. PAGO UNICO PL 69234746 DE 06 2023 PRESTAR SERVICIOS PROFESIONALES PARA REALIZAR LA EVALUACIÓN DE PLAN DE NEGO CIO QUE SE PRESENTE A LAS CONVOCATORIA</t>
  </si>
  <si>
    <t>.  GMF BBVA 797 MES DE JUNIO 2023</t>
  </si>
  <si>
    <t>. DEVOLUCION DEL VALOR REGISTRADO DE LOS RENDIMIENTOS FINANCIEROS DE LA CUENTA AHORROS BANCO BBVA NO 001303090200045797 DE ENERO A JUNIO DEL 2023 CONT</t>
  </si>
  <si>
    <t>TRANSFERENCIA DEV DE RECUERSOS CTA 510 A 797 BBVA</t>
  </si>
  <si>
    <t>Interes ganados  no registrados en libros- Julio / 23</t>
  </si>
  <si>
    <t>GMF sobre pagos jul / 2023</t>
  </si>
  <si>
    <t>Saldo Extracto al 31 de julio de 2023</t>
  </si>
  <si>
    <t>Rendimientos Financieros generados a julio-23</t>
  </si>
  <si>
    <t>Interés Ganados cuenta ahorros BBVA julio 2023</t>
  </si>
  <si>
    <t>Saldo Extracto Bancario al 31 de julio de 2023</t>
  </si>
  <si>
    <t>Interés Ganados cuenta ahorros BBVA  a junio /2022</t>
  </si>
  <si>
    <t>Saldo traslado de impuestos a junio 2022 (ver Hoja impuestos)</t>
  </si>
  <si>
    <t>Saldo Cuenta 29020102 a 31 de julio de 2023</t>
  </si>
  <si>
    <t>11:NC TRANSFERENCIA 804684 DEL 11 DE JULIO DE 2023 - TRASLADO DE REGISTROS DE LA FIDUCIARIA POPULAR</t>
  </si>
  <si>
    <t>PAGO UNICO PL 69234746 DE 06 2023 PRESTAR SERVICIOS PROFESIONALES PARA REALIZAR LA EVALUACIÓN DE PLAN DE NEGO CIO QUE SE PRESENTE A LAS CONVOCATORIAS</t>
  </si>
  <si>
    <t>FIDUCIARIA POPULAR S.A FACTURA ELECTRÓNICA DE VENTA N° 126676  FECHA FACTURA 18/07/2023 COMISION JULIO 2023 FONDO EMPRENDER SENA II.</t>
  </si>
  <si>
    <t>SE REGISTRA EL GMF DE CPTE 902-202-5350 CORRESPONDIENTE A PAGO SEGUN ADICION PRORROGA Y MODIFICACION AL CONTRATO DE ENCARGO FIDUCIARIO DE ADMINISTRACION Y PAGOS CON 02 DE 2020</t>
  </si>
  <si>
    <t>GMF DE PAGO DE COMISION E IVA DE LA FIDUCIA MES DE JUNIO CPTE. 905-503-166 21/06/2023</t>
  </si>
  <si>
    <t>GMF POR TRASLADO DE RECURSOS DE LA FIDUCIA CON DESTINO A LA ADHESION DPTO. ACACIAS, QUE DEBE SER PAGADO CON LOS RENDIIENTOS FINANCIEROS</t>
  </si>
  <si>
    <t>CORREO ANA PIZA 02/08/2023: SE EVIDENCIA QUE EN EL COMPROBANTE DE ANULACIÓN NO. 915-172-699 DEL 02 DE JUNIO SE AFECTÓ LA CUENTA CONTABLE 29020102 CON EL NIT 899.999.034 SENA Y SE DEBÍA AFECTAR CON EL NIT. 800.141.235 FIDUCIARIA POPULAR QUE CORRESPONDE AL MOVIMIENTO INICIAL DEL COMPROBANTE NO. 904-402-5516.( ESTADO ANULADA), POR LO ANTERIOR SE SOLICITA EL AJUSTE PERTINENTE.</t>
  </si>
  <si>
    <t>SE EVIDENCIA QUE EN CPTE.902-202-8045 DEL 28/07/2023 SE REGISTRÓ DE MANERA ERRADA EL VALOR DE GMF EN LA CUENTA 29 Y EN LA CUENTA 72, ESTOS REGISTROS NO DEBEN REALIZARSE YA QUE EL GMF QUEDA CAUSADO EN LA CUENTA 2440 CONTRA LA CUENTA 29020103, POR ELLO SE REALIZA LA REVERSIÓN DE LOS RENGLONES 4 Y 5 DEL MENCIONADO CPTE.</t>
  </si>
  <si>
    <t>GMF DE PAGO DE COMISION E IVA DE LA COMISION CORRESPONDIENTE A LA EJECUCION DE LA FIDUCIA MES DE JULIO CPTE. 905-503-199 25/07/2023</t>
  </si>
  <si>
    <t>CORREO ANA PIZA 02/08/2023: CORRECCIÒN DEL TERCERO AL COMPROBANTE NO. 904-402-5710 DEL 02 DE JUNIO DE 2023 DEBIDO A QUE POR ERROR SE AFECTÓ LA CUENTA CONTABLE 29020102 CON EL NIT. 899.999.034 SENA Y CORRESPONDE AL NIT.  892.001.457 MUNICIPIO DE ACACIAS.</t>
  </si>
  <si>
    <t>Saldo Informe SENA AL 31 DE JULIO DE 2023</t>
  </si>
  <si>
    <t xml:space="preserve">Giro Rendimientos semestrales mes de julio/2023 Cpte </t>
  </si>
  <si>
    <t>GMF por Rendimientos girados en el mes de julio/2023</t>
  </si>
  <si>
    <t>TOTAL RENDIMIENTOS GENERADOS POR RECURSOS DEL FONDO DE JULIO A DICIEMBRE DE 2023</t>
  </si>
  <si>
    <t>UNIVERSIDAD NACIONAL DE COLOMBIA
NIT.  899.999.063-3
CONTRATO INTERADMINISTRATIVO  1471299
ANEXO 3:  RELACION CORRIENTE /NO CORRIENTE SALDO POR EJECUTAR
AL 31 DE JULIO DE 2023</t>
  </si>
  <si>
    <t>Municipio de Manizales ( 50%, 50%)</t>
  </si>
  <si>
    <t>Municipio de Manizales ( 0%, 50%)</t>
  </si>
  <si>
    <t>Municipio de Manizales  ( 49%, 51%)</t>
  </si>
  <si>
    <t>Total registros bancos a 31 de julio de 2023</t>
  </si>
  <si>
    <t xml:space="preserve">Estado de Cuenta - CUENTA AHORROS
CUENTA No. 256-12770-5
FECHA DE CORTE: 31/07/2023
</t>
  </si>
  <si>
    <t>4/7/2023</t>
  </si>
  <si>
    <t>5/7/2023</t>
  </si>
  <si>
    <t>6/7/2023</t>
  </si>
  <si>
    <t>7/7/2023</t>
  </si>
  <si>
    <t>10/7/2023</t>
  </si>
  <si>
    <t>11/7/2023</t>
  </si>
  <si>
    <t>12/7/2023</t>
  </si>
  <si>
    <t>13/7/2023</t>
  </si>
  <si>
    <t>14/7/2023</t>
  </si>
  <si>
    <t>17/7/2023</t>
  </si>
  <si>
    <t>18/7/2023</t>
  </si>
  <si>
    <t>19/7/2023</t>
  </si>
  <si>
    <t>21/7/2023</t>
  </si>
  <si>
    <t>24/7/2023</t>
  </si>
  <si>
    <t>25/7/2023</t>
  </si>
  <si>
    <t>26/7/2023</t>
  </si>
  <si>
    <t>27/7/2023</t>
  </si>
  <si>
    <t>28/7/2023</t>
  </si>
  <si>
    <t>31/7/2023</t>
  </si>
  <si>
    <t>UNIVERSIDAD NACIONAL DE COLOMBIA
NIT.  899.999.063-3
CONTRATO INTERADMINISTRATIVO  1471299
ANEXO :  RENDIMIENTOS FINANCIEROS CUENTA MATRIX FIDUAGRARIA
AL 31 DE JULIO DE 2023</t>
  </si>
  <si>
    <t>reteica Sandra Soler</t>
  </si>
  <si>
    <t>11:REND FINANCIEROS PROYECTO 309010025881 JUNIO 2023 - CTA AHORROS 309045797</t>
  </si>
  <si>
    <t>DEVOLUCION DEL VALOR REGISTRADO DE LOS RENDIMIENTOS FINANCIEROS DE LA CUENTA AHORROS BANCO BBVA NO 001303090200045797 DE ENERO A JUNIO DEL 2023 CONTRA</t>
  </si>
  <si>
    <t>SE EVIDENCIA QUE EN CPTE.902-202-8045 DEL 28/07/2023 SE REGISTRÓ DE MANERA ERRADA EL VALOR DE GMF EN LA CUENTA 29 Y EN LA CUENTA 72, ESTOS REGISTROS NO DEBEN REALIZARSE YA QUE EL GMF QUEDA CAUSADO EN LA CUENTA 2440 CONTRA LA CUENTA 29020103, POR ELLO SE REALIZA LA REVERSIÓN DE LOS RENGLONES 4 Y 5 DEL MENCIONADO CPTE. Y SE AJUSTA UN PESO POR MENOR VALOR GIRADO</t>
  </si>
  <si>
    <t>Comp.Anu:904-402-7728-202307 ERROR EN EL VALOR REGISTRADO</t>
  </si>
  <si>
    <t>CORREO ANA PIZA 10/08/2023 SOLICITA AJUSTE A CPTE. 901-1585  POR ERROR EN CENTRO DE COSTOS</t>
  </si>
  <si>
    <t>CORREO ANA PIZA 10/08/2023 SOLICITA AJUSTE A CPTE. 901-1586  POR ERROR EN NIT DEL TERCERO</t>
  </si>
  <si>
    <t>PARA REGISTRAR REINTEGRO DE GMF DE LOS RECURSOS NO EJECUTADOS Y DEVUELTOS A LA UNIVERSIDAD POR PARTE DE LA FIDUCIA CORRESPONDIENTES AL ADHERENTE MUNICIPIO DE ITAGUI  SEGÚN CPTES. DE INGRESO 901-1585 Y  1586  AJUSTADOS EN LOS RENGLONES PREVIOS DE ESTE MISMO CPTE.</t>
  </si>
  <si>
    <t>Devolucion GMF por reintegro fiducia Popular a UN</t>
  </si>
  <si>
    <t>Pendiente el ajuste por $5.250 del gmf pendiente por sacar de los impuestos de diciembre menos $1.210 del gmf pendiente por sacar de los impuestos de mayo mas $104 del gmf por ajustar por mayor valor contabilizado</t>
  </si>
  <si>
    <t>UNIVERSIDAD NACIONAL DE COLOMBIA
NIT.  899.999.063-3
CONTRATO INTERADMINISTRATIVO  1471299
ANEXO 2:  RENDIMIENTOS FINANCIEROS CUENTA SENA  
AL 31 DE JULIO DE 2023</t>
  </si>
  <si>
    <t>Itagui - Primer corte</t>
  </si>
  <si>
    <t>Tauramena - Primer corte</t>
  </si>
  <si>
    <t>GARZÓN – HUILA – Primer Cierre</t>
  </si>
  <si>
    <t>BUGALAGRANDE – VALLE DEL CAUCA - Primer Cierre</t>
  </si>
  <si>
    <t>Municipio de Yarumal (Antioquia) - 1 cierre</t>
  </si>
  <si>
    <t>Pastoral Social (Caquetá) - 1 cierre</t>
  </si>
  <si>
    <t>Quebradona (Antioquia) - 1 cierre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</si>
</sst>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4">
    <numFmt numFmtId="8" formatCode="&quot;$&quot;\ #,##0.00;[Red]\-&quot;$&quot;\ #,##0.00"/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&quot;$&quot;\ * #,##0_);_(&quot;$&quot;\ * \(#,##0\);_(&quot;$&quot;\ * &quot;-&quot;_);_(@_)"/>
    <numFmt numFmtId="165" formatCode="_(* #,##0_);_(* \(#,##0\);_(* &quot;-&quot;_);_(@_)"/>
    <numFmt numFmtId="166" formatCode="_(&quot;$&quot;\ * #,##0.00_);_(&quot;$&quot;\ * \(#,##0.00\);_(&quot;$&quot;\ * &quot;-&quot;??_);_(@_)"/>
    <numFmt numFmtId="167" formatCode="_(* #,##0.00_);_(* \(#,##0.00\);_(* &quot;-&quot;??_);_(@_)"/>
    <numFmt numFmtId="168" formatCode="dd/mm/yyyy;@"/>
    <numFmt numFmtId="169" formatCode="#,##0_ ;\-#,##0\ "/>
    <numFmt numFmtId="170" formatCode="dd\-mm\-yy;@"/>
    <numFmt numFmtId="171" formatCode="_ * #,##0.00_ ;_ * \-#,##0.00_ ;_ * &quot;-&quot;??_ ;_ @_ "/>
    <numFmt numFmtId="172" formatCode="#,##0_ ;[Red]\-#,##0\ "/>
    <numFmt numFmtId="173" formatCode="_(* #,##0_);_(* \(#,##0\);_(* &quot;-&quot;??_);_(@_)"/>
    <numFmt numFmtId="174" formatCode="_-&quot;$&quot;\ * #,##0_-;\-&quot;$&quot;\ * #,##0_-;_-&quot;$&quot;\ * &quot;-&quot;??_-;_-@_-"/>
    <numFmt numFmtId="175" formatCode="_(&quot;$&quot;\ * #,##0_);_(&quot;$&quot;\ * \(#,##0\);_(&quot;$&quot;\ * &quot;-&quot;??_);_(@_)"/>
    <numFmt numFmtId="176" formatCode="_-* #,##0_-;\-* #,##0_-;_-* &quot;-&quot;??_-;_-@_-"/>
    <numFmt numFmtId="177" formatCode="#,##0.00000"/>
    <numFmt numFmtId="178" formatCode="0.0%"/>
    <numFmt numFmtId="179" formatCode="#,##0.00_ ;[Red]\-#,##0.00\ "/>
    <numFmt numFmtId="180" formatCode="_ * #,##0_ ;_ * \-#,##0_ ;_ * &quot;-&quot;??_ ;_ @_ "/>
    <numFmt numFmtId="181" formatCode="#,##0.0000"/>
    <numFmt numFmtId="182" formatCode="_(* #,##0.00_);_(* \(#,##0.00\);_(* &quot;-&quot;_);_(@_)"/>
  </numFmts>
  <fonts count="9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ncizar Sans"/>
      <family val="2"/>
    </font>
    <font>
      <sz val="12"/>
      <name val="Ancizar Sans"/>
      <family val="2"/>
    </font>
    <font>
      <b/>
      <sz val="12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12"/>
      <name val="Calibri Light"/>
      <family val="2"/>
    </font>
    <font>
      <b/>
      <sz val="16"/>
      <name val="Ancizar Sans"/>
      <family val="2"/>
    </font>
    <font>
      <b/>
      <sz val="14"/>
      <name val="Ancizar Sans"/>
      <family val="2"/>
    </font>
    <font>
      <b/>
      <sz val="12"/>
      <color indexed="62"/>
      <name val="Ancizar Sans"/>
      <family val="2"/>
    </font>
    <font>
      <b/>
      <sz val="9"/>
      <color indexed="62"/>
      <name val="Ancizar Sans"/>
      <family val="2"/>
    </font>
    <font>
      <b/>
      <sz val="10"/>
      <name val="Ancizar Sans"/>
      <family val="2"/>
    </font>
    <font>
      <sz val="11"/>
      <name val="Ancizar Sans"/>
      <family val="2"/>
    </font>
    <font>
      <b/>
      <sz val="11"/>
      <name val="Ancizar Sans"/>
      <family val="2"/>
    </font>
    <font>
      <sz val="10"/>
      <color indexed="64"/>
      <name val="Microsoft Sans Serif"/>
      <family val="2"/>
    </font>
    <font>
      <sz val="10"/>
      <name val="Ancizar Sans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b/>
      <sz val="12"/>
      <color indexed="54"/>
      <name val="Ancizar Sans"/>
      <family val="2"/>
    </font>
    <font>
      <b/>
      <sz val="12"/>
      <color indexed="10"/>
      <name val="Ancizar Sans"/>
      <family val="2"/>
    </font>
    <font>
      <sz val="8"/>
      <name val="Calibri"/>
      <family val="2"/>
    </font>
    <font>
      <sz val="12"/>
      <name val="Ancizar Sans"/>
    </font>
    <font>
      <b/>
      <sz val="8"/>
      <name val="Ancizar Sans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8"/>
      <color theme="3"/>
      <name val="Calibri Light"/>
      <family val="2"/>
      <scheme val="major"/>
    </font>
    <font>
      <b/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b/>
      <sz val="14"/>
      <name val="Calibri"/>
      <family val="2"/>
      <scheme val="minor"/>
    </font>
    <font>
      <sz val="11"/>
      <color theme="1"/>
      <name val="Ancizar Sans"/>
      <family val="2"/>
    </font>
    <font>
      <b/>
      <sz val="12"/>
      <color theme="1"/>
      <name val="Ancizar Sans"/>
      <family val="2"/>
    </font>
    <font>
      <sz val="12"/>
      <color theme="1"/>
      <name val="Ancizar Sans"/>
      <family val="2"/>
    </font>
    <font>
      <b/>
      <sz val="10"/>
      <color theme="1"/>
      <name val="Ancizar Sans"/>
      <family val="2"/>
    </font>
    <font>
      <sz val="10"/>
      <color theme="0"/>
      <name val="Arial"/>
      <family val="2"/>
    </font>
    <font>
      <sz val="10"/>
      <color theme="3" tint="-0.499984740745262"/>
      <name val="Arial"/>
      <family val="2"/>
    </font>
    <font>
      <sz val="11"/>
      <color theme="3" tint="-0.499984740745262"/>
      <name val="Calibri"/>
      <family val="2"/>
      <scheme val="minor"/>
    </font>
    <font>
      <b/>
      <sz val="10"/>
      <color theme="3" tint="-0.499984740745262"/>
      <name val="Arial"/>
      <family val="2"/>
    </font>
    <font>
      <sz val="10"/>
      <color rgb="FFFF0000"/>
      <name val="Arial"/>
      <family val="2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color rgb="FF000000"/>
      <name val="Calibri Light"/>
      <family val="2"/>
      <scheme val="major"/>
    </font>
    <font>
      <sz val="12"/>
      <name val="Calibri Light"/>
      <family val="2"/>
      <scheme val="major"/>
    </font>
    <font>
      <b/>
      <sz val="11"/>
      <color rgb="FFFF0000"/>
      <name val="Ancizar Sans"/>
      <family val="2"/>
    </font>
    <font>
      <sz val="10"/>
      <color theme="1"/>
      <name val="Ancizar Sans"/>
      <family val="2"/>
    </font>
    <font>
      <b/>
      <sz val="12"/>
      <color theme="1"/>
      <name val="Calibri"/>
      <family val="2"/>
      <scheme val="minor"/>
    </font>
    <font>
      <b/>
      <sz val="12"/>
      <name val="Calibri Light"/>
      <family val="2"/>
      <scheme val="major"/>
    </font>
    <font>
      <b/>
      <sz val="12"/>
      <color theme="3"/>
      <name val="Ancizar Sans"/>
      <family val="2"/>
    </font>
    <font>
      <b/>
      <sz val="9"/>
      <color theme="0"/>
      <name val="Calibri"/>
      <family val="2"/>
      <scheme val="minor"/>
    </font>
    <font>
      <sz val="11"/>
      <color rgb="FFFF0000"/>
      <name val="Ancizar Sans"/>
      <family val="2"/>
    </font>
    <font>
      <b/>
      <sz val="12"/>
      <color theme="0"/>
      <name val="Ancizar Sans"/>
      <family val="2"/>
    </font>
    <font>
      <sz val="10"/>
      <color rgb="FFFF0000"/>
      <name val="Microsoft Sans Serif"/>
      <family val="2"/>
    </font>
    <font>
      <sz val="12"/>
      <color rgb="FFFF0000"/>
      <name val="Calibri"/>
      <family val="2"/>
      <scheme val="minor"/>
    </font>
    <font>
      <b/>
      <sz val="12"/>
      <color rgb="FFFF0000"/>
      <name val="Ancizar Sans"/>
      <family val="2"/>
    </font>
    <font>
      <sz val="8"/>
      <color theme="1"/>
      <name val="Ancizar Sans"/>
      <family val="2"/>
    </font>
    <font>
      <b/>
      <sz val="12"/>
      <color theme="4" tint="-0.249977111117893"/>
      <name val="Ancizar Sans"/>
      <family val="2"/>
    </font>
    <font>
      <b/>
      <sz val="10"/>
      <color theme="0"/>
      <name val="Arial"/>
      <family val="2"/>
    </font>
    <font>
      <sz val="12"/>
      <color rgb="FFFF0000"/>
      <name val="Ancizar Sans"/>
      <family val="2"/>
    </font>
    <font>
      <sz val="12"/>
      <color theme="0"/>
      <name val="Ancizar Sans"/>
      <family val="2"/>
    </font>
    <font>
      <sz val="11"/>
      <color theme="0"/>
      <name val="Ancizar Sans"/>
      <family val="2"/>
    </font>
    <font>
      <b/>
      <sz val="11"/>
      <name val="Calibri"/>
      <family val="2"/>
      <scheme val="minor"/>
    </font>
    <font>
      <b/>
      <sz val="12"/>
      <name val="Ancizar Sans"/>
    </font>
    <font>
      <sz val="11"/>
      <color theme="0"/>
      <name val="Ancizar Sans"/>
    </font>
    <font>
      <b/>
      <sz val="12"/>
      <color theme="0"/>
      <name val="Ancizar Sans"/>
    </font>
    <font>
      <sz val="12"/>
      <color theme="0"/>
      <name val="Ancizar Sans"/>
    </font>
    <font>
      <b/>
      <sz val="11"/>
      <color theme="0"/>
      <name val="Ancizar Sans"/>
    </font>
    <font>
      <b/>
      <sz val="11"/>
      <color theme="0"/>
      <name val="Ancizar Sans"/>
      <family val="2"/>
    </font>
    <font>
      <b/>
      <sz val="14"/>
      <color theme="1"/>
      <name val="Calibri"/>
      <family val="2"/>
      <scheme val="minor"/>
    </font>
    <font>
      <sz val="8"/>
      <color theme="1"/>
      <name val="Ancizar Sans"/>
    </font>
    <font>
      <b/>
      <sz val="8"/>
      <color theme="0"/>
      <name val="Ancizar Sans"/>
    </font>
    <font>
      <sz val="8"/>
      <color theme="0"/>
      <name val="Ancizar Sans"/>
    </font>
    <font>
      <sz val="12"/>
      <color theme="0"/>
      <name val="Calibri"/>
      <family val="2"/>
      <scheme val="minor"/>
    </font>
    <font>
      <sz val="10"/>
      <color theme="0"/>
      <name val="Calibri"/>
      <family val="2"/>
      <scheme val="minor"/>
    </font>
  </fonts>
  <fills count="5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BFBFBF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499984740745262"/>
        <bgColor indexed="64"/>
      </patternFill>
    </fill>
  </fills>
  <borders count="91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thick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rgb="FF999999"/>
      </left>
      <right style="thin">
        <color rgb="FF999999"/>
      </right>
      <top/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68">
    <xf numFmtId="0" fontId="0" fillId="0" borderId="0"/>
    <xf numFmtId="0" fontId="28" fillId="3" borderId="0" applyNumberFormat="0" applyBorder="0" applyAlignment="0" applyProtection="0"/>
    <xf numFmtId="0" fontId="28" fillId="4" borderId="0" applyNumberFormat="0" applyBorder="0" applyAlignment="0" applyProtection="0"/>
    <xf numFmtId="0" fontId="28" fillId="5" borderId="0" applyNumberFormat="0" applyBorder="0" applyAlignment="0" applyProtection="0"/>
    <xf numFmtId="0" fontId="28" fillId="6" borderId="0" applyNumberFormat="0" applyBorder="0" applyAlignment="0" applyProtection="0"/>
    <xf numFmtId="0" fontId="28" fillId="7" borderId="0" applyNumberFormat="0" applyBorder="0" applyAlignment="0" applyProtection="0"/>
    <xf numFmtId="0" fontId="28" fillId="8" borderId="0" applyNumberFormat="0" applyBorder="0" applyAlignment="0" applyProtection="0"/>
    <xf numFmtId="0" fontId="28" fillId="9" borderId="0" applyNumberFormat="0" applyBorder="0" applyAlignment="0" applyProtection="0"/>
    <xf numFmtId="0" fontId="28" fillId="10" borderId="0" applyNumberFormat="0" applyBorder="0" applyAlignment="0" applyProtection="0"/>
    <xf numFmtId="0" fontId="28" fillId="11" borderId="0" applyNumberFormat="0" applyBorder="0" applyAlignment="0" applyProtection="0"/>
    <xf numFmtId="0" fontId="28" fillId="12" borderId="0" applyNumberFormat="0" applyBorder="0" applyAlignment="0" applyProtection="0"/>
    <xf numFmtId="0" fontId="28" fillId="13" borderId="0" applyNumberFormat="0" applyBorder="0" applyAlignment="0" applyProtection="0"/>
    <xf numFmtId="0" fontId="28" fillId="14" borderId="0" applyNumberFormat="0" applyBorder="0" applyAlignment="0" applyProtection="0"/>
    <xf numFmtId="0" fontId="29" fillId="15" borderId="0" applyNumberFormat="0" applyBorder="0" applyAlignment="0" applyProtection="0"/>
    <xf numFmtId="0" fontId="29" fillId="16" borderId="0" applyNumberFormat="0" applyBorder="0" applyAlignment="0" applyProtection="0"/>
    <xf numFmtId="0" fontId="29" fillId="17" borderId="0" applyNumberFormat="0" applyBorder="0" applyAlignment="0" applyProtection="0"/>
    <xf numFmtId="0" fontId="29" fillId="18" borderId="0" applyNumberFormat="0" applyBorder="0" applyAlignment="0" applyProtection="0"/>
    <xf numFmtId="0" fontId="29" fillId="19" borderId="0" applyNumberFormat="0" applyBorder="0" applyAlignment="0" applyProtection="0"/>
    <xf numFmtId="0" fontId="29" fillId="20" borderId="0" applyNumberFormat="0" applyBorder="0" applyAlignment="0" applyProtection="0"/>
    <xf numFmtId="0" fontId="30" fillId="21" borderId="0" applyNumberFormat="0" applyBorder="0" applyAlignment="0" applyProtection="0"/>
    <xf numFmtId="0" fontId="31" fillId="22" borderId="71" applyNumberFormat="0" applyAlignment="0" applyProtection="0"/>
    <xf numFmtId="0" fontId="32" fillId="23" borderId="72" applyNumberFormat="0" applyAlignment="0" applyProtection="0"/>
    <xf numFmtId="0" fontId="33" fillId="0" borderId="73" applyNumberFormat="0" applyFill="0" applyAlignment="0" applyProtection="0"/>
    <xf numFmtId="0" fontId="34" fillId="0" borderId="74" applyNumberFormat="0" applyFill="0" applyAlignment="0" applyProtection="0"/>
    <xf numFmtId="0" fontId="35" fillId="0" borderId="0" applyNumberFormat="0" applyFill="0" applyBorder="0" applyAlignment="0" applyProtection="0"/>
    <xf numFmtId="0" fontId="29" fillId="24" borderId="0" applyNumberFormat="0" applyBorder="0" applyAlignment="0" applyProtection="0"/>
    <xf numFmtId="0" fontId="29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29" fillId="28" borderId="0" applyNumberFormat="0" applyBorder="0" applyAlignment="0" applyProtection="0"/>
    <xf numFmtId="0" fontId="29" fillId="29" borderId="0" applyNumberFormat="0" applyBorder="0" applyAlignment="0" applyProtection="0"/>
    <xf numFmtId="0" fontId="36" fillId="30" borderId="71" applyNumberFormat="0" applyAlignment="0" applyProtection="0"/>
    <xf numFmtId="0" fontId="37" fillId="31" borderId="0" applyNumberFormat="0" applyBorder="0" applyAlignment="0" applyProtection="0"/>
    <xf numFmtId="167" fontId="28" fillId="0" borderId="0" applyFont="0" applyFill="0" applyBorder="0" applyAlignment="0" applyProtection="0"/>
    <xf numFmtId="165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28" fillId="0" borderId="0" applyFont="0" applyFill="0" applyBorder="0" applyAlignment="0" applyProtection="0"/>
    <xf numFmtId="171" fontId="1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166" fontId="28" fillId="0" borderId="0" applyFont="0" applyFill="0" applyBorder="0" applyAlignment="0" applyProtection="0"/>
    <xf numFmtId="164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166" fontId="1" fillId="0" borderId="0" applyFont="0" applyFill="0" applyBorder="0" applyAlignment="0" applyProtection="0"/>
    <xf numFmtId="44" fontId="28" fillId="0" borderId="0" applyFont="0" applyFill="0" applyBorder="0" applyAlignment="0" applyProtection="0"/>
    <xf numFmtId="44" fontId="28" fillId="0" borderId="0" applyFont="0" applyFill="0" applyBorder="0" applyAlignment="0" applyProtection="0"/>
    <xf numFmtId="44" fontId="28" fillId="0" borderId="0" applyFont="0" applyFill="0" applyBorder="0" applyAlignment="0" applyProtection="0"/>
    <xf numFmtId="44" fontId="28" fillId="0" borderId="0" applyFont="0" applyFill="0" applyBorder="0" applyAlignment="0" applyProtection="0"/>
    <xf numFmtId="44" fontId="28" fillId="0" borderId="0" applyFont="0" applyFill="0" applyBorder="0" applyAlignment="0" applyProtection="0"/>
    <xf numFmtId="44" fontId="28" fillId="0" borderId="0" applyFont="0" applyFill="0" applyBorder="0" applyAlignment="0" applyProtection="0"/>
    <xf numFmtId="0" fontId="38" fillId="32" borderId="0" applyNumberFormat="0" applyBorder="0" applyAlignment="0" applyProtection="0"/>
    <xf numFmtId="0" fontId="1" fillId="0" borderId="0"/>
    <xf numFmtId="0" fontId="28" fillId="0" borderId="0"/>
    <xf numFmtId="0" fontId="28" fillId="33" borderId="75" applyNumberFormat="0" applyFont="0" applyAlignment="0" applyProtection="0"/>
    <xf numFmtId="9" fontId="28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9" fillId="22" borderId="76" applyNumberFormat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77" applyNumberFormat="0" applyFill="0" applyAlignment="0" applyProtection="0"/>
    <xf numFmtId="0" fontId="35" fillId="0" borderId="78" applyNumberFormat="0" applyFill="0" applyAlignment="0" applyProtection="0"/>
    <xf numFmtId="0" fontId="43" fillId="0" borderId="0" applyNumberFormat="0" applyFill="0" applyBorder="0" applyAlignment="0" applyProtection="0"/>
    <xf numFmtId="0" fontId="44" fillId="0" borderId="79" applyNumberFormat="0" applyFill="0" applyAlignment="0" applyProtection="0"/>
  </cellStyleXfs>
  <cellXfs count="1388">
    <xf numFmtId="0" fontId="0" fillId="0" borderId="0" xfId="0"/>
    <xf numFmtId="1" fontId="45" fillId="0" borderId="0" xfId="0" applyNumberFormat="1" applyFont="1" applyBorder="1" applyAlignment="1">
      <alignment wrapText="1"/>
    </xf>
    <xf numFmtId="3" fontId="46" fillId="0" borderId="0" xfId="0" applyNumberFormat="1" applyFont="1" applyAlignment="1">
      <alignment vertical="center" wrapText="1"/>
    </xf>
    <xf numFmtId="4" fontId="45" fillId="0" borderId="0" xfId="56" applyNumberFormat="1" applyFont="1"/>
    <xf numFmtId="0" fontId="45" fillId="0" borderId="0" xfId="56" applyFont="1"/>
    <xf numFmtId="4" fontId="46" fillId="0" borderId="0" xfId="56" applyNumberFormat="1" applyFont="1"/>
    <xf numFmtId="0" fontId="46" fillId="0" borderId="0" xfId="56" applyFont="1"/>
    <xf numFmtId="3" fontId="45" fillId="0" borderId="1" xfId="56" applyNumberFormat="1" applyFont="1" applyBorder="1" applyAlignment="1">
      <alignment horizontal="center" vertical="center" wrapText="1"/>
    </xf>
    <xf numFmtId="0" fontId="46" fillId="0" borderId="2" xfId="56" applyFont="1" applyBorder="1"/>
    <xf numFmtId="0" fontId="46" fillId="0" borderId="0" xfId="56" applyFont="1" applyBorder="1"/>
    <xf numFmtId="4" fontId="46" fillId="0" borderId="0" xfId="56" applyNumberFormat="1" applyFont="1" applyBorder="1" applyAlignment="1">
      <alignment vertical="center"/>
    </xf>
    <xf numFmtId="3" fontId="46" fillId="0" borderId="3" xfId="48" applyNumberFormat="1" applyFont="1" applyBorder="1" applyAlignment="1">
      <alignment vertical="center" wrapText="1"/>
    </xf>
    <xf numFmtId="4" fontId="46" fillId="0" borderId="0" xfId="56" applyNumberFormat="1" applyFont="1" applyFill="1"/>
    <xf numFmtId="4" fontId="45" fillId="0" borderId="0" xfId="56" applyNumberFormat="1" applyFont="1" applyFill="1"/>
    <xf numFmtId="4" fontId="47" fillId="34" borderId="4" xfId="56" applyNumberFormat="1" applyFont="1" applyFill="1" applyBorder="1" applyAlignment="1">
      <alignment horizontal="left" vertical="center"/>
    </xf>
    <xf numFmtId="4" fontId="47" fillId="34" borderId="5" xfId="56" applyNumberFormat="1" applyFont="1" applyFill="1" applyBorder="1" applyAlignment="1">
      <alignment horizontal="left" vertical="center"/>
    </xf>
    <xf numFmtId="0" fontId="46" fillId="0" borderId="0" xfId="56" applyFont="1" applyAlignment="1">
      <alignment horizontal="center"/>
    </xf>
    <xf numFmtId="1" fontId="46" fillId="0" borderId="0" xfId="56" applyNumberFormat="1" applyFont="1" applyAlignment="1">
      <alignment horizontal="center"/>
    </xf>
    <xf numFmtId="0" fontId="46" fillId="0" borderId="0" xfId="56" applyFont="1" applyAlignment="1">
      <alignment wrapText="1"/>
    </xf>
    <xf numFmtId="3" fontId="46" fillId="0" borderId="0" xfId="56" applyNumberFormat="1" applyFont="1" applyAlignment="1">
      <alignment wrapText="1"/>
    </xf>
    <xf numFmtId="40" fontId="46" fillId="0" borderId="0" xfId="56" applyNumberFormat="1" applyFont="1"/>
    <xf numFmtId="0" fontId="46" fillId="0" borderId="0" xfId="56" applyFont="1" applyBorder="1" applyAlignment="1">
      <alignment wrapText="1"/>
    </xf>
    <xf numFmtId="4" fontId="45" fillId="0" borderId="0" xfId="56" applyNumberFormat="1" applyFont="1" applyBorder="1" applyAlignment="1">
      <alignment wrapText="1"/>
    </xf>
    <xf numFmtId="3" fontId="46" fillId="0" borderId="6" xfId="56" applyNumberFormat="1" applyFont="1" applyBorder="1" applyAlignment="1">
      <alignment wrapText="1"/>
    </xf>
    <xf numFmtId="15" fontId="46" fillId="0" borderId="6" xfId="56" applyNumberFormat="1" applyFont="1" applyBorder="1"/>
    <xf numFmtId="1" fontId="46" fillId="0" borderId="0" xfId="56" applyNumberFormat="1" applyFont="1" applyBorder="1" applyAlignment="1">
      <alignment horizontal="center"/>
    </xf>
    <xf numFmtId="3" fontId="46" fillId="0" borderId="0" xfId="56" applyNumberFormat="1" applyFont="1"/>
    <xf numFmtId="0" fontId="46" fillId="0" borderId="0" xfId="56" applyFont="1" applyAlignment="1"/>
    <xf numFmtId="0" fontId="1" fillId="0" borderId="0" xfId="56"/>
    <xf numFmtId="3" fontId="1" fillId="0" borderId="0" xfId="56" applyNumberFormat="1"/>
    <xf numFmtId="3" fontId="1" fillId="0" borderId="0" xfId="56" applyNumberFormat="1" applyAlignment="1">
      <alignment vertical="center"/>
    </xf>
    <xf numFmtId="3" fontId="5" fillId="0" borderId="0" xfId="56" applyNumberFormat="1" applyFont="1" applyAlignment="1">
      <alignment vertical="center"/>
    </xf>
    <xf numFmtId="0" fontId="5" fillId="0" borderId="0" xfId="56" applyFont="1" applyAlignment="1">
      <alignment vertical="center"/>
    </xf>
    <xf numFmtId="0" fontId="4" fillId="35" borderId="0" xfId="56" applyFont="1" applyFill="1" applyAlignment="1">
      <alignment vertical="center"/>
    </xf>
    <xf numFmtId="3" fontId="4" fillId="35" borderId="0" xfId="56" applyNumberFormat="1" applyFont="1" applyFill="1" applyAlignment="1">
      <alignment vertical="center"/>
    </xf>
    <xf numFmtId="171" fontId="4" fillId="0" borderId="0" xfId="39" applyFont="1" applyAlignment="1">
      <alignment vertical="center"/>
    </xf>
    <xf numFmtId="0" fontId="4" fillId="0" borderId="0" xfId="56" applyFont="1" applyAlignment="1">
      <alignment vertical="center"/>
    </xf>
    <xf numFmtId="0" fontId="44" fillId="0" borderId="0" xfId="56" applyFont="1" applyAlignment="1">
      <alignment vertical="center"/>
    </xf>
    <xf numFmtId="0" fontId="44" fillId="36" borderId="7" xfId="56" applyFont="1" applyFill="1" applyBorder="1" applyAlignment="1">
      <alignment horizontal="center" vertical="center" wrapText="1"/>
    </xf>
    <xf numFmtId="3" fontId="44" fillId="36" borderId="7" xfId="56" applyNumberFormat="1" applyFont="1" applyFill="1" applyBorder="1" applyAlignment="1">
      <alignment horizontal="center" vertical="center" wrapText="1"/>
    </xf>
    <xf numFmtId="0" fontId="1" fillId="0" borderId="0" xfId="56" applyAlignment="1">
      <alignment vertical="center"/>
    </xf>
    <xf numFmtId="17" fontId="1" fillId="0" borderId="7" xfId="56" applyNumberFormat="1" applyBorder="1" applyAlignment="1">
      <alignment horizontal="center" vertical="center"/>
    </xf>
    <xf numFmtId="3" fontId="1" fillId="0" borderId="7" xfId="56" applyNumberFormat="1" applyBorder="1" applyAlignment="1">
      <alignment vertical="center"/>
    </xf>
    <xf numFmtId="0" fontId="6" fillId="0" borderId="7" xfId="56" applyFont="1" applyBorder="1" applyAlignment="1">
      <alignment horizontal="justify" vertical="center" wrapText="1"/>
    </xf>
    <xf numFmtId="0" fontId="1" fillId="0" borderId="0" xfId="56" applyAlignment="1">
      <alignment vertical="center" wrapText="1"/>
    </xf>
    <xf numFmtId="3" fontId="6" fillId="0" borderId="7" xfId="56" applyNumberFormat="1" applyFont="1" applyBorder="1" applyAlignment="1">
      <alignment horizontal="justify" vertical="center" wrapText="1"/>
    </xf>
    <xf numFmtId="3" fontId="1" fillId="0" borderId="7" xfId="56" applyNumberFormat="1" applyFill="1" applyBorder="1" applyAlignment="1">
      <alignment vertical="center" wrapText="1"/>
    </xf>
    <xf numFmtId="0" fontId="5" fillId="37" borderId="7" xfId="56" applyFont="1" applyFill="1" applyBorder="1" applyAlignment="1">
      <alignment horizontal="center" vertical="center"/>
    </xf>
    <xf numFmtId="3" fontId="5" fillId="37" borderId="7" xfId="56" applyNumberFormat="1" applyFont="1" applyFill="1" applyBorder="1" applyAlignment="1">
      <alignment vertical="center"/>
    </xf>
    <xf numFmtId="4" fontId="4" fillId="0" borderId="0" xfId="39" applyNumberFormat="1" applyFont="1" applyAlignment="1">
      <alignment horizontal="left" vertical="center"/>
    </xf>
    <xf numFmtId="4" fontId="5" fillId="0" borderId="0" xfId="56" applyNumberFormat="1" applyFont="1" applyAlignment="1">
      <alignment horizontal="left" vertical="center"/>
    </xf>
    <xf numFmtId="4" fontId="1" fillId="0" borderId="0" xfId="56" applyNumberFormat="1" applyAlignment="1">
      <alignment horizontal="left" vertical="center"/>
    </xf>
    <xf numFmtId="0" fontId="1" fillId="0" borderId="0" xfId="56" applyFont="1" applyAlignment="1">
      <alignment vertical="center"/>
    </xf>
    <xf numFmtId="3" fontId="1" fillId="0" borderId="0" xfId="56" applyNumberFormat="1" applyFont="1" applyAlignment="1">
      <alignment vertical="center"/>
    </xf>
    <xf numFmtId="4" fontId="4" fillId="0" borderId="0" xfId="56" applyNumberFormat="1" applyFont="1" applyAlignment="1">
      <alignment horizontal="left" vertical="center"/>
    </xf>
    <xf numFmtId="4" fontId="5" fillId="0" borderId="0" xfId="56" applyNumberFormat="1" applyFont="1" applyAlignment="1">
      <alignment horizontal="left"/>
    </xf>
    <xf numFmtId="0" fontId="1" fillId="0" borderId="0" xfId="56" applyAlignment="1">
      <alignment wrapText="1"/>
    </xf>
    <xf numFmtId="0" fontId="5" fillId="0" borderId="0" xfId="56" applyFont="1" applyFill="1" applyAlignment="1">
      <alignment vertical="center"/>
    </xf>
    <xf numFmtId="0" fontId="44" fillId="0" borderId="0" xfId="56" applyFont="1" applyFill="1" applyAlignment="1">
      <alignment wrapText="1"/>
    </xf>
    <xf numFmtId="3" fontId="5" fillId="0" borderId="0" xfId="56" applyNumberFormat="1" applyFont="1" applyFill="1" applyAlignment="1">
      <alignment vertical="center"/>
    </xf>
    <xf numFmtId="3" fontId="44" fillId="0" borderId="0" xfId="56" applyNumberFormat="1" applyFont="1" applyFill="1" applyAlignment="1">
      <alignment vertical="center"/>
    </xf>
    <xf numFmtId="3" fontId="1" fillId="0" borderId="0" xfId="56" applyNumberFormat="1" applyFill="1" applyAlignment="1">
      <alignment vertical="center"/>
    </xf>
    <xf numFmtId="4" fontId="1" fillId="0" borderId="0" xfId="56" applyNumberFormat="1" applyFill="1" applyAlignment="1">
      <alignment horizontal="left" vertical="center"/>
    </xf>
    <xf numFmtId="0" fontId="1" fillId="0" borderId="0" xfId="56" applyFill="1" applyAlignment="1">
      <alignment vertical="center"/>
    </xf>
    <xf numFmtId="4" fontId="4" fillId="0" borderId="0" xfId="56" applyNumberFormat="1" applyFont="1" applyFill="1" applyAlignment="1">
      <alignment horizontal="left" vertical="center"/>
    </xf>
    <xf numFmtId="0" fontId="4" fillId="0" borderId="0" xfId="56" applyFont="1" applyFill="1" applyAlignment="1">
      <alignment vertical="center"/>
    </xf>
    <xf numFmtId="3" fontId="1" fillId="0" borderId="0" xfId="56" applyNumberFormat="1" applyAlignment="1">
      <alignment horizontal="right" vertical="center"/>
    </xf>
    <xf numFmtId="3" fontId="1" fillId="0" borderId="0" xfId="56" applyNumberFormat="1" applyAlignment="1">
      <alignment horizontal="center"/>
    </xf>
    <xf numFmtId="3" fontId="4" fillId="0" borderId="0" xfId="56" applyNumberFormat="1" applyFont="1" applyFill="1" applyAlignment="1">
      <alignment vertical="center"/>
    </xf>
    <xf numFmtId="4" fontId="28" fillId="0" borderId="0" xfId="39" applyNumberFormat="1" applyFont="1" applyAlignment="1">
      <alignment horizontal="left"/>
    </xf>
    <xf numFmtId="3" fontId="1" fillId="0" borderId="0" xfId="56" applyNumberFormat="1" applyAlignment="1">
      <alignment horizontal="right"/>
    </xf>
    <xf numFmtId="0" fontId="5" fillId="0" borderId="0" xfId="56" applyFont="1" applyAlignment="1">
      <alignment wrapText="1"/>
    </xf>
    <xf numFmtId="0" fontId="1" fillId="0" borderId="0" xfId="56" applyFill="1"/>
    <xf numFmtId="0" fontId="5" fillId="0" borderId="0" xfId="56" applyFont="1"/>
    <xf numFmtId="0" fontId="1" fillId="0" borderId="0" xfId="56" applyFill="1" applyAlignment="1">
      <alignment wrapText="1"/>
    </xf>
    <xf numFmtId="8" fontId="5" fillId="0" borderId="0" xfId="56" applyNumberFormat="1" applyFont="1" applyAlignment="1">
      <alignment horizontal="right" vertical="center"/>
    </xf>
    <xf numFmtId="0" fontId="5" fillId="0" borderId="0" xfId="56" applyFont="1" applyAlignment="1">
      <alignment horizontal="left"/>
    </xf>
    <xf numFmtId="0" fontId="5" fillId="0" borderId="7" xfId="56" applyFont="1" applyBorder="1" applyAlignment="1">
      <alignment horizontal="left"/>
    </xf>
    <xf numFmtId="0" fontId="5" fillId="0" borderId="8" xfId="56" applyFont="1" applyBorder="1" applyAlignment="1">
      <alignment horizontal="center" vertical="center"/>
    </xf>
    <xf numFmtId="0" fontId="5" fillId="0" borderId="9" xfId="56" applyFont="1" applyBorder="1" applyAlignment="1">
      <alignment horizontal="center" vertical="center" wrapText="1"/>
    </xf>
    <xf numFmtId="0" fontId="5" fillId="0" borderId="10" xfId="56" applyFont="1" applyBorder="1" applyAlignment="1">
      <alignment horizontal="center" vertical="center"/>
    </xf>
    <xf numFmtId="17" fontId="1" fillId="0" borderId="11" xfId="56" applyNumberFormat="1" applyBorder="1" applyAlignment="1">
      <alignment horizontal="left"/>
    </xf>
    <xf numFmtId="172" fontId="1" fillId="0" borderId="7" xfId="56" applyNumberFormat="1" applyBorder="1" applyAlignment="1">
      <alignment horizontal="right" vertical="center"/>
    </xf>
    <xf numFmtId="171" fontId="28" fillId="0" borderId="0" xfId="39" applyFont="1" applyAlignment="1">
      <alignment wrapText="1"/>
    </xf>
    <xf numFmtId="171" fontId="1" fillId="0" borderId="0" xfId="56" applyNumberFormat="1"/>
    <xf numFmtId="43" fontId="1" fillId="0" borderId="0" xfId="56" applyNumberFormat="1"/>
    <xf numFmtId="0" fontId="1" fillId="0" borderId="7" xfId="56" applyBorder="1" applyAlignment="1">
      <alignment vertical="center"/>
    </xf>
    <xf numFmtId="0" fontId="1" fillId="0" borderId="7" xfId="56" applyBorder="1" applyAlignment="1">
      <alignment wrapText="1"/>
    </xf>
    <xf numFmtId="0" fontId="1" fillId="0" borderId="7" xfId="56" applyBorder="1" applyAlignment="1">
      <alignment vertical="center" wrapText="1"/>
    </xf>
    <xf numFmtId="171" fontId="5" fillId="0" borderId="0" xfId="56" applyNumberFormat="1" applyFont="1"/>
    <xf numFmtId="0" fontId="5" fillId="38" borderId="0" xfId="56" applyFont="1" applyFill="1" applyAlignment="1">
      <alignment horizontal="left"/>
    </xf>
    <xf numFmtId="169" fontId="5" fillId="0" borderId="0" xfId="56" applyNumberFormat="1" applyFont="1"/>
    <xf numFmtId="0" fontId="1" fillId="0" borderId="0" xfId="56" applyAlignment="1">
      <alignment horizontal="left"/>
    </xf>
    <xf numFmtId="41" fontId="28" fillId="0" borderId="0" xfId="37" applyFont="1"/>
    <xf numFmtId="41" fontId="1" fillId="0" borderId="0" xfId="56" applyNumberFormat="1"/>
    <xf numFmtId="0" fontId="5" fillId="39" borderId="0" xfId="56" applyFont="1" applyFill="1"/>
    <xf numFmtId="3" fontId="5" fillId="39" borderId="0" xfId="56" applyNumberFormat="1" applyFont="1" applyFill="1"/>
    <xf numFmtId="0" fontId="5" fillId="0" borderId="0" xfId="56" applyFont="1" applyAlignment="1">
      <alignment horizontal="center"/>
    </xf>
    <xf numFmtId="3" fontId="5" fillId="0" borderId="0" xfId="56" applyNumberFormat="1" applyFont="1" applyAlignment="1">
      <alignment horizontal="center"/>
    </xf>
    <xf numFmtId="17" fontId="1" fillId="0" borderId="0" xfId="56" applyNumberFormat="1" applyAlignment="1">
      <alignment horizontal="left"/>
    </xf>
    <xf numFmtId="0" fontId="1" fillId="0" borderId="0" xfId="56" applyAlignment="1">
      <alignment horizontal="center" vertical="center"/>
    </xf>
    <xf numFmtId="171" fontId="5" fillId="39" borderId="0" xfId="56" applyNumberFormat="1" applyFont="1" applyFill="1"/>
    <xf numFmtId="3" fontId="5" fillId="38" borderId="0" xfId="56" applyNumberFormat="1" applyFont="1" applyFill="1"/>
    <xf numFmtId="173" fontId="1" fillId="0" borderId="0" xfId="33" applyNumberFormat="1" applyFont="1" applyFill="1" applyAlignment="1">
      <alignment horizontal="left" vertical="center"/>
    </xf>
    <xf numFmtId="0" fontId="48" fillId="0" borderId="0" xfId="0" applyFont="1"/>
    <xf numFmtId="3" fontId="2" fillId="40" borderId="1" xfId="0" applyNumberFormat="1" applyFont="1" applyFill="1" applyBorder="1" applyAlignment="1">
      <alignment horizontal="center" vertical="center" wrapText="1"/>
    </xf>
    <xf numFmtId="3" fontId="2" fillId="0" borderId="3" xfId="44" applyNumberFormat="1" applyFont="1" applyFill="1" applyBorder="1" applyAlignment="1">
      <alignment vertical="center" wrapText="1"/>
    </xf>
    <xf numFmtId="3" fontId="2" fillId="0" borderId="0" xfId="44" applyNumberFormat="1" applyFont="1" applyFill="1" applyBorder="1" applyAlignment="1">
      <alignment vertical="center" wrapText="1"/>
    </xf>
    <xf numFmtId="3" fontId="3" fillId="0" borderId="3" xfId="44" applyNumberFormat="1" applyFont="1" applyFill="1" applyBorder="1" applyAlignment="1">
      <alignment vertical="center" wrapText="1"/>
    </xf>
    <xf numFmtId="3" fontId="3" fillId="0" borderId="0" xfId="44" applyNumberFormat="1" applyFont="1" applyFill="1" applyBorder="1" applyAlignment="1">
      <alignment vertical="center" wrapText="1"/>
    </xf>
    <xf numFmtId="3" fontId="2" fillId="40" borderId="12" xfId="44" applyNumberFormat="1" applyFont="1" applyFill="1" applyBorder="1" applyAlignment="1">
      <alignment vertical="center" wrapText="1"/>
    </xf>
    <xf numFmtId="3" fontId="2" fillId="0" borderId="13" xfId="44" applyNumberFormat="1" applyFont="1" applyFill="1" applyBorder="1" applyAlignment="1">
      <alignment vertical="center" wrapText="1"/>
    </xf>
    <xf numFmtId="4" fontId="2" fillId="40" borderId="14" xfId="0" applyNumberFormat="1" applyFont="1" applyFill="1" applyBorder="1" applyAlignment="1">
      <alignment vertical="center"/>
    </xf>
    <xf numFmtId="4" fontId="2" fillId="40" borderId="15" xfId="0" applyNumberFormat="1" applyFont="1" applyFill="1" applyBorder="1" applyAlignment="1">
      <alignment vertical="center"/>
    </xf>
    <xf numFmtId="3" fontId="2" fillId="40" borderId="16" xfId="44" applyNumberFormat="1" applyFont="1" applyFill="1" applyBorder="1" applyAlignment="1">
      <alignment horizontal="right" vertical="center"/>
    </xf>
    <xf numFmtId="9" fontId="2" fillId="0" borderId="0" xfId="44" applyNumberFormat="1" applyFont="1" applyFill="1" applyBorder="1" applyAlignment="1">
      <alignment horizontal="center"/>
    </xf>
    <xf numFmtId="0" fontId="48" fillId="0" borderId="0" xfId="0" applyFont="1" applyAlignment="1">
      <alignment horizontal="center" vertical="center"/>
    </xf>
    <xf numFmtId="173" fontId="3" fillId="0" borderId="17" xfId="33" applyNumberFormat="1" applyFont="1" applyFill="1" applyBorder="1" applyAlignment="1">
      <alignment horizontal="center" vertical="center" wrapText="1"/>
    </xf>
    <xf numFmtId="169" fontId="3" fillId="0" borderId="18" xfId="33" applyNumberFormat="1" applyFont="1" applyFill="1" applyBorder="1" applyAlignment="1">
      <alignment horizontal="right" vertical="center" wrapText="1"/>
    </xf>
    <xf numFmtId="3" fontId="3" fillId="0" borderId="19" xfId="33" applyNumberFormat="1" applyFont="1" applyFill="1" applyBorder="1" applyAlignment="1">
      <alignment horizontal="right" vertical="center" wrapText="1"/>
    </xf>
    <xf numFmtId="38" fontId="2" fillId="0" borderId="20" xfId="33" applyNumberFormat="1" applyFont="1" applyFill="1" applyBorder="1" applyAlignment="1">
      <alignment vertical="center"/>
    </xf>
    <xf numFmtId="38" fontId="2" fillId="0" borderId="21" xfId="33" applyNumberFormat="1" applyFont="1" applyFill="1" applyBorder="1" applyAlignment="1">
      <alignment vertical="center"/>
    </xf>
    <xf numFmtId="38" fontId="2" fillId="0" borderId="22" xfId="33" applyNumberFormat="1" applyFont="1" applyFill="1" applyBorder="1" applyAlignment="1">
      <alignment vertical="center"/>
    </xf>
    <xf numFmtId="38" fontId="2" fillId="0" borderId="23" xfId="33" applyNumberFormat="1" applyFont="1" applyFill="1" applyBorder="1" applyAlignment="1">
      <alignment vertical="center"/>
    </xf>
    <xf numFmtId="40" fontId="3" fillId="0" borderId="0" xfId="33" applyNumberFormat="1" applyFont="1" applyFill="1"/>
    <xf numFmtId="1" fontId="2" fillId="0" borderId="0" xfId="0" applyNumberFormat="1" applyFont="1" applyBorder="1" applyAlignment="1">
      <alignment wrapText="1"/>
    </xf>
    <xf numFmtId="3" fontId="3" fillId="0" borderId="0" xfId="0" applyNumberFormat="1" applyFont="1" applyAlignment="1">
      <alignment vertical="center" wrapText="1"/>
    </xf>
    <xf numFmtId="3" fontId="3" fillId="0" borderId="0" xfId="33" applyNumberFormat="1" applyFont="1" applyFill="1"/>
    <xf numFmtId="3" fontId="3" fillId="0" borderId="0" xfId="0" applyNumberFormat="1" applyFont="1" applyFill="1" applyAlignment="1">
      <alignment vertical="center" wrapText="1"/>
    </xf>
    <xf numFmtId="1" fontId="45" fillId="0" borderId="24" xfId="0" applyNumberFormat="1" applyFont="1" applyBorder="1" applyAlignment="1">
      <alignment horizontal="left" wrapText="1"/>
    </xf>
    <xf numFmtId="3" fontId="46" fillId="0" borderId="0" xfId="0" applyNumberFormat="1" applyFont="1" applyAlignment="1">
      <alignment horizontal="left" vertical="center" wrapText="1"/>
    </xf>
    <xf numFmtId="1" fontId="46" fillId="0" borderId="6" xfId="56" applyNumberFormat="1" applyFont="1" applyBorder="1" applyAlignment="1">
      <alignment horizontal="center"/>
    </xf>
    <xf numFmtId="0" fontId="46" fillId="0" borderId="6" xfId="56" applyFont="1" applyBorder="1" applyAlignment="1">
      <alignment horizontal="center" wrapText="1"/>
    </xf>
    <xf numFmtId="3" fontId="46" fillId="0" borderId="6" xfId="56" applyNumberFormat="1" applyFont="1" applyBorder="1"/>
    <xf numFmtId="3" fontId="3" fillId="0" borderId="0" xfId="0" applyNumberFormat="1" applyFont="1" applyAlignment="1">
      <alignment horizontal="left" vertical="center" wrapText="1"/>
    </xf>
    <xf numFmtId="1" fontId="2" fillId="0" borderId="0" xfId="0" applyNumberFormat="1" applyFont="1" applyBorder="1" applyAlignment="1">
      <alignment horizontal="left" wrapText="1"/>
    </xf>
    <xf numFmtId="4" fontId="2" fillId="0" borderId="0" xfId="56" applyNumberFormat="1" applyFont="1"/>
    <xf numFmtId="0" fontId="2" fillId="0" borderId="0" xfId="56" applyFont="1"/>
    <xf numFmtId="3" fontId="3" fillId="0" borderId="6" xfId="56" applyNumberFormat="1" applyFont="1" applyBorder="1" applyAlignment="1">
      <alignment wrapText="1"/>
    </xf>
    <xf numFmtId="15" fontId="3" fillId="0" borderId="6" xfId="56" applyNumberFormat="1" applyFont="1" applyBorder="1"/>
    <xf numFmtId="1" fontId="3" fillId="0" borderId="0" xfId="56" applyNumberFormat="1" applyFont="1" applyBorder="1" applyAlignment="1">
      <alignment horizontal="center"/>
    </xf>
    <xf numFmtId="1" fontId="3" fillId="0" borderId="6" xfId="56" applyNumberFormat="1" applyFont="1" applyBorder="1" applyAlignment="1">
      <alignment horizontal="center"/>
    </xf>
    <xf numFmtId="0" fontId="3" fillId="0" borderId="6" xfId="56" applyFont="1" applyBorder="1" applyAlignment="1">
      <alignment horizontal="center" wrapText="1"/>
    </xf>
    <xf numFmtId="3" fontId="3" fillId="0" borderId="6" xfId="56" applyNumberFormat="1" applyFont="1" applyBorder="1"/>
    <xf numFmtId="4" fontId="3" fillId="0" borderId="0" xfId="56" applyNumberFormat="1" applyFont="1"/>
    <xf numFmtId="40" fontId="3" fillId="0" borderId="0" xfId="56" applyNumberFormat="1" applyFont="1"/>
    <xf numFmtId="0" fontId="3" fillId="0" borderId="0" xfId="56" applyFont="1"/>
    <xf numFmtId="0" fontId="3" fillId="0" borderId="0" xfId="56" applyFont="1" applyAlignment="1">
      <alignment horizontal="center"/>
    </xf>
    <xf numFmtId="1" fontId="3" fillId="0" borderId="0" xfId="56" applyNumberFormat="1" applyFont="1" applyAlignment="1">
      <alignment horizontal="center"/>
    </xf>
    <xf numFmtId="0" fontId="3" fillId="0" borderId="0" xfId="56" applyFont="1" applyAlignment="1">
      <alignment wrapText="1"/>
    </xf>
    <xf numFmtId="3" fontId="3" fillId="0" borderId="0" xfId="56" applyNumberFormat="1" applyFont="1" applyAlignment="1">
      <alignment wrapText="1"/>
    </xf>
    <xf numFmtId="3" fontId="3" fillId="0" borderId="0" xfId="56" applyNumberFormat="1" applyFont="1" applyBorder="1" applyAlignment="1">
      <alignment wrapText="1"/>
    </xf>
    <xf numFmtId="15" fontId="3" fillId="0" borderId="0" xfId="56" applyNumberFormat="1" applyFont="1" applyBorder="1"/>
    <xf numFmtId="0" fontId="3" fillId="0" borderId="0" xfId="56" applyFont="1" applyBorder="1" applyAlignment="1">
      <alignment horizontal="center" wrapText="1"/>
    </xf>
    <xf numFmtId="3" fontId="3" fillId="0" borderId="0" xfId="56" applyNumberFormat="1" applyFont="1"/>
    <xf numFmtId="1" fontId="2" fillId="0" borderId="0" xfId="56" applyNumberFormat="1" applyFont="1" applyBorder="1" applyAlignment="1">
      <alignment wrapText="1"/>
    </xf>
    <xf numFmtId="0" fontId="49" fillId="40" borderId="0" xfId="56" applyFont="1" applyFill="1" applyAlignment="1">
      <alignment horizontal="left"/>
    </xf>
    <xf numFmtId="3" fontId="49" fillId="40" borderId="0" xfId="56" applyNumberFormat="1" applyFont="1" applyFill="1"/>
    <xf numFmtId="9" fontId="50" fillId="0" borderId="0" xfId="60" applyFont="1"/>
    <xf numFmtId="0" fontId="49" fillId="0" borderId="0" xfId="56" applyFont="1" applyFill="1" applyAlignment="1">
      <alignment horizontal="left"/>
    </xf>
    <xf numFmtId="3" fontId="3" fillId="0" borderId="0" xfId="56" applyNumberFormat="1" applyFont="1" applyFill="1"/>
    <xf numFmtId="9" fontId="50" fillId="0" borderId="0" xfId="60" applyFont="1" applyFill="1"/>
    <xf numFmtId="3" fontId="49" fillId="37" borderId="0" xfId="56" applyNumberFormat="1" applyFont="1" applyFill="1" applyAlignment="1">
      <alignment horizontal="center" vertical="center" wrapText="1"/>
    </xf>
    <xf numFmtId="9" fontId="49" fillId="37" borderId="0" xfId="60" applyFont="1" applyFill="1" applyAlignment="1">
      <alignment horizontal="center" vertical="center" wrapText="1"/>
    </xf>
    <xf numFmtId="3" fontId="49" fillId="41" borderId="0" xfId="56" applyNumberFormat="1" applyFont="1" applyFill="1" applyAlignment="1">
      <alignment horizontal="center" vertical="center" wrapText="1"/>
    </xf>
    <xf numFmtId="9" fontId="49" fillId="41" borderId="0" xfId="60" applyFont="1" applyFill="1" applyAlignment="1">
      <alignment horizontal="center" vertical="center" wrapText="1"/>
    </xf>
    <xf numFmtId="170" fontId="3" fillId="0" borderId="0" xfId="56" applyNumberFormat="1" applyFont="1" applyAlignment="1">
      <alignment horizontal="center" vertical="center"/>
    </xf>
    <xf numFmtId="3" fontId="3" fillId="0" borderId="0" xfId="56" applyNumberFormat="1" applyFont="1" applyAlignment="1">
      <alignment vertical="center"/>
    </xf>
    <xf numFmtId="9" fontId="50" fillId="0" borderId="0" xfId="60" applyFont="1" applyAlignment="1">
      <alignment horizontal="center" vertical="center"/>
    </xf>
    <xf numFmtId="170" fontId="3" fillId="0" borderId="0" xfId="56" applyNumberFormat="1" applyFont="1" applyAlignment="1">
      <alignment horizontal="center"/>
    </xf>
    <xf numFmtId="170" fontId="49" fillId="0" borderId="0" xfId="56" applyNumberFormat="1" applyFont="1" applyAlignment="1">
      <alignment horizontal="left"/>
    </xf>
    <xf numFmtId="9" fontId="50" fillId="0" borderId="0" xfId="60" applyFont="1" applyAlignment="1">
      <alignment horizontal="center"/>
    </xf>
    <xf numFmtId="170" fontId="49" fillId="37" borderId="0" xfId="56" applyNumberFormat="1" applyFont="1" applyFill="1" applyAlignment="1">
      <alignment horizontal="center"/>
    </xf>
    <xf numFmtId="3" fontId="49" fillId="37" borderId="0" xfId="56" applyNumberFormat="1" applyFont="1" applyFill="1"/>
    <xf numFmtId="3" fontId="49" fillId="41" borderId="0" xfId="56" applyNumberFormat="1" applyFont="1" applyFill="1"/>
    <xf numFmtId="0" fontId="3" fillId="41" borderId="0" xfId="56" applyFont="1" applyFill="1"/>
    <xf numFmtId="170" fontId="49" fillId="42" borderId="0" xfId="56" applyNumberFormat="1" applyFont="1" applyFill="1" applyAlignment="1">
      <alignment horizontal="center"/>
    </xf>
    <xf numFmtId="3" fontId="49" fillId="42" borderId="0" xfId="56" applyNumberFormat="1" applyFont="1" applyFill="1"/>
    <xf numFmtId="9" fontId="49" fillId="42" borderId="0" xfId="60" applyFont="1" applyFill="1"/>
    <xf numFmtId="0" fontId="49" fillId="42" borderId="0" xfId="56" applyFont="1" applyFill="1"/>
    <xf numFmtId="3" fontId="1" fillId="0" borderId="7" xfId="56" quotePrefix="1" applyNumberFormat="1" applyBorder="1" applyAlignment="1">
      <alignment vertical="center"/>
    </xf>
    <xf numFmtId="175" fontId="1" fillId="0" borderId="0" xfId="44" applyNumberFormat="1" applyFont="1"/>
    <xf numFmtId="175" fontId="28" fillId="0" borderId="0" xfId="44" applyNumberFormat="1" applyFont="1"/>
    <xf numFmtId="0" fontId="50" fillId="0" borderId="0" xfId="0" applyFont="1"/>
    <xf numFmtId="176" fontId="50" fillId="0" borderId="0" xfId="33" applyNumberFormat="1" applyFont="1"/>
    <xf numFmtId="3" fontId="50" fillId="0" borderId="0" xfId="0" applyNumberFormat="1" applyFont="1"/>
    <xf numFmtId="0" fontId="12" fillId="0" borderId="25" xfId="0" applyFont="1" applyBorder="1" applyAlignment="1">
      <alignment horizontal="center" vertical="center" wrapText="1"/>
    </xf>
    <xf numFmtId="0" fontId="12" fillId="0" borderId="26" xfId="0" applyFont="1" applyBorder="1" applyAlignment="1">
      <alignment horizontal="center" vertical="center" wrapText="1"/>
    </xf>
    <xf numFmtId="176" fontId="12" fillId="0" borderId="26" xfId="33" applyNumberFormat="1" applyFont="1" applyBorder="1" applyAlignment="1">
      <alignment horizontal="center" vertical="center" wrapText="1"/>
    </xf>
    <xf numFmtId="0" fontId="51" fillId="0" borderId="26" xfId="0" applyFont="1" applyBorder="1" applyAlignment="1">
      <alignment horizontal="center" vertical="center" wrapText="1"/>
    </xf>
    <xf numFmtId="3" fontId="51" fillId="0" borderId="26" xfId="0" applyNumberFormat="1" applyFont="1" applyBorder="1" applyAlignment="1">
      <alignment horizontal="center" vertical="center" wrapText="1"/>
    </xf>
    <xf numFmtId="3" fontId="51" fillId="0" borderId="22" xfId="0" applyNumberFormat="1" applyFont="1" applyBorder="1" applyAlignment="1">
      <alignment horizontal="center" vertical="center" wrapText="1"/>
    </xf>
    <xf numFmtId="0" fontId="51" fillId="0" borderId="0" xfId="0" applyFont="1" applyAlignment="1">
      <alignment vertical="center"/>
    </xf>
    <xf numFmtId="176" fontId="51" fillId="0" borderId="0" xfId="33" applyNumberFormat="1" applyFont="1" applyAlignment="1">
      <alignment vertical="center"/>
    </xf>
    <xf numFmtId="0" fontId="51" fillId="0" borderId="27" xfId="0" applyFont="1" applyBorder="1" applyAlignment="1">
      <alignment horizontal="center" vertical="center" wrapText="1"/>
    </xf>
    <xf numFmtId="0" fontId="51" fillId="0" borderId="8" xfId="0" applyFont="1" applyBorder="1" applyAlignment="1">
      <alignment horizontal="left" vertical="center" wrapText="1"/>
    </xf>
    <xf numFmtId="0" fontId="51" fillId="0" borderId="11" xfId="0" applyFont="1" applyBorder="1" applyAlignment="1">
      <alignment horizontal="left" vertical="center" wrapText="1"/>
    </xf>
    <xf numFmtId="0" fontId="51" fillId="0" borderId="28" xfId="0" applyFont="1" applyBorder="1" applyAlignment="1">
      <alignment horizontal="left" vertical="center" wrapText="1"/>
    </xf>
    <xf numFmtId="3" fontId="3" fillId="0" borderId="6" xfId="0" applyNumberFormat="1" applyFont="1" applyBorder="1" applyAlignment="1">
      <alignment wrapText="1"/>
    </xf>
    <xf numFmtId="15" fontId="3" fillId="0" borderId="6" xfId="0" applyNumberFormat="1" applyFont="1" applyBorder="1"/>
    <xf numFmtId="1" fontId="3" fillId="0" borderId="6" xfId="0" applyNumberFormat="1" applyFont="1" applyBorder="1" applyAlignment="1">
      <alignment horizontal="center"/>
    </xf>
    <xf numFmtId="0" fontId="3" fillId="0" borderId="0" xfId="0" applyFont="1" applyAlignment="1">
      <alignment horizontal="center" wrapText="1"/>
    </xf>
    <xf numFmtId="4" fontId="3" fillId="0" borderId="0" xfId="0" applyNumberFormat="1" applyFont="1"/>
    <xf numFmtId="1" fontId="3" fillId="0" borderId="0" xfId="0" applyNumberFormat="1" applyFont="1" applyAlignment="1">
      <alignment horizontal="center"/>
    </xf>
    <xf numFmtId="3" fontId="3" fillId="0" borderId="0" xfId="0" applyNumberFormat="1" applyFont="1" applyAlignment="1">
      <alignment horizontal="left" vertical="center"/>
    </xf>
    <xf numFmtId="40" fontId="3" fillId="0" borderId="0" xfId="0" applyNumberFormat="1" applyFont="1" applyAlignment="1">
      <alignment wrapText="1"/>
    </xf>
    <xf numFmtId="3" fontId="3" fillId="0" borderId="0" xfId="33" applyNumberFormat="1" applyFont="1"/>
    <xf numFmtId="40" fontId="3" fillId="0" borderId="0" xfId="0" applyNumberFormat="1" applyFont="1"/>
    <xf numFmtId="40" fontId="2" fillId="0" borderId="0" xfId="0" applyNumberFormat="1" applyFont="1"/>
    <xf numFmtId="3" fontId="13" fillId="0" borderId="6" xfId="0" applyNumberFormat="1" applyFont="1" applyBorder="1" applyAlignment="1">
      <alignment wrapText="1"/>
    </xf>
    <xf numFmtId="3" fontId="13" fillId="0" borderId="0" xfId="0" applyNumberFormat="1" applyFont="1" applyAlignment="1">
      <alignment wrapText="1"/>
    </xf>
    <xf numFmtId="4" fontId="13" fillId="0" borderId="0" xfId="0" applyNumberFormat="1" applyFont="1"/>
    <xf numFmtId="3" fontId="13" fillId="0" borderId="0" xfId="0" applyNumberFormat="1" applyFont="1"/>
    <xf numFmtId="40" fontId="13" fillId="0" borderId="0" xfId="0" applyNumberFormat="1" applyFont="1"/>
    <xf numFmtId="0" fontId="13" fillId="0" borderId="0" xfId="0" applyFont="1"/>
    <xf numFmtId="0" fontId="13" fillId="0" borderId="0" xfId="0" applyFont="1" applyAlignment="1">
      <alignment horizontal="center"/>
    </xf>
    <xf numFmtId="1" fontId="13" fillId="0" borderId="0" xfId="0" applyNumberFormat="1" applyFont="1" applyAlignment="1">
      <alignment horizontal="center"/>
    </xf>
    <xf numFmtId="0" fontId="13" fillId="0" borderId="0" xfId="0" applyFont="1" applyAlignment="1">
      <alignment wrapText="1"/>
    </xf>
    <xf numFmtId="40" fontId="3" fillId="0" borderId="0" xfId="0" applyNumberFormat="1" applyFont="1" applyAlignment="1">
      <alignment vertical="center"/>
    </xf>
    <xf numFmtId="3" fontId="2" fillId="0" borderId="0" xfId="0" applyNumberFormat="1" applyFont="1" applyAlignment="1">
      <alignment vertical="center" wrapText="1"/>
    </xf>
    <xf numFmtId="3" fontId="3" fillId="0" borderId="0" xfId="0" applyNumberFormat="1" applyFont="1" applyAlignment="1">
      <alignment vertical="center"/>
    </xf>
    <xf numFmtId="175" fontId="51" fillId="0" borderId="29" xfId="44" applyNumberFormat="1" applyFont="1" applyBorder="1" applyAlignment="1">
      <alignment vertical="center"/>
    </xf>
    <xf numFmtId="175" fontId="50" fillId="0" borderId="10" xfId="44" applyNumberFormat="1" applyFont="1" applyBorder="1" applyAlignment="1">
      <alignment horizontal="right"/>
    </xf>
    <xf numFmtId="175" fontId="50" fillId="0" borderId="30" xfId="44" applyNumberFormat="1" applyFont="1" applyBorder="1" applyAlignment="1">
      <alignment horizontal="right"/>
    </xf>
    <xf numFmtId="1" fontId="45" fillId="0" borderId="24" xfId="0" applyNumberFormat="1" applyFont="1" applyBorder="1" applyAlignment="1">
      <alignment horizontal="left" wrapText="1"/>
    </xf>
    <xf numFmtId="3" fontId="46" fillId="0" borderId="0" xfId="0" applyNumberFormat="1" applyFont="1" applyAlignment="1">
      <alignment horizontal="left" vertical="center" wrapText="1"/>
    </xf>
    <xf numFmtId="4" fontId="45" fillId="0" borderId="2" xfId="56" applyNumberFormat="1" applyFont="1" applyBorder="1" applyAlignment="1">
      <alignment horizontal="left" vertical="center"/>
    </xf>
    <xf numFmtId="4" fontId="45" fillId="0" borderId="0" xfId="56" applyNumberFormat="1" applyFont="1" applyBorder="1" applyAlignment="1">
      <alignment horizontal="left" vertical="center"/>
    </xf>
    <xf numFmtId="166" fontId="1" fillId="0" borderId="0" xfId="44" applyFont="1"/>
    <xf numFmtId="175" fontId="1" fillId="0" borderId="0" xfId="56" applyNumberFormat="1"/>
    <xf numFmtId="0" fontId="52" fillId="0" borderId="0" xfId="56" applyFont="1" applyFill="1"/>
    <xf numFmtId="8" fontId="52" fillId="0" borderId="0" xfId="56" applyNumberFormat="1" applyFont="1" applyFill="1"/>
    <xf numFmtId="0" fontId="53" fillId="0" borderId="0" xfId="56" applyFont="1" applyFill="1"/>
    <xf numFmtId="0" fontId="54" fillId="0" borderId="0" xfId="0" applyFont="1" applyFill="1"/>
    <xf numFmtId="0" fontId="55" fillId="0" borderId="0" xfId="56" applyFont="1" applyFill="1" applyAlignment="1">
      <alignment wrapText="1"/>
    </xf>
    <xf numFmtId="0" fontId="53" fillId="0" borderId="0" xfId="56" applyFont="1" applyFill="1" applyAlignment="1">
      <alignment wrapText="1"/>
    </xf>
    <xf numFmtId="14" fontId="0" fillId="0" borderId="7" xfId="0" applyNumberFormat="1" applyBorder="1" applyAlignment="1">
      <alignment horizontal="left"/>
    </xf>
    <xf numFmtId="9" fontId="14" fillId="0" borderId="19" xfId="44" applyNumberFormat="1" applyFont="1" applyBorder="1" applyAlignment="1">
      <alignment horizontal="center"/>
    </xf>
    <xf numFmtId="170" fontId="13" fillId="0" borderId="0" xfId="56" applyNumberFormat="1" applyFont="1" applyAlignment="1">
      <alignment horizontal="left"/>
    </xf>
    <xf numFmtId="9" fontId="13" fillId="0" borderId="31" xfId="44" applyNumberFormat="1" applyFont="1" applyFill="1" applyBorder="1" applyAlignment="1">
      <alignment horizontal="center"/>
    </xf>
    <xf numFmtId="4" fontId="45" fillId="0" borderId="2" xfId="56" applyNumberFormat="1" applyFont="1" applyBorder="1" applyAlignment="1">
      <alignment horizontal="left" vertical="center"/>
    </xf>
    <xf numFmtId="4" fontId="45" fillId="0" borderId="0" xfId="56" applyNumberFormat="1" applyFont="1" applyBorder="1" applyAlignment="1">
      <alignment horizontal="left" vertical="center"/>
    </xf>
    <xf numFmtId="166" fontId="46" fillId="0" borderId="0" xfId="44" applyFont="1" applyBorder="1" applyAlignment="1">
      <alignment vertical="center" wrapText="1"/>
    </xf>
    <xf numFmtId="166" fontId="45" fillId="0" borderId="3" xfId="44" applyFont="1" applyBorder="1" applyAlignment="1">
      <alignment vertical="center" wrapText="1"/>
    </xf>
    <xf numFmtId="166" fontId="46" fillId="0" borderId="0" xfId="44" applyFont="1" applyFill="1" applyBorder="1" applyAlignment="1">
      <alignment vertical="center" wrapText="1"/>
    </xf>
    <xf numFmtId="166" fontId="46" fillId="0" borderId="3" xfId="44" applyFont="1" applyBorder="1" applyAlignment="1">
      <alignment vertical="center"/>
    </xf>
    <xf numFmtId="166" fontId="46" fillId="0" borderId="0" xfId="44" applyFont="1" applyBorder="1" applyAlignment="1">
      <alignment vertical="center"/>
    </xf>
    <xf numFmtId="166" fontId="45" fillId="0" borderId="3" xfId="44" applyFont="1" applyBorder="1" applyAlignment="1">
      <alignment vertical="center"/>
    </xf>
    <xf numFmtId="166" fontId="47" fillId="34" borderId="5" xfId="44" applyFont="1" applyFill="1" applyBorder="1" applyAlignment="1">
      <alignment vertical="center"/>
    </xf>
    <xf numFmtId="166" fontId="47" fillId="34" borderId="32" xfId="44" applyFont="1" applyFill="1" applyBorder="1" applyAlignment="1">
      <alignment vertical="center" wrapText="1"/>
    </xf>
    <xf numFmtId="175" fontId="46" fillId="0" borderId="0" xfId="44" applyNumberFormat="1" applyFont="1" applyBorder="1" applyAlignment="1">
      <alignment vertical="center" wrapText="1"/>
    </xf>
    <xf numFmtId="175" fontId="45" fillId="0" borderId="3" xfId="44" applyNumberFormat="1" applyFont="1" applyBorder="1" applyAlignment="1">
      <alignment vertical="center" wrapText="1"/>
    </xf>
    <xf numFmtId="175" fontId="46" fillId="0" borderId="0" xfId="44" applyNumberFormat="1" applyFont="1" applyFill="1" applyBorder="1" applyAlignment="1">
      <alignment vertical="center" wrapText="1"/>
    </xf>
    <xf numFmtId="175" fontId="46" fillId="0" borderId="3" xfId="44" applyNumberFormat="1" applyFont="1" applyBorder="1" applyAlignment="1">
      <alignment vertical="center"/>
    </xf>
    <xf numFmtId="175" fontId="46" fillId="0" borderId="0" xfId="44" applyNumberFormat="1" applyFont="1" applyBorder="1" applyAlignment="1">
      <alignment vertical="center"/>
    </xf>
    <xf numFmtId="175" fontId="45" fillId="0" borderId="3" xfId="44" applyNumberFormat="1" applyFont="1" applyBorder="1" applyAlignment="1">
      <alignment vertical="center"/>
    </xf>
    <xf numFmtId="177" fontId="1" fillId="0" borderId="0" xfId="56" applyNumberFormat="1" applyFill="1" applyAlignment="1">
      <alignment horizontal="left" vertical="center" wrapText="1"/>
    </xf>
    <xf numFmtId="166" fontId="1" fillId="0" borderId="0" xfId="44" applyNumberFormat="1" applyFont="1"/>
    <xf numFmtId="175" fontId="46" fillId="0" borderId="0" xfId="44" applyNumberFormat="1" applyFont="1" applyAlignment="1">
      <alignment wrapText="1"/>
    </xf>
    <xf numFmtId="166" fontId="46" fillId="0" borderId="0" xfId="44" applyNumberFormat="1" applyFont="1" applyBorder="1" applyAlignment="1">
      <alignment vertical="center" wrapText="1"/>
    </xf>
    <xf numFmtId="166" fontId="45" fillId="0" borderId="3" xfId="44" applyNumberFormat="1" applyFont="1" applyBorder="1" applyAlignment="1">
      <alignment vertical="center" wrapText="1"/>
    </xf>
    <xf numFmtId="166" fontId="46" fillId="0" borderId="0" xfId="44" applyNumberFormat="1" applyFont="1" applyFill="1" applyBorder="1" applyAlignment="1">
      <alignment vertical="center" wrapText="1"/>
    </xf>
    <xf numFmtId="166" fontId="46" fillId="0" borderId="3" xfId="44" applyNumberFormat="1" applyFont="1" applyBorder="1" applyAlignment="1">
      <alignment vertical="center"/>
    </xf>
    <xf numFmtId="166" fontId="46" fillId="0" borderId="0" xfId="44" applyNumberFormat="1" applyFont="1" applyBorder="1" applyAlignment="1">
      <alignment vertical="center"/>
    </xf>
    <xf numFmtId="166" fontId="45" fillId="0" borderId="3" xfId="44" applyNumberFormat="1" applyFont="1" applyBorder="1" applyAlignment="1">
      <alignment vertical="center"/>
    </xf>
    <xf numFmtId="166" fontId="47" fillId="34" borderId="5" xfId="44" applyNumberFormat="1" applyFont="1" applyFill="1" applyBorder="1" applyAlignment="1">
      <alignment vertical="center"/>
    </xf>
    <xf numFmtId="166" fontId="47" fillId="34" borderId="32" xfId="44" applyNumberFormat="1" applyFont="1" applyFill="1" applyBorder="1" applyAlignment="1">
      <alignment vertical="center" wrapText="1"/>
    </xf>
    <xf numFmtId="170" fontId="13" fillId="0" borderId="0" xfId="56" applyNumberFormat="1" applyFont="1" applyBorder="1" applyAlignment="1">
      <alignment horizontal="left"/>
    </xf>
    <xf numFmtId="4" fontId="45" fillId="0" borderId="2" xfId="56" applyNumberFormat="1" applyFont="1" applyBorder="1" applyAlignment="1">
      <alignment horizontal="left" vertical="center"/>
    </xf>
    <xf numFmtId="4" fontId="45" fillId="0" borderId="0" xfId="56" applyNumberFormat="1" applyFont="1" applyBorder="1" applyAlignment="1">
      <alignment horizontal="left" vertical="center"/>
    </xf>
    <xf numFmtId="1" fontId="45" fillId="0" borderId="24" xfId="0" applyNumberFormat="1" applyFont="1" applyBorder="1" applyAlignment="1">
      <alignment horizontal="left" wrapText="1"/>
    </xf>
    <xf numFmtId="3" fontId="46" fillId="0" borderId="0" xfId="0" applyNumberFormat="1" applyFont="1" applyAlignment="1">
      <alignment horizontal="left" vertical="center" wrapText="1"/>
    </xf>
    <xf numFmtId="172" fontId="1" fillId="0" borderId="0" xfId="56" applyNumberFormat="1"/>
    <xf numFmtId="167" fontId="28" fillId="0" borderId="0" xfId="33" applyFont="1" applyAlignment="1">
      <alignment vertical="center"/>
    </xf>
    <xf numFmtId="3" fontId="6" fillId="0" borderId="7" xfId="56" applyNumberFormat="1" applyFont="1" applyFill="1" applyBorder="1" applyAlignment="1">
      <alignment vertical="center" wrapText="1"/>
    </xf>
    <xf numFmtId="0" fontId="1" fillId="0" borderId="0" xfId="56" applyAlignment="1"/>
    <xf numFmtId="4" fontId="2" fillId="43" borderId="33" xfId="0" applyNumberFormat="1" applyFont="1" applyFill="1" applyBorder="1" applyAlignment="1">
      <alignment horizontal="left" vertical="center"/>
    </xf>
    <xf numFmtId="4" fontId="2" fillId="43" borderId="24" xfId="0" applyNumberFormat="1" applyFont="1" applyFill="1" applyBorder="1" applyAlignment="1">
      <alignment horizontal="left" vertical="center"/>
    </xf>
    <xf numFmtId="175" fontId="2" fillId="0" borderId="0" xfId="44" applyNumberFormat="1" applyFont="1" applyFill="1" applyBorder="1" applyAlignment="1">
      <alignment horizontal="center" vertical="center"/>
    </xf>
    <xf numFmtId="167" fontId="1" fillId="0" borderId="0" xfId="33" applyFont="1" applyAlignment="1">
      <alignment wrapText="1"/>
    </xf>
    <xf numFmtId="175" fontId="56" fillId="0" borderId="0" xfId="44" applyNumberFormat="1" applyFont="1"/>
    <xf numFmtId="0" fontId="1" fillId="0" borderId="0" xfId="56" applyAlignment="1">
      <alignment horizontal="left" vertical="center" wrapText="1"/>
    </xf>
    <xf numFmtId="1" fontId="45" fillId="0" borderId="24" xfId="0" applyNumberFormat="1" applyFont="1" applyBorder="1" applyAlignment="1">
      <alignment horizontal="left" wrapText="1"/>
    </xf>
    <xf numFmtId="3" fontId="46" fillId="0" borderId="0" xfId="0" applyNumberFormat="1" applyFont="1" applyAlignment="1">
      <alignment horizontal="left" vertical="center" wrapText="1"/>
    </xf>
    <xf numFmtId="3" fontId="3" fillId="0" borderId="0" xfId="33" applyNumberFormat="1" applyFont="1" applyFill="1" applyBorder="1" applyAlignment="1">
      <alignment horizontal="right" vertical="center" wrapText="1"/>
    </xf>
    <xf numFmtId="38" fontId="3" fillId="0" borderId="0" xfId="33" applyNumberFormat="1" applyFont="1" applyFill="1" applyBorder="1" applyAlignment="1">
      <alignment vertical="center"/>
    </xf>
    <xf numFmtId="40" fontId="2" fillId="0" borderId="0" xfId="33" applyNumberFormat="1" applyFont="1" applyFill="1" applyBorder="1" applyAlignment="1">
      <alignment vertical="center"/>
    </xf>
    <xf numFmtId="38" fontId="2" fillId="0" borderId="0" xfId="33" applyNumberFormat="1" applyFont="1" applyFill="1" applyBorder="1" applyAlignment="1">
      <alignment vertical="center"/>
    </xf>
    <xf numFmtId="0" fontId="57" fillId="0" borderId="7" xfId="0" applyFont="1" applyBorder="1" applyAlignment="1">
      <alignment horizontal="center" vertical="center"/>
    </xf>
    <xf numFmtId="0" fontId="0" fillId="0" borderId="0" xfId="0"/>
    <xf numFmtId="1" fontId="46" fillId="0" borderId="11" xfId="0" applyNumberFormat="1" applyFont="1" applyBorder="1" applyAlignment="1">
      <alignment horizontal="center" vertical="center" wrapText="1"/>
    </xf>
    <xf numFmtId="3" fontId="46" fillId="0" borderId="0" xfId="0" applyNumberFormat="1" applyFont="1" applyAlignment="1">
      <alignment vertical="center"/>
    </xf>
    <xf numFmtId="0" fontId="58" fillId="0" borderId="0" xfId="0" applyFont="1" applyFill="1" applyBorder="1" applyAlignment="1">
      <alignment horizontal="center" vertical="center"/>
    </xf>
    <xf numFmtId="14" fontId="0" fillId="0" borderId="0" xfId="0" applyNumberFormat="1"/>
    <xf numFmtId="0" fontId="0" fillId="0" borderId="0" xfId="0" applyAlignment="1">
      <alignment horizontal="right"/>
    </xf>
    <xf numFmtId="169" fontId="3" fillId="0" borderId="30" xfId="33" applyNumberFormat="1" applyFont="1" applyFill="1" applyBorder="1" applyAlignment="1">
      <alignment horizontal="right" vertical="center" wrapText="1"/>
    </xf>
    <xf numFmtId="8" fontId="0" fillId="0" borderId="0" xfId="0" applyNumberFormat="1"/>
    <xf numFmtId="173" fontId="50" fillId="0" borderId="0" xfId="33" applyNumberFormat="1" applyFont="1" applyAlignment="1">
      <alignment horizontal="center" vertical="center"/>
    </xf>
    <xf numFmtId="9" fontId="46" fillId="0" borderId="0" xfId="60" applyFont="1" applyBorder="1" applyAlignment="1">
      <alignment horizontal="center" vertical="center"/>
    </xf>
    <xf numFmtId="9" fontId="3" fillId="0" borderId="0" xfId="59" applyFont="1" applyAlignment="1">
      <alignment vertical="center"/>
    </xf>
    <xf numFmtId="166" fontId="50" fillId="0" borderId="0" xfId="44" applyFont="1" applyBorder="1" applyAlignment="1">
      <alignment horizontal="center"/>
    </xf>
    <xf numFmtId="0" fontId="1" fillId="0" borderId="0" xfId="56" applyAlignment="1">
      <alignment horizontal="left" vertical="center"/>
    </xf>
    <xf numFmtId="175" fontId="3" fillId="0" borderId="0" xfId="44" applyNumberFormat="1" applyFont="1" applyFill="1" applyBorder="1" applyAlignment="1">
      <alignment vertical="center"/>
    </xf>
    <xf numFmtId="9" fontId="49" fillId="37" borderId="34" xfId="60" applyFont="1" applyFill="1" applyBorder="1" applyAlignment="1">
      <alignment horizontal="center" vertical="center" wrapText="1"/>
    </xf>
    <xf numFmtId="9" fontId="49" fillId="37" borderId="35" xfId="60" applyFont="1" applyFill="1" applyBorder="1" applyAlignment="1">
      <alignment horizontal="center" vertical="center" wrapText="1"/>
    </xf>
    <xf numFmtId="3" fontId="49" fillId="41" borderId="36" xfId="56" applyNumberFormat="1" applyFont="1" applyFill="1" applyBorder="1" applyAlignment="1">
      <alignment horizontal="center" vertical="center" wrapText="1"/>
    </xf>
    <xf numFmtId="3" fontId="3" fillId="0" borderId="37" xfId="56" applyNumberFormat="1" applyFont="1" applyBorder="1"/>
    <xf numFmtId="3" fontId="49" fillId="41" borderId="37" xfId="56" applyNumberFormat="1" applyFont="1" applyFill="1" applyBorder="1"/>
    <xf numFmtId="3" fontId="49" fillId="42" borderId="38" xfId="56" applyNumberFormat="1" applyFont="1" applyFill="1" applyBorder="1"/>
    <xf numFmtId="173" fontId="3" fillId="0" borderId="39" xfId="56" applyNumberFormat="1" applyFont="1" applyBorder="1"/>
    <xf numFmtId="173" fontId="49" fillId="37" borderId="39" xfId="33" applyNumberFormat="1" applyFont="1" applyFill="1" applyBorder="1"/>
    <xf numFmtId="173" fontId="49" fillId="42" borderId="40" xfId="60" applyNumberFormat="1" applyFont="1" applyFill="1" applyBorder="1"/>
    <xf numFmtId="1" fontId="45" fillId="0" borderId="24" xfId="0" applyNumberFormat="1" applyFont="1" applyBorder="1" applyAlignment="1">
      <alignment horizontal="left" wrapText="1"/>
    </xf>
    <xf numFmtId="3" fontId="46" fillId="0" borderId="0" xfId="0" applyNumberFormat="1" applyFont="1" applyAlignment="1">
      <alignment horizontal="left" vertical="center" wrapText="1"/>
    </xf>
    <xf numFmtId="175" fontId="53" fillId="0" borderId="0" xfId="44" applyNumberFormat="1" applyFont="1" applyFill="1"/>
    <xf numFmtId="44" fontId="1" fillId="0" borderId="0" xfId="56" applyNumberFormat="1"/>
    <xf numFmtId="175" fontId="9" fillId="0" borderId="0" xfId="44" applyNumberFormat="1" applyFont="1" applyFill="1" applyAlignment="1">
      <alignment horizontal="center" vertical="center" wrapText="1"/>
    </xf>
    <xf numFmtId="175" fontId="9" fillId="0" borderId="0" xfId="44" applyNumberFormat="1" applyFont="1" applyFill="1" applyBorder="1" applyAlignment="1">
      <alignment horizontal="center" vertical="center" wrapText="1"/>
    </xf>
    <xf numFmtId="175" fontId="2" fillId="0" borderId="6" xfId="44" applyNumberFormat="1" applyFont="1" applyFill="1" applyBorder="1" applyAlignment="1">
      <alignment horizontal="left" vertical="center"/>
    </xf>
    <xf numFmtId="175" fontId="3" fillId="0" borderId="0" xfId="44" applyNumberFormat="1" applyFont="1" applyFill="1"/>
    <xf numFmtId="175" fontId="3" fillId="0" borderId="0" xfId="44" applyNumberFormat="1" applyFont="1" applyFill="1" applyBorder="1"/>
    <xf numFmtId="175" fontId="3" fillId="0" borderId="24" xfId="44" applyNumberFormat="1" applyFont="1" applyFill="1" applyBorder="1" applyAlignment="1">
      <alignment horizontal="left" vertical="center"/>
    </xf>
    <xf numFmtId="175" fontId="3" fillId="0" borderId="0" xfId="44" applyNumberFormat="1" applyFont="1" applyFill="1" applyBorder="1" applyAlignment="1">
      <alignment horizontal="left" vertical="center"/>
    </xf>
    <xf numFmtId="175" fontId="2" fillId="40" borderId="15" xfId="44" applyNumberFormat="1" applyFont="1" applyFill="1" applyBorder="1" applyAlignment="1">
      <alignment vertical="center"/>
    </xf>
    <xf numFmtId="175" fontId="2" fillId="43" borderId="24" xfId="44" applyNumberFormat="1" applyFont="1" applyFill="1" applyBorder="1" applyAlignment="1">
      <alignment horizontal="left" vertical="center"/>
    </xf>
    <xf numFmtId="175" fontId="2" fillId="0" borderId="41" xfId="44" applyNumberFormat="1" applyFont="1" applyFill="1" applyBorder="1" applyAlignment="1">
      <alignment horizontal="left" vertical="center"/>
    </xf>
    <xf numFmtId="175" fontId="2" fillId="0" borderId="0" xfId="44" applyNumberFormat="1" applyFont="1" applyFill="1" applyBorder="1" applyAlignment="1">
      <alignment horizontal="left" vertical="center"/>
    </xf>
    <xf numFmtId="175" fontId="48" fillId="0" borderId="0" xfId="44" applyNumberFormat="1" applyFont="1"/>
    <xf numFmtId="175" fontId="2" fillId="0" borderId="0" xfId="44" applyNumberFormat="1" applyFont="1" applyFill="1" applyBorder="1" applyAlignment="1">
      <alignment horizontal="center"/>
    </xf>
    <xf numFmtId="175" fontId="3" fillId="0" borderId="17" xfId="44" applyNumberFormat="1" applyFont="1" applyFill="1" applyBorder="1" applyAlignment="1">
      <alignment horizontal="center" vertical="center" wrapText="1"/>
    </xf>
    <xf numFmtId="175" fontId="3" fillId="0" borderId="18" xfId="44" applyNumberFormat="1" applyFont="1" applyFill="1" applyBorder="1" applyAlignment="1">
      <alignment vertical="center"/>
    </xf>
    <xf numFmtId="175" fontId="2" fillId="0" borderId="20" xfId="44" applyNumberFormat="1" applyFont="1" applyFill="1" applyBorder="1" applyAlignment="1">
      <alignment vertical="center"/>
    </xf>
    <xf numFmtId="175" fontId="2" fillId="0" borderId="42" xfId="44" applyNumberFormat="1" applyFont="1" applyFill="1" applyBorder="1" applyAlignment="1">
      <alignment vertical="center"/>
    </xf>
    <xf numFmtId="175" fontId="2" fillId="0" borderId="0" xfId="44" applyNumberFormat="1" applyFont="1" applyBorder="1" applyAlignment="1">
      <alignment wrapText="1"/>
    </xf>
    <xf numFmtId="175" fontId="3" fillId="0" borderId="0" xfId="44" applyNumberFormat="1" applyFont="1" applyFill="1" applyAlignment="1">
      <alignment vertical="center" wrapText="1"/>
    </xf>
    <xf numFmtId="3" fontId="28" fillId="0" borderId="0" xfId="39" applyNumberFormat="1" applyFont="1" applyFill="1" applyAlignment="1">
      <alignment vertical="center"/>
    </xf>
    <xf numFmtId="175" fontId="2" fillId="0" borderId="43" xfId="44" applyNumberFormat="1" applyFont="1" applyFill="1" applyBorder="1" applyAlignment="1">
      <alignment vertical="center"/>
    </xf>
    <xf numFmtId="175" fontId="2" fillId="0" borderId="21" xfId="44" applyNumberFormat="1" applyFont="1" applyFill="1" applyBorder="1" applyAlignment="1">
      <alignment vertical="center"/>
    </xf>
    <xf numFmtId="0" fontId="45" fillId="2" borderId="8" xfId="0" applyFont="1" applyFill="1" applyBorder="1" applyAlignment="1">
      <alignment horizontal="center" vertical="center" wrapText="1"/>
    </xf>
    <xf numFmtId="0" fontId="45" fillId="2" borderId="9" xfId="0" applyFont="1" applyFill="1" applyBorder="1" applyAlignment="1">
      <alignment horizontal="center" vertical="center" wrapText="1"/>
    </xf>
    <xf numFmtId="175" fontId="45" fillId="2" borderId="9" xfId="44" applyNumberFormat="1" applyFont="1" applyFill="1" applyBorder="1" applyAlignment="1">
      <alignment horizontal="center" vertical="center" wrapText="1"/>
    </xf>
    <xf numFmtId="0" fontId="45" fillId="2" borderId="10" xfId="0" applyFont="1" applyFill="1" applyBorder="1" applyAlignment="1">
      <alignment horizontal="center" vertical="center" wrapText="1"/>
    </xf>
    <xf numFmtId="4" fontId="46" fillId="0" borderId="2" xfId="56" applyNumberFormat="1" applyFont="1" applyBorder="1" applyAlignment="1">
      <alignment horizontal="left" vertical="center"/>
    </xf>
    <xf numFmtId="4" fontId="46" fillId="0" borderId="0" xfId="56" applyNumberFormat="1" applyFont="1" applyBorder="1" applyAlignment="1">
      <alignment horizontal="left" vertical="center"/>
    </xf>
    <xf numFmtId="0" fontId="51" fillId="0" borderId="0" xfId="0" applyFont="1" applyAlignment="1">
      <alignment horizontal="center" vertical="center" wrapText="1"/>
    </xf>
    <xf numFmtId="4" fontId="47" fillId="34" borderId="0" xfId="56" applyNumberFormat="1" applyFont="1" applyFill="1" applyBorder="1" applyAlignment="1">
      <alignment horizontal="left" vertical="center"/>
    </xf>
    <xf numFmtId="175" fontId="47" fillId="34" borderId="0" xfId="44" applyNumberFormat="1" applyFont="1" applyFill="1" applyBorder="1" applyAlignment="1">
      <alignment vertical="center"/>
    </xf>
    <xf numFmtId="3" fontId="45" fillId="0" borderId="44" xfId="56" applyNumberFormat="1" applyFont="1" applyBorder="1" applyAlignment="1">
      <alignment horizontal="center" vertical="center" wrapText="1"/>
    </xf>
    <xf numFmtId="0" fontId="46" fillId="0" borderId="33" xfId="56" applyFont="1" applyBorder="1"/>
    <xf numFmtId="0" fontId="46" fillId="0" borderId="24" xfId="56" applyFont="1" applyBorder="1"/>
    <xf numFmtId="4" fontId="46" fillId="0" borderId="24" xfId="56" applyNumberFormat="1" applyFont="1" applyBorder="1" applyAlignment="1">
      <alignment vertical="center"/>
    </xf>
    <xf numFmtId="3" fontId="46" fillId="0" borderId="44" xfId="48" applyNumberFormat="1" applyFont="1" applyBorder="1" applyAlignment="1">
      <alignment vertical="center" wrapText="1"/>
    </xf>
    <xf numFmtId="4" fontId="47" fillId="34" borderId="2" xfId="56" applyNumberFormat="1" applyFont="1" applyFill="1" applyBorder="1" applyAlignment="1">
      <alignment horizontal="left" vertical="center"/>
    </xf>
    <xf numFmtId="0" fontId="45" fillId="0" borderId="45" xfId="56" applyFont="1" applyBorder="1"/>
    <xf numFmtId="0" fontId="46" fillId="0" borderId="6" xfId="56" applyFont="1" applyBorder="1"/>
    <xf numFmtId="0" fontId="46" fillId="0" borderId="6" xfId="56" applyFont="1" applyBorder="1" applyAlignment="1">
      <alignment horizontal="center"/>
    </xf>
    <xf numFmtId="38" fontId="2" fillId="0" borderId="46" xfId="33" applyNumberFormat="1" applyFont="1" applyFill="1" applyBorder="1" applyAlignment="1">
      <alignment vertical="center"/>
    </xf>
    <xf numFmtId="38" fontId="2" fillId="0" borderId="47" xfId="33" applyNumberFormat="1" applyFont="1" applyFill="1" applyBorder="1" applyAlignment="1">
      <alignment vertical="center"/>
    </xf>
    <xf numFmtId="38" fontId="2" fillId="0" borderId="42" xfId="33" applyNumberFormat="1" applyFont="1" applyFill="1" applyBorder="1" applyAlignment="1">
      <alignment vertical="center"/>
    </xf>
    <xf numFmtId="0" fontId="45" fillId="2" borderId="9" xfId="0" applyFont="1" applyFill="1" applyBorder="1" applyAlignment="1">
      <alignment horizontal="center" vertical="center"/>
    </xf>
    <xf numFmtId="3" fontId="1" fillId="0" borderId="0" xfId="56" applyNumberFormat="1" applyFill="1"/>
    <xf numFmtId="3" fontId="3" fillId="0" borderId="0" xfId="56" applyNumberFormat="1" applyFont="1" applyAlignment="1">
      <alignment horizontal="center"/>
    </xf>
    <xf numFmtId="4" fontId="46" fillId="0" borderId="2" xfId="56" applyNumberFormat="1" applyFont="1" applyBorder="1" applyAlignment="1">
      <alignment horizontal="left" vertical="center"/>
    </xf>
    <xf numFmtId="4" fontId="46" fillId="0" borderId="0" xfId="56" applyNumberFormat="1" applyFont="1" applyBorder="1" applyAlignment="1">
      <alignment horizontal="left" vertical="center"/>
    </xf>
    <xf numFmtId="1" fontId="45" fillId="0" borderId="24" xfId="0" applyNumberFormat="1" applyFont="1" applyBorder="1" applyAlignment="1">
      <alignment horizontal="left" wrapText="1"/>
    </xf>
    <xf numFmtId="3" fontId="46" fillId="0" borderId="0" xfId="0" applyNumberFormat="1" applyFont="1" applyAlignment="1">
      <alignment horizontal="left" vertical="center" wrapText="1"/>
    </xf>
    <xf numFmtId="3" fontId="49" fillId="41" borderId="0" xfId="56" applyNumberFormat="1" applyFont="1" applyFill="1" applyAlignment="1">
      <alignment horizontal="center"/>
    </xf>
    <xf numFmtId="3" fontId="48" fillId="0" borderId="0" xfId="0" applyNumberFormat="1" applyFont="1"/>
    <xf numFmtId="0" fontId="57" fillId="0" borderId="7" xfId="0" applyFont="1" applyBorder="1" applyAlignment="1">
      <alignment horizontal="center" vertical="center" wrapText="1"/>
    </xf>
    <xf numFmtId="1" fontId="46" fillId="0" borderId="7" xfId="0" applyNumberFormat="1" applyFont="1" applyBorder="1" applyAlignment="1">
      <alignment horizontal="center" vertical="center" wrapText="1"/>
    </xf>
    <xf numFmtId="8" fontId="5" fillId="0" borderId="0" xfId="56" applyNumberFormat="1" applyFont="1" applyFill="1"/>
    <xf numFmtId="0" fontId="5" fillId="0" borderId="0" xfId="56" applyFont="1" applyFill="1"/>
    <xf numFmtId="0" fontId="5" fillId="0" borderId="0" xfId="56" applyFont="1" applyFill="1" applyAlignment="1">
      <alignment wrapText="1"/>
    </xf>
    <xf numFmtId="166" fontId="5" fillId="0" borderId="0" xfId="56" applyNumberFormat="1" applyFont="1" applyFill="1" applyAlignment="1">
      <alignment horizontal="right" vertical="center"/>
    </xf>
    <xf numFmtId="8" fontId="1" fillId="0" borderId="0" xfId="56" applyNumberFormat="1" applyFill="1"/>
    <xf numFmtId="4" fontId="1" fillId="0" borderId="0" xfId="56" applyNumberFormat="1" applyFill="1"/>
    <xf numFmtId="0" fontId="0" fillId="0" borderId="0" xfId="0" applyFill="1" applyBorder="1"/>
    <xf numFmtId="0" fontId="1" fillId="0" borderId="0" xfId="56" applyAlignment="1">
      <alignment horizontal="left" vertical="top"/>
    </xf>
    <xf numFmtId="0" fontId="59" fillId="0" borderId="0" xfId="56" applyFont="1" applyAlignment="1">
      <alignment horizontal="left" vertical="top"/>
    </xf>
    <xf numFmtId="0" fontId="60" fillId="0" borderId="80" xfId="56" applyFont="1" applyBorder="1" applyAlignment="1">
      <alignment horizontal="left" vertical="top" wrapText="1"/>
    </xf>
    <xf numFmtId="0" fontId="60" fillId="0" borderId="39" xfId="56" applyFont="1" applyBorder="1" applyAlignment="1">
      <alignment horizontal="left" vertical="top" wrapText="1"/>
    </xf>
    <xf numFmtId="0" fontId="60" fillId="0" borderId="40" xfId="56" applyFont="1" applyBorder="1" applyAlignment="1">
      <alignment horizontal="left" vertical="top" wrapText="1"/>
    </xf>
    <xf numFmtId="0" fontId="60" fillId="0" borderId="0" xfId="56" applyFont="1" applyAlignment="1">
      <alignment horizontal="left" vertical="top" wrapText="1"/>
    </xf>
    <xf numFmtId="3" fontId="60" fillId="0" borderId="0" xfId="56" applyNumberFormat="1" applyFont="1" applyAlignment="1">
      <alignment horizontal="right" vertical="center" wrapText="1"/>
    </xf>
    <xf numFmtId="4" fontId="1" fillId="0" borderId="0" xfId="56" applyNumberFormat="1" applyAlignment="1">
      <alignment horizontal="left" vertical="top"/>
    </xf>
    <xf numFmtId="14" fontId="59" fillId="0" borderId="81" xfId="56" applyNumberFormat="1" applyFont="1" applyBorder="1" applyAlignment="1">
      <alignment horizontal="center" vertical="center" wrapText="1" shrinkToFit="1"/>
    </xf>
    <xf numFmtId="43" fontId="1" fillId="0" borderId="0" xfId="56" applyNumberFormat="1" applyAlignment="1">
      <alignment wrapText="1"/>
    </xf>
    <xf numFmtId="167" fontId="2" fillId="0" borderId="0" xfId="33" applyFont="1" applyFill="1" applyBorder="1" applyAlignment="1">
      <alignment horizontal="center"/>
    </xf>
    <xf numFmtId="175" fontId="13" fillId="0" borderId="48" xfId="44" applyNumberFormat="1" applyFont="1" applyFill="1" applyBorder="1" applyAlignment="1">
      <alignment horizontal="right" vertical="center"/>
    </xf>
    <xf numFmtId="175" fontId="14" fillId="0" borderId="18" xfId="44" applyNumberFormat="1" applyFont="1" applyBorder="1" applyAlignment="1">
      <alignment vertical="center"/>
    </xf>
    <xf numFmtId="0" fontId="3" fillId="0" borderId="7" xfId="56" applyFont="1" applyBorder="1"/>
    <xf numFmtId="175" fontId="3" fillId="0" borderId="7" xfId="44" applyNumberFormat="1" applyFont="1" applyBorder="1"/>
    <xf numFmtId="178" fontId="50" fillId="0" borderId="0" xfId="60" applyNumberFormat="1" applyFont="1" applyAlignment="1">
      <alignment horizontal="center"/>
    </xf>
    <xf numFmtId="4" fontId="49" fillId="37" borderId="0" xfId="56" applyNumberFormat="1" applyFont="1" applyFill="1"/>
    <xf numFmtId="174" fontId="1" fillId="0" borderId="0" xfId="56" applyNumberFormat="1"/>
    <xf numFmtId="3" fontId="13" fillId="0" borderId="0" xfId="0" applyNumberFormat="1" applyFont="1" applyAlignment="1">
      <alignment horizontal="left" vertical="center" wrapText="1"/>
    </xf>
    <xf numFmtId="1" fontId="2" fillId="0" borderId="0" xfId="0" applyNumberFormat="1" applyFont="1" applyBorder="1" applyAlignment="1"/>
    <xf numFmtId="0" fontId="14" fillId="0" borderId="0" xfId="0" applyFont="1" applyAlignment="1">
      <alignment horizontal="center" vertical="center" wrapText="1"/>
    </xf>
    <xf numFmtId="0" fontId="14" fillId="0" borderId="0" xfId="0" applyFont="1" applyAlignment="1">
      <alignment vertical="center" wrapText="1"/>
    </xf>
    <xf numFmtId="4" fontId="14" fillId="0" borderId="0" xfId="0" applyNumberFormat="1" applyFont="1" applyAlignment="1">
      <alignment vertical="center"/>
    </xf>
    <xf numFmtId="0" fontId="14" fillId="0" borderId="0" xfId="0" applyFont="1" applyAlignment="1">
      <alignment vertical="center"/>
    </xf>
    <xf numFmtId="0" fontId="14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 wrapText="1"/>
    </xf>
    <xf numFmtId="3" fontId="13" fillId="0" borderId="0" xfId="0" applyNumberFormat="1" applyFont="1" applyAlignment="1">
      <alignment vertical="center" wrapText="1"/>
    </xf>
    <xf numFmtId="0" fontId="13" fillId="0" borderId="0" xfId="0" applyFont="1" applyAlignment="1">
      <alignment vertical="center" wrapText="1"/>
    </xf>
    <xf numFmtId="0" fontId="13" fillId="0" borderId="0" xfId="0" applyFont="1" applyAlignment="1">
      <alignment vertical="center"/>
    </xf>
    <xf numFmtId="40" fontId="13" fillId="0" borderId="0" xfId="0" applyNumberFormat="1" applyFont="1" applyAlignment="1">
      <alignment vertical="center"/>
    </xf>
    <xf numFmtId="3" fontId="13" fillId="0" borderId="0" xfId="0" applyNumberFormat="1" applyFont="1" applyAlignment="1">
      <alignment vertical="center"/>
    </xf>
    <xf numFmtId="4" fontId="13" fillId="0" borderId="0" xfId="0" applyNumberFormat="1" applyFont="1" applyAlignment="1">
      <alignment vertical="center"/>
    </xf>
    <xf numFmtId="0" fontId="14" fillId="40" borderId="18" xfId="0" applyFont="1" applyFill="1" applyBorder="1" applyAlignment="1">
      <alignment horizontal="center" vertical="center" wrapText="1"/>
    </xf>
    <xf numFmtId="0" fontId="14" fillId="40" borderId="49" xfId="0" applyFont="1" applyFill="1" applyBorder="1" applyAlignment="1">
      <alignment horizontal="center" vertical="center" wrapText="1"/>
    </xf>
    <xf numFmtId="0" fontId="14" fillId="44" borderId="28" xfId="0" applyFont="1" applyFill="1" applyBorder="1" applyAlignment="1">
      <alignment horizontal="center" vertical="center" wrapText="1"/>
    </xf>
    <xf numFmtId="0" fontId="14" fillId="44" borderId="18" xfId="0" applyFont="1" applyFill="1" applyBorder="1" applyAlignment="1">
      <alignment horizontal="center" vertical="center" wrapText="1"/>
    </xf>
    <xf numFmtId="0" fontId="14" fillId="44" borderId="19" xfId="0" applyFont="1" applyFill="1" applyBorder="1" applyAlignment="1">
      <alignment horizontal="center" vertical="center" wrapText="1"/>
    </xf>
    <xf numFmtId="0" fontId="14" fillId="40" borderId="50" xfId="0" applyFont="1" applyFill="1" applyBorder="1" applyAlignment="1">
      <alignment horizontal="center" vertical="center" wrapText="1"/>
    </xf>
    <xf numFmtId="0" fontId="14" fillId="40" borderId="19" xfId="0" applyFont="1" applyFill="1" applyBorder="1" applyAlignment="1">
      <alignment horizontal="center" vertical="center" wrapText="1"/>
    </xf>
    <xf numFmtId="1" fontId="48" fillId="0" borderId="51" xfId="0" applyNumberFormat="1" applyFont="1" applyBorder="1" applyAlignment="1">
      <alignment vertical="center" wrapText="1"/>
    </xf>
    <xf numFmtId="3" fontId="13" fillId="0" borderId="48" xfId="48" applyNumberFormat="1" applyFont="1" applyBorder="1" applyAlignment="1">
      <alignment horizontal="right" vertical="center"/>
    </xf>
    <xf numFmtId="9" fontId="13" fillId="0" borderId="48" xfId="60" applyFont="1" applyBorder="1" applyAlignment="1">
      <alignment horizontal="center" vertical="center"/>
    </xf>
    <xf numFmtId="3" fontId="13" fillId="0" borderId="48" xfId="0" applyNumberFormat="1" applyFont="1" applyBorder="1" applyAlignment="1">
      <alignment vertical="center"/>
    </xf>
    <xf numFmtId="9" fontId="13" fillId="0" borderId="48" xfId="60" applyFont="1" applyBorder="1" applyAlignment="1">
      <alignment horizontal="center" vertical="center" wrapText="1"/>
    </xf>
    <xf numFmtId="3" fontId="13" fillId="0" borderId="38" xfId="0" applyNumberFormat="1" applyFont="1" applyBorder="1" applyAlignment="1">
      <alignment vertical="center"/>
    </xf>
    <xf numFmtId="3" fontId="13" fillId="0" borderId="48" xfId="48" applyNumberFormat="1" applyFont="1" applyFill="1" applyBorder="1" applyAlignment="1">
      <alignment horizontal="right" vertical="center"/>
    </xf>
    <xf numFmtId="3" fontId="13" fillId="0" borderId="40" xfId="48" applyNumberFormat="1" applyFont="1" applyFill="1" applyBorder="1" applyAlignment="1">
      <alignment horizontal="right" vertical="center"/>
    </xf>
    <xf numFmtId="3" fontId="13" fillId="0" borderId="51" xfId="48" applyNumberFormat="1" applyFont="1" applyFill="1" applyBorder="1" applyAlignment="1">
      <alignment horizontal="right" vertical="center"/>
    </xf>
    <xf numFmtId="3" fontId="13" fillId="0" borderId="31" xfId="0" applyNumberFormat="1" applyFont="1" applyBorder="1" applyAlignment="1">
      <alignment vertical="center"/>
    </xf>
    <xf numFmtId="1" fontId="48" fillId="0" borderId="11" xfId="0" applyNumberFormat="1" applyFont="1" applyBorder="1" applyAlignment="1">
      <alignment vertical="center" wrapText="1"/>
    </xf>
    <xf numFmtId="3" fontId="13" fillId="0" borderId="7" xfId="48" applyNumberFormat="1" applyFont="1" applyBorder="1" applyAlignment="1">
      <alignment horizontal="right" vertical="center"/>
    </xf>
    <xf numFmtId="9" fontId="13" fillId="0" borderId="7" xfId="60" applyFont="1" applyBorder="1" applyAlignment="1">
      <alignment horizontal="center" vertical="center"/>
    </xf>
    <xf numFmtId="3" fontId="13" fillId="0" borderId="7" xfId="0" applyNumberFormat="1" applyFont="1" applyBorder="1" applyAlignment="1">
      <alignment vertical="center"/>
    </xf>
    <xf numFmtId="9" fontId="13" fillId="0" borderId="7" xfId="60" applyFont="1" applyBorder="1" applyAlignment="1">
      <alignment horizontal="center" vertical="center" wrapText="1"/>
    </xf>
    <xf numFmtId="3" fontId="13" fillId="0" borderId="11" xfId="48" applyNumberFormat="1" applyFont="1" applyFill="1" applyBorder="1" applyAlignment="1">
      <alignment horizontal="right" vertical="center"/>
    </xf>
    <xf numFmtId="0" fontId="14" fillId="34" borderId="28" xfId="0" applyFont="1" applyFill="1" applyBorder="1" applyAlignment="1">
      <alignment horizontal="left" vertical="center"/>
    </xf>
    <xf numFmtId="3" fontId="14" fillId="34" borderId="18" xfId="0" applyNumberFormat="1" applyFont="1" applyFill="1" applyBorder="1" applyAlignment="1">
      <alignment horizontal="right" vertical="center"/>
    </xf>
    <xf numFmtId="40" fontId="14" fillId="34" borderId="18" xfId="0" applyNumberFormat="1" applyFont="1" applyFill="1" applyBorder="1" applyAlignment="1">
      <alignment vertical="center"/>
    </xf>
    <xf numFmtId="40" fontId="14" fillId="34" borderId="18" xfId="0" applyNumberFormat="1" applyFont="1" applyFill="1" applyBorder="1" applyAlignment="1">
      <alignment vertical="center" wrapText="1"/>
    </xf>
    <xf numFmtId="40" fontId="14" fillId="0" borderId="0" xfId="0" applyNumberFormat="1" applyFont="1" applyAlignment="1">
      <alignment vertical="center"/>
    </xf>
    <xf numFmtId="3" fontId="14" fillId="0" borderId="0" xfId="48" applyNumberFormat="1" applyFont="1" applyFill="1" applyBorder="1" applyAlignment="1">
      <alignment horizontal="right" vertical="center"/>
    </xf>
    <xf numFmtId="40" fontId="14" fillId="0" borderId="0" xfId="0" applyNumberFormat="1" applyFont="1" applyAlignment="1">
      <alignment horizontal="center" vertical="center"/>
    </xf>
    <xf numFmtId="3" fontId="14" fillId="0" borderId="0" xfId="0" applyNumberFormat="1" applyFont="1" applyAlignment="1">
      <alignment horizontal="center" vertical="center"/>
    </xf>
    <xf numFmtId="3" fontId="14" fillId="0" borderId="0" xfId="0" applyNumberFormat="1" applyFont="1" applyAlignment="1">
      <alignment horizontal="center" vertical="center" wrapText="1"/>
    </xf>
    <xf numFmtId="3" fontId="14" fillId="0" borderId="0" xfId="48" applyNumberFormat="1" applyFont="1" applyFill="1" applyBorder="1" applyAlignment="1">
      <alignment horizontal="center" vertical="center"/>
    </xf>
    <xf numFmtId="40" fontId="13" fillId="0" borderId="0" xfId="0" applyNumberFormat="1" applyFont="1" applyAlignment="1">
      <alignment horizontal="center" vertical="center"/>
    </xf>
    <xf numFmtId="4" fontId="13" fillId="0" borderId="0" xfId="0" applyNumberFormat="1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44" borderId="8" xfId="0" applyFont="1" applyFill="1" applyBorder="1" applyAlignment="1">
      <alignment horizontal="center" vertical="center" wrapText="1"/>
    </xf>
    <xf numFmtId="0" fontId="14" fillId="40" borderId="9" xfId="0" applyFont="1" applyFill="1" applyBorder="1" applyAlignment="1">
      <alignment horizontal="center" vertical="center" wrapText="1"/>
    </xf>
    <xf numFmtId="0" fontId="14" fillId="40" borderId="7" xfId="0" applyFont="1" applyFill="1" applyBorder="1" applyAlignment="1">
      <alignment horizontal="center" vertical="center" wrapText="1"/>
    </xf>
    <xf numFmtId="0" fontId="14" fillId="40" borderId="30" xfId="0" applyFont="1" applyFill="1" applyBorder="1" applyAlignment="1">
      <alignment horizontal="center" vertical="center" wrapText="1"/>
    </xf>
    <xf numFmtId="3" fontId="13" fillId="0" borderId="7" xfId="48" applyNumberFormat="1" applyFont="1" applyFill="1" applyBorder="1" applyAlignment="1">
      <alignment horizontal="right" vertical="center"/>
    </xf>
    <xf numFmtId="3" fontId="13" fillId="0" borderId="30" xfId="0" applyNumberFormat="1" applyFont="1" applyBorder="1" applyAlignment="1">
      <alignment vertical="center"/>
    </xf>
    <xf numFmtId="0" fontId="14" fillId="2" borderId="10" xfId="0" applyFont="1" applyFill="1" applyBorder="1" applyAlignment="1">
      <alignment horizontal="center" vertical="center" wrapText="1"/>
    </xf>
    <xf numFmtId="1" fontId="48" fillId="0" borderId="7" xfId="0" applyNumberFormat="1" applyFont="1" applyBorder="1" applyAlignment="1">
      <alignment horizontal="center" vertical="center" wrapText="1"/>
    </xf>
    <xf numFmtId="3" fontId="13" fillId="0" borderId="30" xfId="48" applyNumberFormat="1" applyFont="1" applyFill="1" applyBorder="1" applyAlignment="1">
      <alignment horizontal="right" vertical="center"/>
    </xf>
    <xf numFmtId="3" fontId="13" fillId="0" borderId="0" xfId="48" applyNumberFormat="1" applyFont="1" applyFill="1" applyBorder="1" applyAlignment="1">
      <alignment horizontal="right" vertical="center"/>
    </xf>
    <xf numFmtId="180" fontId="14" fillId="0" borderId="0" xfId="39" applyNumberFormat="1" applyFont="1" applyBorder="1" applyAlignment="1">
      <alignment horizontal="center" vertical="center"/>
    </xf>
    <xf numFmtId="1" fontId="48" fillId="0" borderId="52" xfId="0" applyNumberFormat="1" applyFont="1" applyBorder="1" applyAlignment="1">
      <alignment vertical="center" wrapText="1"/>
    </xf>
    <xf numFmtId="1" fontId="48" fillId="0" borderId="53" xfId="0" applyNumberFormat="1" applyFont="1" applyBorder="1" applyAlignment="1">
      <alignment horizontal="center" vertical="center" wrapText="1"/>
    </xf>
    <xf numFmtId="3" fontId="13" fillId="0" borderId="53" xfId="48" applyNumberFormat="1" applyFont="1" applyFill="1" applyBorder="1" applyAlignment="1">
      <alignment horizontal="right" vertical="center"/>
    </xf>
    <xf numFmtId="0" fontId="14" fillId="40" borderId="28" xfId="0" applyFont="1" applyFill="1" applyBorder="1" applyAlignment="1">
      <alignment horizontal="left" vertical="center"/>
    </xf>
    <xf numFmtId="40" fontId="14" fillId="40" borderId="18" xfId="0" applyNumberFormat="1" applyFont="1" applyFill="1" applyBorder="1" applyAlignment="1">
      <alignment vertical="center"/>
    </xf>
    <xf numFmtId="3" fontId="14" fillId="40" borderId="18" xfId="0" applyNumberFormat="1" applyFont="1" applyFill="1" applyBorder="1" applyAlignment="1">
      <alignment horizontal="right" vertical="center"/>
    </xf>
    <xf numFmtId="0" fontId="61" fillId="0" borderId="0" xfId="0" applyFont="1" applyAlignment="1">
      <alignment horizontal="left" vertical="center"/>
    </xf>
    <xf numFmtId="4" fontId="14" fillId="0" borderId="0" xfId="0" applyNumberFormat="1" applyFont="1" applyAlignment="1">
      <alignment horizontal="left" vertical="center"/>
    </xf>
    <xf numFmtId="4" fontId="14" fillId="0" borderId="0" xfId="48" applyNumberFormat="1" applyFont="1" applyFill="1" applyBorder="1" applyAlignment="1">
      <alignment horizontal="right" vertical="center" wrapText="1"/>
    </xf>
    <xf numFmtId="1" fontId="13" fillId="0" borderId="11" xfId="0" applyNumberFormat="1" applyFont="1" applyBorder="1" applyAlignment="1">
      <alignment horizontal="center" vertical="center"/>
    </xf>
    <xf numFmtId="0" fontId="48" fillId="0" borderId="7" xfId="0" applyFont="1" applyBorder="1" applyAlignment="1">
      <alignment horizontal="center" vertical="center"/>
    </xf>
    <xf numFmtId="175" fontId="13" fillId="0" borderId="30" xfId="44" applyNumberFormat="1" applyFont="1" applyFill="1" applyBorder="1" applyAlignment="1">
      <alignment horizontal="right" vertical="center"/>
    </xf>
    <xf numFmtId="1" fontId="13" fillId="0" borderId="0" xfId="0" applyNumberFormat="1" applyFont="1" applyAlignment="1">
      <alignment horizontal="center" vertical="center" wrapText="1"/>
    </xf>
    <xf numFmtId="1" fontId="13" fillId="0" borderId="0" xfId="0" applyNumberFormat="1" applyFont="1" applyAlignment="1">
      <alignment vertical="center" wrapText="1"/>
    </xf>
    <xf numFmtId="0" fontId="13" fillId="0" borderId="0" xfId="0" applyFont="1" applyAlignment="1">
      <alignment horizontal="center" vertical="center"/>
    </xf>
    <xf numFmtId="3" fontId="48" fillId="0" borderId="0" xfId="0" applyNumberFormat="1" applyFont="1" applyAlignment="1">
      <alignment horizontal="center" vertical="center" wrapText="1"/>
    </xf>
    <xf numFmtId="1" fontId="13" fillId="0" borderId="0" xfId="0" applyNumberFormat="1" applyFont="1" applyAlignment="1">
      <alignment horizontal="left" vertical="center" wrapText="1"/>
    </xf>
    <xf numFmtId="4" fontId="14" fillId="44" borderId="29" xfId="39" applyNumberFormat="1" applyFont="1" applyFill="1" applyBorder="1" applyAlignment="1">
      <alignment vertical="center"/>
    </xf>
    <xf numFmtId="2" fontId="13" fillId="0" borderId="0" xfId="0" applyNumberFormat="1" applyFont="1" applyAlignment="1">
      <alignment vertical="center"/>
    </xf>
    <xf numFmtId="4" fontId="13" fillId="0" borderId="0" xfId="0" applyNumberFormat="1" applyFont="1" applyAlignment="1">
      <alignment vertical="center" wrapText="1"/>
    </xf>
    <xf numFmtId="43" fontId="13" fillId="0" borderId="0" xfId="0" applyNumberFormat="1" applyFont="1" applyAlignment="1">
      <alignment vertical="center"/>
    </xf>
    <xf numFmtId="1" fontId="14" fillId="0" borderId="0" xfId="0" applyNumberFormat="1" applyFont="1" applyBorder="1" applyAlignment="1">
      <alignment horizontal="left" vertical="center"/>
    </xf>
    <xf numFmtId="1" fontId="13" fillId="0" borderId="0" xfId="0" applyNumberFormat="1" applyFont="1" applyBorder="1" applyAlignment="1">
      <alignment vertical="center"/>
    </xf>
    <xf numFmtId="0" fontId="48" fillId="0" borderId="0" xfId="0" applyFont="1" applyBorder="1" applyAlignment="1">
      <alignment horizontal="center" vertical="center"/>
    </xf>
    <xf numFmtId="0" fontId="13" fillId="0" borderId="0" xfId="0" applyNumberFormat="1" applyFont="1" applyFill="1" applyBorder="1" applyAlignment="1">
      <alignment horizontal="center" vertical="center"/>
    </xf>
    <xf numFmtId="173" fontId="48" fillId="0" borderId="0" xfId="33" applyNumberFormat="1" applyFont="1" applyBorder="1" applyAlignment="1">
      <alignment horizontal="center" vertical="center"/>
    </xf>
    <xf numFmtId="0" fontId="48" fillId="0" borderId="0" xfId="0" applyFont="1" applyBorder="1" applyAlignment="1">
      <alignment horizontal="left" vertical="center"/>
    </xf>
    <xf numFmtId="175" fontId="13" fillId="0" borderId="0" xfId="44" applyNumberFormat="1" applyFont="1" applyBorder="1" applyAlignment="1">
      <alignment vertical="center"/>
    </xf>
    <xf numFmtId="175" fontId="13" fillId="0" borderId="0" xfId="44" applyNumberFormat="1" applyFont="1" applyFill="1" applyBorder="1" applyAlignment="1">
      <alignment horizontal="right" vertical="center"/>
    </xf>
    <xf numFmtId="173" fontId="48" fillId="0" borderId="0" xfId="33" applyNumberFormat="1" applyFont="1"/>
    <xf numFmtId="15" fontId="13" fillId="0" borderId="0" xfId="0" applyNumberFormat="1" applyFont="1" applyAlignment="1">
      <alignment vertical="center"/>
    </xf>
    <xf numFmtId="40" fontId="13" fillId="0" borderId="0" xfId="0" applyNumberFormat="1" applyFont="1" applyAlignment="1">
      <alignment vertical="center" wrapText="1"/>
    </xf>
    <xf numFmtId="3" fontId="13" fillId="0" borderId="0" xfId="39" applyNumberFormat="1" applyFont="1" applyAlignment="1">
      <alignment vertical="center"/>
    </xf>
    <xf numFmtId="3" fontId="13" fillId="0" borderId="0" xfId="39" applyNumberFormat="1" applyFont="1" applyFill="1" applyBorder="1" applyAlignment="1">
      <alignment vertical="center"/>
    </xf>
    <xf numFmtId="1" fontId="13" fillId="0" borderId="0" xfId="0" applyNumberFormat="1" applyFont="1" applyAlignment="1">
      <alignment horizontal="center" vertical="center"/>
    </xf>
    <xf numFmtId="4" fontId="14" fillId="0" borderId="0" xfId="0" applyNumberFormat="1" applyFont="1" applyAlignment="1">
      <alignment vertical="center" wrapText="1"/>
    </xf>
    <xf numFmtId="3" fontId="13" fillId="0" borderId="6" xfId="0" applyNumberFormat="1" applyFont="1" applyBorder="1" applyAlignment="1">
      <alignment vertical="center" wrapText="1"/>
    </xf>
    <xf numFmtId="1" fontId="13" fillId="0" borderId="6" xfId="0" applyNumberFormat="1" applyFont="1" applyBorder="1" applyAlignment="1">
      <alignment horizontal="center" vertical="center"/>
    </xf>
    <xf numFmtId="3" fontId="14" fillId="0" borderId="0" xfId="0" applyNumberFormat="1" applyFont="1" applyAlignment="1">
      <alignment vertical="center" wrapText="1"/>
    </xf>
    <xf numFmtId="1" fontId="14" fillId="0" borderId="0" xfId="0" applyNumberFormat="1" applyFont="1" applyAlignment="1">
      <alignment horizontal="center" vertical="center"/>
    </xf>
    <xf numFmtId="174" fontId="48" fillId="0" borderId="7" xfId="49" applyNumberFormat="1" applyFont="1" applyBorder="1" applyAlignment="1">
      <alignment horizontal="center" vertical="center"/>
    </xf>
    <xf numFmtId="173" fontId="48" fillId="0" borderId="7" xfId="33" applyNumberFormat="1" applyFont="1" applyBorder="1" applyAlignment="1">
      <alignment horizontal="center" vertical="center"/>
    </xf>
    <xf numFmtId="0" fontId="48" fillId="0" borderId="7" xfId="0" applyFont="1" applyBorder="1" applyAlignment="1">
      <alignment horizontal="center" vertical="center" wrapText="1"/>
    </xf>
    <xf numFmtId="0" fontId="48" fillId="0" borderId="7" xfId="0" applyFont="1" applyBorder="1" applyAlignment="1">
      <alignment vertical="center" wrapText="1"/>
    </xf>
    <xf numFmtId="0" fontId="62" fillId="0" borderId="7" xfId="0" applyFont="1" applyBorder="1" applyAlignment="1">
      <alignment horizontal="center" vertical="center" wrapText="1"/>
    </xf>
    <xf numFmtId="0" fontId="63" fillId="0" borderId="2" xfId="0" applyFont="1" applyBorder="1" applyAlignment="1">
      <alignment horizontal="left"/>
    </xf>
    <xf numFmtId="3" fontId="63" fillId="0" borderId="0" xfId="0" applyNumberFormat="1" applyFont="1"/>
    <xf numFmtId="0" fontId="46" fillId="0" borderId="0" xfId="0" applyFont="1"/>
    <xf numFmtId="0" fontId="46" fillId="0" borderId="0" xfId="0" applyFont="1" applyAlignment="1">
      <alignment vertical="center"/>
    </xf>
    <xf numFmtId="171" fontId="46" fillId="0" borderId="0" xfId="39" applyFont="1" applyFill="1" applyAlignment="1">
      <alignment vertical="center"/>
    </xf>
    <xf numFmtId="9" fontId="63" fillId="0" borderId="0" xfId="60" applyFont="1" applyFill="1" applyBorder="1" applyAlignment="1">
      <alignment horizontal="center" vertical="center" wrapText="1"/>
    </xf>
    <xf numFmtId="3" fontId="63" fillId="0" borderId="0" xfId="0" applyNumberFormat="1" applyFont="1" applyFill="1" applyBorder="1" applyAlignment="1">
      <alignment horizontal="center" vertical="center" wrapText="1"/>
    </xf>
    <xf numFmtId="0" fontId="46" fillId="0" borderId="0" xfId="0" applyFont="1" applyFill="1" applyBorder="1"/>
    <xf numFmtId="3" fontId="46" fillId="0" borderId="0" xfId="0" applyNumberFormat="1" applyFont="1" applyFill="1" applyBorder="1" applyAlignment="1">
      <alignment vertical="center"/>
    </xf>
    <xf numFmtId="0" fontId="46" fillId="0" borderId="0" xfId="0" applyFont="1" applyFill="1" applyBorder="1" applyAlignment="1">
      <alignment vertical="center"/>
    </xf>
    <xf numFmtId="3" fontId="63" fillId="0" borderId="0" xfId="0" applyNumberFormat="1" applyFont="1" applyFill="1" applyBorder="1" applyAlignment="1">
      <alignment vertical="center"/>
    </xf>
    <xf numFmtId="10" fontId="63" fillId="0" borderId="0" xfId="60" applyNumberFormat="1" applyFont="1" applyFill="1" applyBorder="1" applyAlignment="1">
      <alignment horizontal="center" vertical="center"/>
    </xf>
    <xf numFmtId="180" fontId="45" fillId="0" borderId="0" xfId="0" applyNumberFormat="1" applyFont="1" applyFill="1" applyBorder="1" applyAlignment="1">
      <alignment vertical="center"/>
    </xf>
    <xf numFmtId="4" fontId="45" fillId="0" borderId="0" xfId="48" applyNumberFormat="1" applyFont="1" applyFill="1" applyBorder="1" applyAlignment="1">
      <alignment horizontal="right" vertical="center"/>
    </xf>
    <xf numFmtId="170" fontId="13" fillId="0" borderId="39" xfId="56" applyNumberFormat="1" applyFont="1" applyBorder="1" applyAlignment="1">
      <alignment horizontal="left" vertical="center"/>
    </xf>
    <xf numFmtId="0" fontId="46" fillId="0" borderId="0" xfId="0" applyFont="1" applyBorder="1" applyAlignment="1">
      <alignment vertical="center"/>
    </xf>
    <xf numFmtId="3" fontId="46" fillId="0" borderId="0" xfId="0" applyNumberFormat="1" applyFont="1" applyBorder="1" applyAlignment="1">
      <alignment vertical="center"/>
    </xf>
    <xf numFmtId="9" fontId="46" fillId="0" borderId="37" xfId="60" applyFont="1" applyBorder="1" applyAlignment="1">
      <alignment horizontal="center" vertical="center"/>
    </xf>
    <xf numFmtId="170" fontId="13" fillId="0" borderId="39" xfId="56" applyNumberFormat="1" applyFont="1" applyBorder="1" applyAlignment="1">
      <alignment horizontal="left"/>
    </xf>
    <xf numFmtId="170" fontId="63" fillId="45" borderId="40" xfId="0" applyNumberFormat="1" applyFont="1" applyFill="1" applyBorder="1" applyAlignment="1">
      <alignment horizontal="left" vertical="center" wrapText="1"/>
    </xf>
    <xf numFmtId="3" fontId="63" fillId="45" borderId="54" xfId="0" applyNumberFormat="1" applyFont="1" applyFill="1" applyBorder="1" applyAlignment="1">
      <alignment vertical="center"/>
    </xf>
    <xf numFmtId="9" fontId="63" fillId="45" borderId="38" xfId="60" applyFont="1" applyFill="1" applyBorder="1" applyAlignment="1">
      <alignment vertical="center"/>
    </xf>
    <xf numFmtId="1" fontId="2" fillId="0" borderId="0" xfId="0" applyNumberFormat="1" applyFont="1" applyAlignment="1">
      <alignment wrapText="1"/>
    </xf>
    <xf numFmtId="15" fontId="13" fillId="0" borderId="0" xfId="0" applyNumberFormat="1" applyFont="1" applyBorder="1" applyAlignment="1">
      <alignment vertical="center"/>
    </xf>
    <xf numFmtId="0" fontId="13" fillId="0" borderId="0" xfId="0" applyFont="1" applyBorder="1" applyAlignment="1">
      <alignment horizontal="center" vertical="center" wrapText="1"/>
    </xf>
    <xf numFmtId="1" fontId="2" fillId="0" borderId="0" xfId="0" applyNumberFormat="1" applyFont="1" applyBorder="1" applyAlignment="1">
      <alignment horizontal="left"/>
    </xf>
    <xf numFmtId="3" fontId="3" fillId="0" borderId="0" xfId="0" applyNumberFormat="1" applyFont="1" applyAlignment="1">
      <alignment vertical="top" wrapText="1"/>
    </xf>
    <xf numFmtId="3" fontId="13" fillId="0" borderId="0" xfId="0" applyNumberFormat="1" applyFont="1" applyBorder="1" applyAlignment="1">
      <alignment vertical="center" wrapText="1"/>
    </xf>
    <xf numFmtId="4" fontId="13" fillId="0" borderId="0" xfId="0" applyNumberFormat="1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40" fontId="13" fillId="0" borderId="0" xfId="0" applyNumberFormat="1" applyFont="1" applyBorder="1" applyAlignment="1">
      <alignment vertical="center"/>
    </xf>
    <xf numFmtId="3" fontId="13" fillId="0" borderId="0" xfId="0" applyNumberFormat="1" applyFont="1" applyBorder="1" applyAlignment="1">
      <alignment vertical="center"/>
    </xf>
    <xf numFmtId="1" fontId="14" fillId="0" borderId="0" xfId="0" applyNumberFormat="1" applyFont="1" applyBorder="1" applyAlignment="1">
      <alignment vertical="center" wrapText="1"/>
    </xf>
    <xf numFmtId="3" fontId="3" fillId="0" borderId="0" xfId="0" applyNumberFormat="1" applyFont="1" applyBorder="1" applyAlignment="1">
      <alignment horizontal="left" vertical="center" wrapText="1"/>
    </xf>
    <xf numFmtId="3" fontId="3" fillId="0" borderId="0" xfId="0" applyNumberFormat="1" applyFont="1" applyBorder="1" applyAlignment="1">
      <alignment vertical="center" wrapText="1"/>
    </xf>
    <xf numFmtId="3" fontId="13" fillId="0" borderId="0" xfId="39" applyNumberFormat="1" applyFont="1" applyBorder="1" applyAlignment="1">
      <alignment vertical="center"/>
    </xf>
    <xf numFmtId="173" fontId="14" fillId="2" borderId="9" xfId="33" applyNumberFormat="1" applyFont="1" applyFill="1" applyBorder="1" applyAlignment="1">
      <alignment horizontal="center" vertical="center" wrapText="1"/>
    </xf>
    <xf numFmtId="175" fontId="14" fillId="2" borderId="9" xfId="44" applyNumberFormat="1" applyFont="1" applyFill="1" applyBorder="1" applyAlignment="1">
      <alignment horizontal="center" vertical="center" wrapText="1"/>
    </xf>
    <xf numFmtId="3" fontId="3" fillId="0" borderId="0" xfId="0" applyNumberFormat="1" applyFont="1" applyAlignment="1">
      <alignment vertical="top"/>
    </xf>
    <xf numFmtId="4" fontId="3" fillId="0" borderId="0" xfId="56" applyNumberFormat="1" applyFont="1" applyFill="1"/>
    <xf numFmtId="0" fontId="14" fillId="44" borderId="8" xfId="0" applyFont="1" applyFill="1" applyBorder="1" applyAlignment="1">
      <alignment horizontal="center" vertical="center" wrapText="1"/>
    </xf>
    <xf numFmtId="0" fontId="14" fillId="40" borderId="9" xfId="0" applyFont="1" applyFill="1" applyBorder="1" applyAlignment="1">
      <alignment horizontal="center" vertical="center" wrapText="1"/>
    </xf>
    <xf numFmtId="4" fontId="46" fillId="0" borderId="2" xfId="56" applyNumberFormat="1" applyFont="1" applyBorder="1" applyAlignment="1">
      <alignment horizontal="left" vertical="center"/>
    </xf>
    <xf numFmtId="4" fontId="46" fillId="0" borderId="0" xfId="56" applyNumberFormat="1" applyFont="1" applyBorder="1" applyAlignment="1">
      <alignment horizontal="left" vertical="center"/>
    </xf>
    <xf numFmtId="4" fontId="46" fillId="0" borderId="2" xfId="56" applyNumberFormat="1" applyFont="1" applyBorder="1" applyAlignment="1">
      <alignment horizontal="left" vertical="center"/>
    </xf>
    <xf numFmtId="4" fontId="46" fillId="0" borderId="0" xfId="56" applyNumberFormat="1" applyFont="1" applyBorder="1" applyAlignment="1">
      <alignment horizontal="left" vertical="center"/>
    </xf>
    <xf numFmtId="1" fontId="14" fillId="0" borderId="0" xfId="0" applyNumberFormat="1" applyFont="1" applyAlignment="1">
      <alignment horizontal="left" vertical="center"/>
    </xf>
    <xf numFmtId="0" fontId="45" fillId="0" borderId="0" xfId="56" applyNumberFormat="1" applyFont="1"/>
    <xf numFmtId="0" fontId="46" fillId="0" borderId="0" xfId="56" applyNumberFormat="1" applyFont="1"/>
    <xf numFmtId="0" fontId="46" fillId="0" borderId="0" xfId="56" applyFont="1" applyFill="1"/>
    <xf numFmtId="0" fontId="46" fillId="0" borderId="0" xfId="56" applyFont="1" applyFill="1" applyAlignment="1">
      <alignment horizontal="center"/>
    </xf>
    <xf numFmtId="3" fontId="46" fillId="0" borderId="0" xfId="0" applyNumberFormat="1" applyFont="1" applyFill="1" applyAlignment="1">
      <alignment horizontal="left" vertical="center" wrapText="1"/>
    </xf>
    <xf numFmtId="0" fontId="46" fillId="0" borderId="0" xfId="56" applyNumberFormat="1" applyFont="1" applyFill="1"/>
    <xf numFmtId="40" fontId="46" fillId="0" borderId="0" xfId="56" applyNumberFormat="1" applyFont="1" applyFill="1"/>
    <xf numFmtId="174" fontId="57" fillId="0" borderId="7" xfId="49" applyNumberFormat="1" applyFont="1" applyBorder="1" applyAlignment="1">
      <alignment horizontal="center" vertical="center"/>
    </xf>
    <xf numFmtId="175" fontId="2" fillId="0" borderId="3" xfId="44" applyNumberFormat="1" applyFont="1" applyFill="1" applyBorder="1" applyAlignment="1">
      <alignment vertical="center"/>
    </xf>
    <xf numFmtId="175" fontId="2" fillId="0" borderId="47" xfId="44" applyNumberFormat="1" applyFont="1" applyFill="1" applyBorder="1" applyAlignment="1">
      <alignment vertical="center"/>
    </xf>
    <xf numFmtId="14" fontId="59" fillId="0" borderId="17" xfId="56" applyNumberFormat="1" applyFont="1" applyBorder="1" applyAlignment="1">
      <alignment horizontal="center" vertical="center" wrapText="1" shrinkToFit="1"/>
    </xf>
    <xf numFmtId="4" fontId="64" fillId="0" borderId="48" xfId="56" applyNumberFormat="1" applyFont="1" applyBorder="1" applyAlignment="1">
      <alignment horizontal="right" vertical="center" wrapText="1"/>
    </xf>
    <xf numFmtId="3" fontId="60" fillId="0" borderId="17" xfId="56" applyNumberFormat="1" applyFont="1" applyFill="1" applyBorder="1" applyAlignment="1">
      <alignment horizontal="right" vertical="center" wrapText="1"/>
    </xf>
    <xf numFmtId="173" fontId="46" fillId="0" borderId="0" xfId="33" applyNumberFormat="1" applyFont="1" applyFill="1" applyBorder="1"/>
    <xf numFmtId="175" fontId="2" fillId="0" borderId="0" xfId="44" applyNumberFormat="1" applyFont="1" applyFill="1" applyBorder="1" applyAlignment="1">
      <alignment vertical="center"/>
    </xf>
    <xf numFmtId="0" fontId="2" fillId="0" borderId="7" xfId="56" applyFont="1" applyBorder="1" applyAlignment="1">
      <alignment horizontal="center"/>
    </xf>
    <xf numFmtId="175" fontId="2" fillId="0" borderId="53" xfId="44" applyNumberFormat="1" applyFont="1" applyBorder="1" applyAlignment="1">
      <alignment horizontal="center"/>
    </xf>
    <xf numFmtId="0" fontId="2" fillId="0" borderId="0" xfId="56" applyFont="1" applyAlignment="1">
      <alignment horizontal="center"/>
    </xf>
    <xf numFmtId="10" fontId="3" fillId="0" borderId="7" xfId="59" applyNumberFormat="1" applyFont="1" applyBorder="1"/>
    <xf numFmtId="175" fontId="13" fillId="0" borderId="7" xfId="44" applyNumberFormat="1" applyFont="1" applyFill="1" applyBorder="1" applyAlignment="1">
      <alignment vertical="center" wrapText="1"/>
    </xf>
    <xf numFmtId="175" fontId="13" fillId="0" borderId="7" xfId="44" applyNumberFormat="1" applyFont="1" applyFill="1" applyBorder="1" applyAlignment="1">
      <alignment horizontal="right" vertical="center"/>
    </xf>
    <xf numFmtId="175" fontId="13" fillId="0" borderId="7" xfId="44" applyNumberFormat="1" applyFont="1" applyBorder="1" applyAlignment="1">
      <alignment horizontal="right" vertical="center"/>
    </xf>
    <xf numFmtId="9" fontId="13" fillId="0" borderId="30" xfId="44" applyNumberFormat="1" applyFont="1" applyFill="1" applyBorder="1" applyAlignment="1">
      <alignment horizontal="center"/>
    </xf>
    <xf numFmtId="9" fontId="13" fillId="0" borderId="30" xfId="44" applyNumberFormat="1" applyFont="1" applyBorder="1" applyAlignment="1">
      <alignment horizontal="center"/>
    </xf>
    <xf numFmtId="175" fontId="13" fillId="0" borderId="48" xfId="44" applyNumberFormat="1" applyFont="1" applyFill="1" applyBorder="1" applyAlignment="1">
      <alignment vertical="center" wrapText="1"/>
    </xf>
    <xf numFmtId="1" fontId="2" fillId="0" borderId="0" xfId="0" applyNumberFormat="1" applyFont="1" applyAlignment="1">
      <alignment horizontal="left" wrapText="1"/>
    </xf>
    <xf numFmtId="4" fontId="46" fillId="0" borderId="2" xfId="56" applyNumberFormat="1" applyFont="1" applyBorder="1" applyAlignment="1">
      <alignment horizontal="left" vertical="center"/>
    </xf>
    <xf numFmtId="4" fontId="46" fillId="0" borderId="0" xfId="56" applyNumberFormat="1" applyFont="1" applyBorder="1" applyAlignment="1">
      <alignment horizontal="left" vertical="center"/>
    </xf>
    <xf numFmtId="0" fontId="0" fillId="0" borderId="0" xfId="0" applyAlignment="1">
      <alignment wrapText="1"/>
    </xf>
    <xf numFmtId="0" fontId="58" fillId="0" borderId="0" xfId="0" applyFont="1" applyFill="1" applyBorder="1" applyAlignment="1">
      <alignment horizontal="center" vertical="center" wrapText="1"/>
    </xf>
    <xf numFmtId="3" fontId="3" fillId="0" borderId="0" xfId="0" applyNumberFormat="1" applyFont="1" applyAlignment="1">
      <alignment wrapText="1"/>
    </xf>
    <xf numFmtId="3" fontId="3" fillId="0" borderId="0" xfId="0" applyNumberFormat="1" applyFont="1"/>
    <xf numFmtId="0" fontId="3" fillId="0" borderId="0" xfId="0" applyFont="1"/>
    <xf numFmtId="0" fontId="3" fillId="0" borderId="6" xfId="0" applyFont="1" applyBorder="1"/>
    <xf numFmtId="0" fontId="3" fillId="0" borderId="0" xfId="0" applyFont="1" applyAlignment="1">
      <alignment wrapText="1"/>
    </xf>
    <xf numFmtId="0" fontId="3" fillId="0" borderId="6" xfId="0" applyFont="1" applyBorder="1" applyAlignment="1">
      <alignment wrapText="1"/>
    </xf>
    <xf numFmtId="0" fontId="3" fillId="0" borderId="6" xfId="0" applyFont="1" applyBorder="1" applyAlignment="1">
      <alignment horizontal="center"/>
    </xf>
    <xf numFmtId="0" fontId="3" fillId="0" borderId="0" xfId="0" applyFont="1" applyAlignment="1">
      <alignment horizontal="center"/>
    </xf>
    <xf numFmtId="4" fontId="2" fillId="0" borderId="19" xfId="0" applyNumberFormat="1" applyFont="1" applyBorder="1" applyAlignment="1">
      <alignment vertical="center"/>
    </xf>
    <xf numFmtId="15" fontId="3" fillId="0" borderId="0" xfId="0" applyNumberFormat="1" applyFont="1"/>
    <xf numFmtId="4" fontId="2" fillId="0" borderId="30" xfId="0" applyNumberFormat="1" applyFont="1" applyBorder="1"/>
    <xf numFmtId="3" fontId="3" fillId="0" borderId="0" xfId="0" applyNumberFormat="1" applyFont="1" applyAlignment="1">
      <alignment horizontal="left"/>
    </xf>
    <xf numFmtId="0" fontId="2" fillId="0" borderId="0" xfId="0" applyFont="1" applyAlignment="1">
      <alignment wrapText="1"/>
    </xf>
    <xf numFmtId="15" fontId="3" fillId="0" borderId="0" xfId="0" applyNumberFormat="1" applyFont="1" applyAlignment="1">
      <alignment vertical="center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1" fontId="3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42" xfId="0" applyFont="1" applyBorder="1" applyAlignment="1">
      <alignment horizontal="center" vertical="center" wrapText="1"/>
    </xf>
    <xf numFmtId="3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5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2" fillId="0" borderId="24" xfId="0" applyFont="1" applyBorder="1" applyAlignment="1">
      <alignment vertical="center" wrapText="1"/>
    </xf>
    <xf numFmtId="3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16" xfId="0" applyFont="1" applyBorder="1" applyAlignment="1">
      <alignment horizontal="center" vertical="center" wrapText="1"/>
    </xf>
    <xf numFmtId="0" fontId="2" fillId="0" borderId="44" xfId="0" applyFont="1" applyBorder="1" applyAlignment="1">
      <alignment vertical="center" wrapText="1"/>
    </xf>
    <xf numFmtId="0" fontId="3" fillId="0" borderId="0" xfId="0" applyFont="1" applyAlignment="1">
      <alignment vertical="center"/>
    </xf>
    <xf numFmtId="0" fontId="3" fillId="0" borderId="18" xfId="0" applyFont="1" applyBorder="1" applyAlignment="1">
      <alignment vertical="center" wrapText="1"/>
    </xf>
    <xf numFmtId="3" fontId="3" fillId="0" borderId="18" xfId="0" applyNumberFormat="1" applyFont="1" applyBorder="1" applyAlignment="1">
      <alignment vertical="center"/>
    </xf>
    <xf numFmtId="1" fontId="3" fillId="0" borderId="50" xfId="0" applyNumberFormat="1" applyFont="1" applyBorder="1" applyAlignment="1">
      <alignment horizontal="left" vertical="center" wrapText="1"/>
    </xf>
    <xf numFmtId="1" fontId="3" fillId="0" borderId="49" xfId="0" applyNumberFormat="1" applyFont="1" applyBorder="1" applyAlignment="1">
      <alignment horizontal="left" vertical="center" wrapText="1"/>
    </xf>
    <xf numFmtId="0" fontId="3" fillId="0" borderId="18" xfId="0" applyFont="1" applyBorder="1" applyAlignment="1">
      <alignment horizontal="center" vertical="center"/>
    </xf>
    <xf numFmtId="1" fontId="3" fillId="0" borderId="18" xfId="0" applyNumberFormat="1" applyFont="1" applyBorder="1" applyAlignment="1">
      <alignment horizontal="center" vertical="center" wrapText="1"/>
    </xf>
    <xf numFmtId="14" fontId="3" fillId="0" borderId="28" xfId="0" applyNumberFormat="1" applyFont="1" applyBorder="1" applyAlignment="1">
      <alignment horizontal="center" vertical="center"/>
    </xf>
    <xf numFmtId="3" fontId="3" fillId="0" borderId="0" xfId="0" applyNumberFormat="1" applyFont="1" applyAlignment="1">
      <alignment horizontal="center"/>
    </xf>
    <xf numFmtId="4" fontId="3" fillId="0" borderId="17" xfId="0" applyNumberFormat="1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16" fillId="0" borderId="17" xfId="0" applyFont="1" applyBorder="1" applyAlignment="1">
      <alignment horizontal="center" vertical="center" wrapText="1"/>
    </xf>
    <xf numFmtId="14" fontId="3" fillId="0" borderId="55" xfId="0" applyNumberFormat="1" applyFont="1" applyBorder="1" applyAlignment="1">
      <alignment horizontal="center" vertical="center" wrapText="1"/>
    </xf>
    <xf numFmtId="175" fontId="2" fillId="0" borderId="0" xfId="0" applyNumberFormat="1" applyFont="1" applyAlignment="1">
      <alignment horizontal="center"/>
    </xf>
    <xf numFmtId="3" fontId="13" fillId="0" borderId="7" xfId="0" applyNumberFormat="1" applyFont="1" applyBorder="1" applyAlignment="1">
      <alignment horizontal="center" vertical="center"/>
    </xf>
    <xf numFmtId="168" fontId="48" fillId="0" borderId="7" xfId="0" applyNumberFormat="1" applyFont="1" applyBorder="1" applyAlignment="1">
      <alignment horizontal="center" vertical="center" wrapText="1"/>
    </xf>
    <xf numFmtId="3" fontId="13" fillId="0" borderId="11" xfId="0" applyNumberFormat="1" applyFont="1" applyBorder="1" applyAlignment="1">
      <alignment horizontal="center" vertical="center"/>
    </xf>
    <xf numFmtId="3" fontId="13" fillId="0" borderId="48" xfId="0" applyNumberFormat="1" applyFont="1" applyBorder="1" applyAlignment="1">
      <alignment horizontal="center" vertical="center"/>
    </xf>
    <xf numFmtId="168" fontId="48" fillId="0" borderId="48" xfId="0" applyNumberFormat="1" applyFont="1" applyBorder="1" applyAlignment="1">
      <alignment horizontal="center" vertical="center" wrapText="1"/>
    </xf>
    <xf numFmtId="3" fontId="13" fillId="0" borderId="51" xfId="0" applyNumberFormat="1" applyFont="1" applyBorder="1" applyAlignment="1">
      <alignment horizontal="center" vertical="center"/>
    </xf>
    <xf numFmtId="4" fontId="2" fillId="0" borderId="0" xfId="0" applyNumberFormat="1" applyFont="1" applyAlignment="1">
      <alignment horizontal="left" vertical="center"/>
    </xf>
    <xf numFmtId="4" fontId="3" fillId="0" borderId="0" xfId="0" applyNumberFormat="1" applyFont="1" applyAlignment="1">
      <alignment vertical="center"/>
    </xf>
    <xf numFmtId="4" fontId="3" fillId="0" borderId="0" xfId="0" applyNumberFormat="1" applyFont="1" applyAlignment="1">
      <alignment vertical="center" wrapText="1"/>
    </xf>
    <xf numFmtId="4" fontId="3" fillId="0" borderId="0" xfId="0" applyNumberFormat="1" applyFont="1" applyAlignment="1">
      <alignment horizontal="left" vertical="center" wrapText="1"/>
    </xf>
    <xf numFmtId="4" fontId="2" fillId="0" borderId="45" xfId="0" applyNumberFormat="1" applyFont="1" applyBorder="1" applyAlignment="1">
      <alignment horizontal="left" vertical="center"/>
    </xf>
    <xf numFmtId="4" fontId="2" fillId="0" borderId="56" xfId="0" applyNumberFormat="1" applyFont="1" applyBorder="1" applyAlignment="1">
      <alignment horizontal="left" vertical="center"/>
    </xf>
    <xf numFmtId="4" fontId="2" fillId="0" borderId="41" xfId="0" applyNumberFormat="1" applyFont="1" applyBorder="1" applyAlignment="1">
      <alignment horizontal="left" vertical="center"/>
    </xf>
    <xf numFmtId="3" fontId="3" fillId="0" borderId="3" xfId="0" applyNumberFormat="1" applyFont="1" applyBorder="1" applyAlignment="1">
      <alignment wrapText="1"/>
    </xf>
    <xf numFmtId="0" fontId="3" fillId="0" borderId="2" xfId="0" applyFont="1" applyBorder="1"/>
    <xf numFmtId="3" fontId="2" fillId="0" borderId="0" xfId="0" applyNumberFormat="1" applyFont="1" applyAlignment="1">
      <alignment horizontal="left" vertical="center"/>
    </xf>
    <xf numFmtId="4" fontId="2" fillId="0" borderId="2" xfId="0" applyNumberFormat="1" applyFont="1" applyBorder="1" applyAlignment="1">
      <alignment horizontal="left" vertical="center"/>
    </xf>
    <xf numFmtId="3" fontId="2" fillId="0" borderId="0" xfId="0" applyNumberFormat="1" applyFont="1" applyAlignment="1">
      <alignment vertical="center"/>
    </xf>
    <xf numFmtId="4" fontId="3" fillId="0" borderId="2" xfId="0" applyNumberFormat="1" applyFont="1" applyBorder="1" applyAlignment="1">
      <alignment vertical="center"/>
    </xf>
    <xf numFmtId="4" fontId="2" fillId="0" borderId="0" xfId="0" applyNumberFormat="1" applyFont="1" applyAlignment="1">
      <alignment vertical="center" wrapText="1"/>
    </xf>
    <xf numFmtId="3" fontId="3" fillId="0" borderId="0" xfId="0" applyNumberFormat="1" applyFont="1" applyAlignment="1">
      <alignment horizontal="right" vertical="center"/>
    </xf>
    <xf numFmtId="3" fontId="3" fillId="0" borderId="3" xfId="0" applyNumberFormat="1" applyFont="1" applyBorder="1" applyAlignment="1">
      <alignment vertical="center"/>
    </xf>
    <xf numFmtId="4" fontId="2" fillId="0" borderId="6" xfId="0" applyNumberFormat="1" applyFont="1" applyBorder="1" applyAlignment="1">
      <alignment horizontal="left" vertical="center"/>
    </xf>
    <xf numFmtId="3" fontId="2" fillId="0" borderId="44" xfId="0" applyNumberFormat="1" applyFont="1" applyBorder="1" applyAlignment="1">
      <alignment vertical="center" wrapText="1"/>
    </xf>
    <xf numFmtId="0" fontId="2" fillId="0" borderId="0" xfId="0" applyFont="1" applyAlignment="1">
      <alignment vertical="center"/>
    </xf>
    <xf numFmtId="3" fontId="2" fillId="0" borderId="0" xfId="0" applyNumberFormat="1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4" fillId="44" borderId="8" xfId="0" applyFont="1" applyFill="1" applyBorder="1" applyAlignment="1">
      <alignment horizontal="center" vertical="center" wrapText="1"/>
    </xf>
    <xf numFmtId="0" fontId="14" fillId="40" borderId="9" xfId="0" applyFont="1" applyFill="1" applyBorder="1" applyAlignment="1">
      <alignment horizontal="center" vertical="center" wrapText="1"/>
    </xf>
    <xf numFmtId="4" fontId="46" fillId="0" borderId="2" xfId="56" applyNumberFormat="1" applyFont="1" applyBorder="1" applyAlignment="1">
      <alignment horizontal="left" vertical="center"/>
    </xf>
    <xf numFmtId="4" fontId="46" fillId="0" borderId="0" xfId="56" applyNumberFormat="1" applyFont="1" applyBorder="1" applyAlignment="1">
      <alignment horizontal="left" vertical="center"/>
    </xf>
    <xf numFmtId="1" fontId="14" fillId="0" borderId="0" xfId="0" applyNumberFormat="1" applyFont="1" applyAlignment="1">
      <alignment horizontal="center" vertical="center" wrapText="1"/>
    </xf>
    <xf numFmtId="14" fontId="0" fillId="0" borderId="7" xfId="0" applyNumberFormat="1" applyBorder="1"/>
    <xf numFmtId="0" fontId="0" fillId="0" borderId="7" xfId="0" applyBorder="1"/>
    <xf numFmtId="0" fontId="0" fillId="0" borderId="0" xfId="0"/>
    <xf numFmtId="0" fontId="64" fillId="0" borderId="7" xfId="56" applyFont="1" applyFill="1" applyBorder="1" applyAlignment="1">
      <alignment horizontal="center" vertical="center" wrapText="1"/>
    </xf>
    <xf numFmtId="175" fontId="60" fillId="0" borderId="7" xfId="44" applyNumberFormat="1" applyFont="1" applyFill="1" applyBorder="1" applyAlignment="1">
      <alignment horizontal="right" vertical="center"/>
    </xf>
    <xf numFmtId="175" fontId="64" fillId="0" borderId="7" xfId="44" applyNumberFormat="1" applyFont="1" applyFill="1" applyBorder="1" applyAlignment="1">
      <alignment horizontal="right" vertical="center"/>
    </xf>
    <xf numFmtId="172" fontId="5" fillId="0" borderId="0" xfId="56" applyNumberFormat="1" applyFont="1"/>
    <xf numFmtId="172" fontId="1" fillId="0" borderId="7" xfId="56" applyNumberFormat="1" applyFill="1" applyBorder="1" applyAlignment="1">
      <alignment horizontal="right" vertical="center"/>
    </xf>
    <xf numFmtId="0" fontId="0" fillId="0" borderId="0" xfId="0" applyFill="1"/>
    <xf numFmtId="0" fontId="66" fillId="0" borderId="0" xfId="0" applyFont="1" applyFill="1" applyAlignment="1">
      <alignment horizontal="center" vertical="center" wrapText="1"/>
    </xf>
    <xf numFmtId="166" fontId="28" fillId="0" borderId="0" xfId="44" applyFont="1"/>
    <xf numFmtId="14" fontId="58" fillId="0" borderId="0" xfId="0" applyNumberFormat="1" applyFont="1" applyFill="1" applyBorder="1" applyAlignment="1">
      <alignment vertical="center"/>
    </xf>
    <xf numFmtId="175" fontId="28" fillId="0" borderId="0" xfId="44" applyNumberFormat="1" applyFont="1"/>
    <xf numFmtId="44" fontId="2" fillId="0" borderId="0" xfId="0" applyNumberFormat="1" applyFont="1" applyAlignment="1">
      <alignment horizontal="center" vertical="center"/>
    </xf>
    <xf numFmtId="0" fontId="14" fillId="44" borderId="8" xfId="0" applyFont="1" applyFill="1" applyBorder="1" applyAlignment="1">
      <alignment horizontal="center" vertical="center" wrapText="1"/>
    </xf>
    <xf numFmtId="0" fontId="14" fillId="40" borderId="9" xfId="0" applyFont="1" applyFill="1" applyBorder="1" applyAlignment="1">
      <alignment horizontal="center" vertical="center" wrapText="1"/>
    </xf>
    <xf numFmtId="4" fontId="46" fillId="0" borderId="2" xfId="56" applyNumberFormat="1" applyFont="1" applyBorder="1" applyAlignment="1">
      <alignment horizontal="left" vertical="center"/>
    </xf>
    <xf numFmtId="4" fontId="46" fillId="0" borderId="0" xfId="56" applyNumberFormat="1" applyFont="1" applyBorder="1" applyAlignment="1">
      <alignment horizontal="left" vertical="center"/>
    </xf>
    <xf numFmtId="0" fontId="64" fillId="46" borderId="35" xfId="56" applyFont="1" applyFill="1" applyBorder="1" applyAlignment="1">
      <alignment horizontal="left" vertical="center"/>
    </xf>
    <xf numFmtId="0" fontId="64" fillId="46" borderId="53" xfId="56" applyFont="1" applyFill="1" applyBorder="1" applyAlignment="1">
      <alignment horizontal="center" vertical="center" wrapText="1"/>
    </xf>
    <xf numFmtId="0" fontId="64" fillId="46" borderId="35" xfId="56" applyFont="1" applyFill="1" applyBorder="1" applyAlignment="1">
      <alignment horizontal="center" vertical="center"/>
    </xf>
    <xf numFmtId="0" fontId="64" fillId="46" borderId="53" xfId="56" applyFont="1" applyFill="1" applyBorder="1" applyAlignment="1">
      <alignment horizontal="left" vertical="center"/>
    </xf>
    <xf numFmtId="0" fontId="59" fillId="0" borderId="17" xfId="56" applyFont="1" applyBorder="1" applyAlignment="1">
      <alignment horizontal="left" vertical="center" wrapText="1"/>
    </xf>
    <xf numFmtId="0" fontId="64" fillId="46" borderId="53" xfId="56" applyFont="1" applyFill="1" applyBorder="1" applyAlignment="1">
      <alignment horizontal="center" vertical="center"/>
    </xf>
    <xf numFmtId="175" fontId="1" fillId="0" borderId="0" xfId="44" applyNumberFormat="1" applyFont="1" applyAlignment="1">
      <alignment vertical="center"/>
    </xf>
    <xf numFmtId="175" fontId="1" fillId="0" borderId="0" xfId="44" applyNumberFormat="1" applyFont="1" applyFill="1" applyAlignment="1">
      <alignment vertical="center"/>
    </xf>
    <xf numFmtId="175" fontId="1" fillId="0" borderId="0" xfId="56" applyNumberFormat="1" applyFill="1" applyAlignment="1">
      <alignment vertical="center"/>
    </xf>
    <xf numFmtId="44" fontId="1" fillId="0" borderId="0" xfId="56" applyNumberFormat="1" applyFill="1" applyAlignment="1">
      <alignment vertical="center"/>
    </xf>
    <xf numFmtId="4" fontId="46" fillId="0" borderId="0" xfId="0" applyNumberFormat="1" applyFont="1" applyFill="1" applyBorder="1"/>
    <xf numFmtId="4" fontId="3" fillId="0" borderId="33" xfId="0" applyNumberFormat="1" applyFont="1" applyFill="1" applyBorder="1" applyAlignment="1">
      <alignment horizontal="left" vertical="center"/>
    </xf>
    <xf numFmtId="4" fontId="3" fillId="0" borderId="24" xfId="0" applyNumberFormat="1" applyFont="1" applyFill="1" applyBorder="1" applyAlignment="1">
      <alignment horizontal="left" vertical="center"/>
    </xf>
    <xf numFmtId="4" fontId="3" fillId="0" borderId="2" xfId="0" applyNumberFormat="1" applyFont="1" applyFill="1" applyBorder="1" applyAlignment="1">
      <alignment horizontal="left" vertical="center"/>
    </xf>
    <xf numFmtId="4" fontId="3" fillId="0" borderId="0" xfId="0" applyNumberFormat="1" applyFont="1" applyFill="1" applyAlignment="1">
      <alignment horizontal="left" vertical="center"/>
    </xf>
    <xf numFmtId="4" fontId="3" fillId="0" borderId="2" xfId="0" applyNumberFormat="1" applyFont="1" applyFill="1" applyBorder="1" applyAlignment="1">
      <alignment vertical="center"/>
    </xf>
    <xf numFmtId="4" fontId="3" fillId="0" borderId="0" xfId="0" applyNumberFormat="1" applyFont="1" applyFill="1" applyAlignment="1">
      <alignment vertical="center"/>
    </xf>
    <xf numFmtId="4" fontId="46" fillId="0" borderId="2" xfId="56" applyNumberFormat="1" applyFont="1" applyBorder="1" applyAlignment="1">
      <alignment horizontal="left" vertical="center"/>
    </xf>
    <xf numFmtId="4" fontId="46" fillId="0" borderId="0" xfId="56" applyNumberFormat="1" applyFont="1" applyBorder="1" applyAlignment="1">
      <alignment horizontal="left" vertical="center"/>
    </xf>
    <xf numFmtId="0" fontId="48" fillId="0" borderId="7" xfId="0" applyFont="1" applyBorder="1" applyAlignment="1">
      <alignment horizontal="left" vertical="center"/>
    </xf>
    <xf numFmtId="4" fontId="2" fillId="0" borderId="30" xfId="0" applyNumberFormat="1" applyFont="1" applyFill="1" applyBorder="1"/>
    <xf numFmtId="40" fontId="13" fillId="0" borderId="0" xfId="0" applyNumberFormat="1" applyFont="1" applyFill="1" applyAlignment="1">
      <alignment vertical="center"/>
    </xf>
    <xf numFmtId="38" fontId="48" fillId="0" borderId="0" xfId="0" applyNumberFormat="1" applyFont="1"/>
    <xf numFmtId="173" fontId="2" fillId="0" borderId="0" xfId="33" applyNumberFormat="1" applyFont="1" applyAlignment="1">
      <alignment horizontal="center" vertical="center"/>
    </xf>
    <xf numFmtId="173" fontId="2" fillId="0" borderId="0" xfId="0" applyNumberFormat="1" applyFont="1" applyAlignment="1">
      <alignment horizontal="center" vertical="center"/>
    </xf>
    <xf numFmtId="3" fontId="1" fillId="0" borderId="7" xfId="56" applyNumberFormat="1" applyFill="1" applyBorder="1" applyAlignment="1">
      <alignment vertical="center"/>
    </xf>
    <xf numFmtId="173" fontId="1" fillId="0" borderId="0" xfId="33" applyNumberFormat="1" applyFont="1"/>
    <xf numFmtId="173" fontId="1" fillId="0" borderId="0" xfId="56" applyNumberFormat="1"/>
    <xf numFmtId="173" fontId="28" fillId="0" borderId="0" xfId="33" applyNumberFormat="1" applyFont="1"/>
    <xf numFmtId="173" fontId="28" fillId="0" borderId="0" xfId="33" applyNumberFormat="1" applyFont="1"/>
    <xf numFmtId="1" fontId="28" fillId="0" borderId="0" xfId="44" applyNumberFormat="1" applyFont="1"/>
    <xf numFmtId="173" fontId="46" fillId="0" borderId="0" xfId="0" applyNumberFormat="1" applyFont="1" applyFill="1" applyBorder="1"/>
    <xf numFmtId="3" fontId="13" fillId="0" borderId="48" xfId="0" applyNumberFormat="1" applyFont="1" applyFill="1" applyBorder="1" applyAlignment="1">
      <alignment vertical="center"/>
    </xf>
    <xf numFmtId="3" fontId="13" fillId="0" borderId="7" xfId="0" applyNumberFormat="1" applyFont="1" applyFill="1" applyBorder="1" applyAlignment="1">
      <alignment vertical="center"/>
    </xf>
    <xf numFmtId="9" fontId="67" fillId="0" borderId="7" xfId="60" applyFont="1" applyBorder="1" applyAlignment="1">
      <alignment horizontal="center" vertical="center"/>
    </xf>
    <xf numFmtId="9" fontId="67" fillId="0" borderId="7" xfId="60" applyFont="1" applyBorder="1" applyAlignment="1">
      <alignment horizontal="center" vertical="center" wrapText="1"/>
    </xf>
    <xf numFmtId="1" fontId="2" fillId="0" borderId="35" xfId="0" applyNumberFormat="1" applyFont="1" applyBorder="1"/>
    <xf numFmtId="0" fontId="14" fillId="44" borderId="8" xfId="0" applyFont="1" applyFill="1" applyBorder="1" applyAlignment="1">
      <alignment horizontal="center" vertical="center" wrapText="1"/>
    </xf>
    <xf numFmtId="0" fontId="14" fillId="40" borderId="9" xfId="0" applyFont="1" applyFill="1" applyBorder="1" applyAlignment="1">
      <alignment horizontal="center" vertical="center" wrapText="1"/>
    </xf>
    <xf numFmtId="175" fontId="13" fillId="0" borderId="0" xfId="44" applyNumberFormat="1" applyFont="1" applyAlignment="1">
      <alignment vertical="center"/>
    </xf>
    <xf numFmtId="0" fontId="13" fillId="0" borderId="0" xfId="0" applyNumberFormat="1" applyFont="1" applyAlignment="1">
      <alignment vertical="center"/>
    </xf>
    <xf numFmtId="3" fontId="13" fillId="0" borderId="38" xfId="0" applyNumberFormat="1" applyFont="1" applyFill="1" applyBorder="1" applyAlignment="1">
      <alignment vertical="center"/>
    </xf>
    <xf numFmtId="0" fontId="1" fillId="47" borderId="0" xfId="56" applyFill="1" applyAlignment="1">
      <alignment vertical="top"/>
    </xf>
    <xf numFmtId="0" fontId="1" fillId="47" borderId="0" xfId="56" applyFill="1" applyAlignment="1">
      <alignment vertical="center" wrapText="1"/>
    </xf>
    <xf numFmtId="4" fontId="46" fillId="0" borderId="2" xfId="56" applyNumberFormat="1" applyFont="1" applyBorder="1" applyAlignment="1">
      <alignment horizontal="left" vertical="center"/>
    </xf>
    <xf numFmtId="4" fontId="46" fillId="0" borderId="0" xfId="56" applyNumberFormat="1" applyFont="1" applyBorder="1" applyAlignment="1">
      <alignment horizontal="left" vertical="center"/>
    </xf>
    <xf numFmtId="175" fontId="49" fillId="0" borderId="19" xfId="44" applyNumberFormat="1" applyFont="1" applyBorder="1" applyAlignment="1">
      <alignment horizontal="right"/>
    </xf>
    <xf numFmtId="0" fontId="13" fillId="0" borderId="6" xfId="0" applyFont="1" applyBorder="1"/>
    <xf numFmtId="40" fontId="13" fillId="0" borderId="6" xfId="0" applyNumberFormat="1" applyFont="1" applyBorder="1"/>
    <xf numFmtId="3" fontId="13" fillId="0" borderId="6" xfId="0" applyNumberFormat="1" applyFont="1" applyBorder="1"/>
    <xf numFmtId="0" fontId="14" fillId="44" borderId="8" xfId="0" applyFont="1" applyFill="1" applyBorder="1" applyAlignment="1">
      <alignment horizontal="center" vertical="center" wrapText="1"/>
    </xf>
    <xf numFmtId="0" fontId="14" fillId="40" borderId="9" xfId="0" applyFont="1" applyFill="1" applyBorder="1" applyAlignment="1">
      <alignment horizontal="center" vertical="center" wrapText="1"/>
    </xf>
    <xf numFmtId="4" fontId="13" fillId="0" borderId="6" xfId="0" applyNumberFormat="1" applyFont="1" applyBorder="1" applyAlignment="1">
      <alignment vertical="center"/>
    </xf>
    <xf numFmtId="4" fontId="46" fillId="0" borderId="2" xfId="56" applyNumberFormat="1" applyFont="1" applyBorder="1" applyAlignment="1">
      <alignment horizontal="left" vertical="center"/>
    </xf>
    <xf numFmtId="4" fontId="46" fillId="0" borderId="0" xfId="56" applyNumberFormat="1" applyFont="1" applyBorder="1" applyAlignment="1">
      <alignment horizontal="left" vertical="center"/>
    </xf>
    <xf numFmtId="175" fontId="1" fillId="0" borderId="0" xfId="56" applyNumberFormat="1" applyAlignment="1">
      <alignment horizontal="left" vertical="top"/>
    </xf>
    <xf numFmtId="0" fontId="1" fillId="0" borderId="7" xfId="56" applyBorder="1" applyAlignment="1"/>
    <xf numFmtId="173" fontId="49" fillId="0" borderId="0" xfId="33" applyNumberFormat="1" applyFont="1" applyAlignment="1">
      <alignment horizontal="center" vertical="center"/>
    </xf>
    <xf numFmtId="175" fontId="50" fillId="0" borderId="0" xfId="44" applyNumberFormat="1" applyFont="1" applyFill="1" applyBorder="1" applyAlignment="1">
      <alignment horizontal="center" vertical="center"/>
    </xf>
    <xf numFmtId="166" fontId="49" fillId="0" borderId="0" xfId="0" applyNumberFormat="1" applyFont="1" applyAlignment="1">
      <alignment horizontal="center" vertical="center"/>
    </xf>
    <xf numFmtId="4" fontId="3" fillId="0" borderId="44" xfId="44" applyNumberFormat="1" applyFont="1" applyFill="1" applyBorder="1" applyAlignment="1">
      <alignment horizontal="right" vertical="center"/>
    </xf>
    <xf numFmtId="4" fontId="3" fillId="0" borderId="3" xfId="44" applyNumberFormat="1" applyFont="1" applyFill="1" applyBorder="1" applyAlignment="1">
      <alignment horizontal="right" vertical="center"/>
    </xf>
    <xf numFmtId="4" fontId="3" fillId="0" borderId="3" xfId="44" applyNumberFormat="1" applyFont="1" applyFill="1" applyBorder="1" applyAlignment="1">
      <alignment vertical="center"/>
    </xf>
    <xf numFmtId="4" fontId="2" fillId="40" borderId="1" xfId="44" applyNumberFormat="1" applyFont="1" applyFill="1" applyBorder="1" applyAlignment="1">
      <alignment horizontal="right" vertical="center"/>
    </xf>
    <xf numFmtId="166" fontId="1" fillId="0" borderId="7" xfId="44" applyNumberFormat="1" applyFont="1" applyBorder="1" applyAlignment="1">
      <alignment horizontal="right" vertical="center"/>
    </xf>
    <xf numFmtId="166" fontId="1" fillId="0" borderId="7" xfId="44" applyNumberFormat="1" applyFont="1" applyFill="1" applyBorder="1" applyAlignment="1">
      <alignment horizontal="right" vertical="center"/>
    </xf>
    <xf numFmtId="166" fontId="15" fillId="0" borderId="7" xfId="44" applyNumberFormat="1" applyFont="1" applyFill="1" applyBorder="1"/>
    <xf numFmtId="3" fontId="13" fillId="0" borderId="31" xfId="0" applyNumberFormat="1" applyFont="1" applyFill="1" applyBorder="1" applyAlignment="1">
      <alignment vertical="center"/>
    </xf>
    <xf numFmtId="4" fontId="46" fillId="47" borderId="0" xfId="56" applyNumberFormat="1" applyFont="1" applyFill="1"/>
    <xf numFmtId="44" fontId="46" fillId="0" borderId="0" xfId="56" applyNumberFormat="1" applyFont="1"/>
    <xf numFmtId="0" fontId="45" fillId="47" borderId="0" xfId="56" applyNumberFormat="1" applyFont="1" applyFill="1" applyAlignment="1">
      <alignment horizontal="center"/>
    </xf>
    <xf numFmtId="4" fontId="46" fillId="0" borderId="2" xfId="56" applyNumberFormat="1" applyFont="1" applyBorder="1" applyAlignment="1">
      <alignment horizontal="left" vertical="center"/>
    </xf>
    <xf numFmtId="4" fontId="46" fillId="0" borderId="0" xfId="56" applyNumberFormat="1" applyFont="1" applyBorder="1" applyAlignment="1">
      <alignment horizontal="left" vertical="center"/>
    </xf>
    <xf numFmtId="0" fontId="14" fillId="44" borderId="8" xfId="0" applyFont="1" applyFill="1" applyBorder="1" applyAlignment="1">
      <alignment horizontal="center" vertical="center" wrapText="1"/>
    </xf>
    <xf numFmtId="0" fontId="14" fillId="40" borderId="9" xfId="0" applyFont="1" applyFill="1" applyBorder="1" applyAlignment="1">
      <alignment horizontal="center" vertical="center" wrapText="1"/>
    </xf>
    <xf numFmtId="1" fontId="2" fillId="0" borderId="0" xfId="0" applyNumberFormat="1" applyFont="1" applyAlignment="1"/>
    <xf numFmtId="9" fontId="63" fillId="48" borderId="18" xfId="60" applyFont="1" applyFill="1" applyBorder="1" applyAlignment="1">
      <alignment horizontal="center" vertical="center" wrapText="1"/>
    </xf>
    <xf numFmtId="3" fontId="63" fillId="48" borderId="18" xfId="0" applyNumberFormat="1" applyFont="1" applyFill="1" applyBorder="1" applyAlignment="1">
      <alignment horizontal="center" vertical="center" wrapText="1"/>
    </xf>
    <xf numFmtId="3" fontId="13" fillId="0" borderId="53" xfId="48" applyNumberFormat="1" applyFont="1" applyBorder="1" applyAlignment="1">
      <alignment horizontal="right" vertical="center"/>
    </xf>
    <xf numFmtId="3" fontId="13" fillId="0" borderId="53" xfId="0" applyNumberFormat="1" applyFont="1" applyBorder="1" applyAlignment="1">
      <alignment vertical="center"/>
    </xf>
    <xf numFmtId="3" fontId="13" fillId="0" borderId="53" xfId="0" applyNumberFormat="1" applyFont="1" applyFill="1" applyBorder="1" applyAlignment="1">
      <alignment vertical="center"/>
    </xf>
    <xf numFmtId="0" fontId="68" fillId="0" borderId="0" xfId="0" applyFont="1" applyAlignment="1">
      <alignment horizontal="center" vertical="center"/>
    </xf>
    <xf numFmtId="0" fontId="0" fillId="0" borderId="7" xfId="0" applyFill="1" applyBorder="1"/>
    <xf numFmtId="14" fontId="0" fillId="0" borderId="7" xfId="0" applyNumberFormat="1" applyFill="1" applyBorder="1"/>
    <xf numFmtId="44" fontId="1" fillId="0" borderId="0" xfId="56" applyNumberFormat="1" applyFill="1"/>
    <xf numFmtId="0" fontId="53" fillId="0" borderId="7" xfId="56" applyFont="1" applyFill="1" applyBorder="1"/>
    <xf numFmtId="0" fontId="55" fillId="0" borderId="7" xfId="56" applyFont="1" applyFill="1" applyBorder="1" applyAlignment="1">
      <alignment wrapText="1"/>
    </xf>
    <xf numFmtId="0" fontId="55" fillId="0" borderId="7" xfId="56" applyFont="1" applyFill="1" applyBorder="1"/>
    <xf numFmtId="175" fontId="55" fillId="0" borderId="7" xfId="44" applyNumberFormat="1" applyFont="1" applyFill="1" applyBorder="1"/>
    <xf numFmtId="3" fontId="1" fillId="0" borderId="0" xfId="56" applyNumberFormat="1" applyFill="1" applyAlignment="1">
      <alignment horizontal="left" vertical="center"/>
    </xf>
    <xf numFmtId="166" fontId="69" fillId="0" borderId="7" xfId="44" applyNumberFormat="1" applyFont="1" applyFill="1" applyBorder="1"/>
    <xf numFmtId="44" fontId="1" fillId="0" borderId="0" xfId="56" applyNumberFormat="1" applyAlignment="1">
      <alignment wrapText="1"/>
    </xf>
    <xf numFmtId="3" fontId="3" fillId="0" borderId="0" xfId="56" applyNumberFormat="1" applyFont="1" applyAlignment="1">
      <alignment horizontal="right" vertical="center"/>
    </xf>
    <xf numFmtId="0" fontId="16" fillId="0" borderId="0" xfId="0" applyFont="1"/>
    <xf numFmtId="0" fontId="60" fillId="0" borderId="0" xfId="56" applyFont="1" applyBorder="1" applyAlignment="1">
      <alignment horizontal="left" vertical="top" wrapText="1"/>
    </xf>
    <xf numFmtId="3" fontId="60" fillId="0" borderId="0" xfId="56" applyNumberFormat="1" applyFont="1" applyBorder="1" applyAlignment="1">
      <alignment horizontal="right" vertical="center" wrapText="1"/>
    </xf>
    <xf numFmtId="4" fontId="2" fillId="0" borderId="56" xfId="0" applyNumberFormat="1" applyFont="1" applyFill="1" applyBorder="1" applyAlignment="1">
      <alignment horizontal="left" vertical="center"/>
    </xf>
    <xf numFmtId="4" fontId="2" fillId="0" borderId="0" xfId="0" applyNumberFormat="1" applyFont="1" applyFill="1" applyAlignment="1">
      <alignment horizontal="left" vertical="center"/>
    </xf>
    <xf numFmtId="4" fontId="2" fillId="0" borderId="41" xfId="0" applyNumberFormat="1" applyFont="1" applyFill="1" applyBorder="1" applyAlignment="1">
      <alignment horizontal="left" vertical="center"/>
    </xf>
    <xf numFmtId="0" fontId="14" fillId="44" borderId="8" xfId="0" applyFont="1" applyFill="1" applyBorder="1" applyAlignment="1">
      <alignment horizontal="center" vertical="center" wrapText="1"/>
    </xf>
    <xf numFmtId="0" fontId="14" fillId="40" borderId="9" xfId="0" applyFont="1" applyFill="1" applyBorder="1" applyAlignment="1">
      <alignment horizontal="center" vertical="center" wrapText="1"/>
    </xf>
    <xf numFmtId="4" fontId="46" fillId="0" borderId="2" xfId="56" applyNumberFormat="1" applyFont="1" applyBorder="1" applyAlignment="1">
      <alignment horizontal="left" vertical="center"/>
    </xf>
    <xf numFmtId="4" fontId="46" fillId="0" borderId="0" xfId="56" applyNumberFormat="1" applyFont="1" applyBorder="1" applyAlignment="1">
      <alignment horizontal="left" vertical="center"/>
    </xf>
    <xf numFmtId="0" fontId="45" fillId="0" borderId="0" xfId="56" applyNumberFormat="1" applyFont="1" applyAlignment="1">
      <alignment horizontal="center" vertical="center"/>
    </xf>
    <xf numFmtId="4" fontId="45" fillId="0" borderId="0" xfId="56" applyNumberFormat="1" applyFont="1" applyAlignment="1">
      <alignment horizontal="center" vertical="center"/>
    </xf>
    <xf numFmtId="8" fontId="1" fillId="0" borderId="0" xfId="56" applyNumberFormat="1" applyAlignment="1">
      <alignment vertical="center"/>
    </xf>
    <xf numFmtId="166" fontId="1" fillId="0" borderId="0" xfId="44" applyFont="1" applyFill="1"/>
    <xf numFmtId="166" fontId="5" fillId="0" borderId="0" xfId="56" applyNumberFormat="1" applyFont="1" applyFill="1"/>
    <xf numFmtId="1" fontId="1" fillId="0" borderId="0" xfId="56" applyNumberFormat="1" applyFill="1"/>
    <xf numFmtId="166" fontId="28" fillId="0" borderId="7" xfId="44" applyFont="1" applyFill="1" applyBorder="1"/>
    <xf numFmtId="3" fontId="1" fillId="0" borderId="0" xfId="56" applyNumberFormat="1" applyFont="1" applyFill="1" applyAlignment="1">
      <alignment vertical="center"/>
    </xf>
    <xf numFmtId="0" fontId="44" fillId="0" borderId="7" xfId="0" applyFont="1" applyBorder="1" applyAlignment="1">
      <alignment horizontal="left" vertical="center"/>
    </xf>
    <xf numFmtId="173" fontId="5" fillId="38" borderId="0" xfId="33" applyNumberFormat="1" applyFont="1" applyFill="1"/>
    <xf numFmtId="4" fontId="70" fillId="0" borderId="0" xfId="56" applyNumberFormat="1" applyFont="1"/>
    <xf numFmtId="173" fontId="68" fillId="0" borderId="0" xfId="0" applyNumberFormat="1" applyFont="1" applyAlignment="1">
      <alignment horizontal="center" vertical="center"/>
    </xf>
    <xf numFmtId="4" fontId="63" fillId="45" borderId="54" xfId="0" applyNumberFormat="1" applyFont="1" applyFill="1" applyBorder="1" applyAlignment="1">
      <alignment vertical="center"/>
    </xf>
    <xf numFmtId="171" fontId="46" fillId="0" borderId="0" xfId="39" applyNumberFormat="1" applyFont="1" applyFill="1" applyBorder="1" applyAlignment="1">
      <alignment vertical="center"/>
    </xf>
    <xf numFmtId="166" fontId="28" fillId="0" borderId="0" xfId="44" applyFont="1"/>
    <xf numFmtId="166" fontId="2" fillId="0" borderId="57" xfId="44" applyNumberFormat="1" applyFont="1" applyFill="1" applyBorder="1" applyAlignment="1">
      <alignment vertical="center"/>
    </xf>
    <xf numFmtId="0" fontId="14" fillId="44" borderId="8" xfId="0" applyFont="1" applyFill="1" applyBorder="1" applyAlignment="1">
      <alignment horizontal="center" vertical="center" wrapText="1"/>
    </xf>
    <xf numFmtId="0" fontId="14" fillId="40" borderId="9" xfId="0" applyFont="1" applyFill="1" applyBorder="1" applyAlignment="1">
      <alignment horizontal="center" vertical="center" wrapText="1"/>
    </xf>
    <xf numFmtId="4" fontId="46" fillId="0" borderId="2" xfId="56" applyNumberFormat="1" applyFont="1" applyBorder="1" applyAlignment="1">
      <alignment horizontal="left" vertical="center"/>
    </xf>
    <xf numFmtId="4" fontId="46" fillId="0" borderId="0" xfId="56" applyNumberFormat="1" applyFont="1" applyBorder="1" applyAlignment="1">
      <alignment horizontal="left" vertical="center"/>
    </xf>
    <xf numFmtId="4" fontId="2" fillId="0" borderId="10" xfId="0" applyNumberFormat="1" applyFont="1" applyFill="1" applyBorder="1"/>
    <xf numFmtId="0" fontId="67" fillId="0" borderId="0" xfId="0" applyFont="1"/>
    <xf numFmtId="4" fontId="60" fillId="0" borderId="37" xfId="56" applyNumberFormat="1" applyFont="1" applyBorder="1" applyAlignment="1">
      <alignment horizontal="right" vertical="center" wrapText="1"/>
    </xf>
    <xf numFmtId="4" fontId="2" fillId="0" borderId="58" xfId="44" applyNumberFormat="1" applyFont="1" applyFill="1" applyBorder="1" applyAlignment="1">
      <alignment horizontal="right" vertical="center"/>
    </xf>
    <xf numFmtId="166" fontId="3" fillId="0" borderId="0" xfId="44" applyNumberFormat="1" applyFont="1" applyFill="1" applyBorder="1" applyAlignment="1">
      <alignment vertical="center"/>
    </xf>
    <xf numFmtId="166" fontId="2" fillId="0" borderId="0" xfId="44" applyNumberFormat="1" applyFont="1" applyFill="1" applyBorder="1" applyAlignment="1">
      <alignment vertical="center"/>
    </xf>
    <xf numFmtId="166" fontId="2" fillId="0" borderId="0" xfId="44" applyNumberFormat="1" applyFont="1" applyFill="1" applyBorder="1" applyAlignment="1">
      <alignment horizontal="center" vertical="center"/>
    </xf>
    <xf numFmtId="166" fontId="3" fillId="0" borderId="0" xfId="44" applyNumberFormat="1" applyFont="1" applyFill="1" applyBorder="1" applyAlignment="1">
      <alignment horizontal="center" vertical="center"/>
    </xf>
    <xf numFmtId="9" fontId="46" fillId="0" borderId="0" xfId="60" applyFont="1" applyFill="1" applyBorder="1" applyAlignment="1">
      <alignment horizontal="center" vertical="center"/>
    </xf>
    <xf numFmtId="9" fontId="46" fillId="0" borderId="37" xfId="60" applyFont="1" applyFill="1" applyBorder="1" applyAlignment="1">
      <alignment horizontal="center" vertical="center"/>
    </xf>
    <xf numFmtId="175" fontId="45" fillId="0" borderId="3" xfId="44" applyNumberFormat="1" applyFont="1" applyFill="1" applyBorder="1" applyAlignment="1">
      <alignment vertical="center"/>
    </xf>
    <xf numFmtId="0" fontId="14" fillId="44" borderId="8" xfId="0" applyFont="1" applyFill="1" applyBorder="1" applyAlignment="1">
      <alignment horizontal="center" vertical="center" wrapText="1"/>
    </xf>
    <xf numFmtId="0" fontId="14" fillId="40" borderId="9" xfId="0" applyFont="1" applyFill="1" applyBorder="1" applyAlignment="1">
      <alignment horizontal="center" vertical="center" wrapText="1"/>
    </xf>
    <xf numFmtId="1" fontId="13" fillId="0" borderId="0" xfId="0" applyNumberFormat="1" applyFont="1" applyBorder="1" applyAlignment="1">
      <alignment horizontal="center" vertical="center"/>
    </xf>
    <xf numFmtId="0" fontId="48" fillId="0" borderId="0" xfId="0" applyFont="1" applyBorder="1" applyAlignment="1">
      <alignment horizontal="center" vertical="center" wrapText="1"/>
    </xf>
    <xf numFmtId="0" fontId="48" fillId="0" borderId="0" xfId="0" applyFont="1" applyBorder="1" applyAlignment="1">
      <alignment vertical="center" wrapText="1"/>
    </xf>
    <xf numFmtId="4" fontId="46" fillId="0" borderId="2" xfId="56" applyNumberFormat="1" applyFont="1" applyBorder="1" applyAlignment="1">
      <alignment horizontal="left" vertical="center"/>
    </xf>
    <xf numFmtId="4" fontId="46" fillId="0" borderId="0" xfId="56" applyNumberFormat="1" applyFont="1" applyBorder="1" applyAlignment="1">
      <alignment horizontal="left" vertical="center"/>
    </xf>
    <xf numFmtId="1" fontId="13" fillId="0" borderId="7" xfId="0" applyNumberFormat="1" applyFont="1" applyFill="1" applyBorder="1" applyAlignment="1">
      <alignment horizontal="center" vertical="center" wrapText="1"/>
    </xf>
    <xf numFmtId="0" fontId="0" fillId="49" borderId="0" xfId="0" applyFill="1"/>
    <xf numFmtId="0" fontId="46" fillId="49" borderId="0" xfId="56" applyFont="1" applyFill="1"/>
    <xf numFmtId="166" fontId="46" fillId="49" borderId="0" xfId="44" applyFont="1" applyFill="1" applyBorder="1" applyAlignment="1">
      <alignment vertical="center" wrapText="1"/>
    </xf>
    <xf numFmtId="4" fontId="47" fillId="49" borderId="4" xfId="56" applyNumberFormat="1" applyFont="1" applyFill="1" applyBorder="1" applyAlignment="1">
      <alignment horizontal="left" vertical="center"/>
    </xf>
    <xf numFmtId="4" fontId="47" fillId="49" borderId="5" xfId="56" applyNumberFormat="1" applyFont="1" applyFill="1" applyBorder="1" applyAlignment="1">
      <alignment horizontal="left" vertical="center"/>
    </xf>
    <xf numFmtId="166" fontId="47" fillId="49" borderId="5" xfId="44" applyFont="1" applyFill="1" applyBorder="1" applyAlignment="1">
      <alignment vertical="center"/>
    </xf>
    <xf numFmtId="166" fontId="47" fillId="49" borderId="32" xfId="44" applyFont="1" applyFill="1" applyBorder="1" applyAlignment="1">
      <alignment vertical="center" wrapText="1"/>
    </xf>
    <xf numFmtId="0" fontId="46" fillId="49" borderId="0" xfId="56" applyFont="1" applyFill="1" applyAlignment="1">
      <alignment horizontal="center"/>
    </xf>
    <xf numFmtId="1" fontId="46" fillId="49" borderId="0" xfId="56" applyNumberFormat="1" applyFont="1" applyFill="1" applyAlignment="1">
      <alignment horizontal="center"/>
    </xf>
    <xf numFmtId="4" fontId="45" fillId="49" borderId="0" xfId="56" applyNumberFormat="1" applyFont="1" applyFill="1" applyAlignment="1">
      <alignment wrapText="1"/>
    </xf>
    <xf numFmtId="3" fontId="46" fillId="49" borderId="6" xfId="56" applyNumberFormat="1" applyFont="1" applyFill="1" applyBorder="1" applyAlignment="1">
      <alignment wrapText="1"/>
    </xf>
    <xf numFmtId="15" fontId="46" fillId="49" borderId="6" xfId="56" applyNumberFormat="1" applyFont="1" applyFill="1" applyBorder="1"/>
    <xf numFmtId="1" fontId="46" fillId="49" borderId="6" xfId="56" applyNumberFormat="1" applyFont="1" applyFill="1" applyBorder="1" applyAlignment="1">
      <alignment horizontal="center"/>
    </xf>
    <xf numFmtId="0" fontId="46" fillId="49" borderId="6" xfId="56" applyFont="1" applyFill="1" applyBorder="1" applyAlignment="1">
      <alignment horizontal="center" wrapText="1"/>
    </xf>
    <xf numFmtId="1" fontId="45" fillId="49" borderId="0" xfId="0" applyNumberFormat="1" applyFont="1" applyFill="1" applyAlignment="1">
      <alignment wrapText="1"/>
    </xf>
    <xf numFmtId="3" fontId="46" fillId="49" borderId="0" xfId="0" applyNumberFormat="1" applyFont="1" applyFill="1" applyAlignment="1">
      <alignment vertical="center" wrapText="1"/>
    </xf>
    <xf numFmtId="0" fontId="1" fillId="49" borderId="0" xfId="56" applyFill="1" applyAlignment="1">
      <alignment horizontal="left" vertical="top"/>
    </xf>
    <xf numFmtId="0" fontId="0" fillId="49" borderId="0" xfId="0" applyFill="1" applyAlignment="1"/>
    <xf numFmtId="0" fontId="59" fillId="49" borderId="0" xfId="56" applyFont="1" applyFill="1" applyAlignment="1">
      <alignment horizontal="left" vertical="top"/>
    </xf>
    <xf numFmtId="0" fontId="60" fillId="49" borderId="80" xfId="56" applyFont="1" applyFill="1" applyBorder="1" applyAlignment="1">
      <alignment horizontal="left" vertical="top"/>
    </xf>
    <xf numFmtId="0" fontId="64" fillId="49" borderId="7" xfId="56" applyFont="1" applyFill="1" applyBorder="1" applyAlignment="1">
      <alignment horizontal="center" vertical="center"/>
    </xf>
    <xf numFmtId="0" fontId="60" fillId="49" borderId="39" xfId="56" applyFont="1" applyFill="1" applyBorder="1" applyAlignment="1">
      <alignment horizontal="left" vertical="top"/>
    </xf>
    <xf numFmtId="167" fontId="60" fillId="49" borderId="37" xfId="33" applyFont="1" applyFill="1" applyBorder="1" applyAlignment="1">
      <alignment horizontal="right" vertical="center"/>
    </xf>
    <xf numFmtId="175" fontId="1" fillId="49" borderId="0" xfId="56" applyNumberFormat="1" applyFill="1" applyAlignment="1">
      <alignment horizontal="left" vertical="top"/>
    </xf>
    <xf numFmtId="0" fontId="60" fillId="49" borderId="40" xfId="56" applyFont="1" applyFill="1" applyBorder="1" applyAlignment="1">
      <alignment horizontal="left" vertical="top"/>
    </xf>
    <xf numFmtId="167" fontId="60" fillId="49" borderId="38" xfId="33" applyFont="1" applyFill="1" applyBorder="1" applyAlignment="1">
      <alignment horizontal="right" vertical="center"/>
    </xf>
    <xf numFmtId="0" fontId="60" fillId="49" borderId="0" xfId="56" applyFont="1" applyFill="1" applyAlignment="1">
      <alignment horizontal="left" vertical="top"/>
    </xf>
    <xf numFmtId="3" fontId="60" fillId="49" borderId="0" xfId="56" applyNumberFormat="1" applyFont="1" applyFill="1" applyAlignment="1">
      <alignment horizontal="right" vertical="center"/>
    </xf>
    <xf numFmtId="167" fontId="64" fillId="49" borderId="7" xfId="33" applyNumberFormat="1" applyFont="1" applyFill="1" applyBorder="1" applyAlignment="1">
      <alignment horizontal="right" vertical="center"/>
    </xf>
    <xf numFmtId="4" fontId="1" fillId="49" borderId="0" xfId="56" applyNumberFormat="1" applyFill="1" applyAlignment="1">
      <alignment horizontal="left" vertical="top"/>
    </xf>
    <xf numFmtId="0" fontId="64" fillId="49" borderId="53" xfId="56" applyFont="1" applyFill="1" applyBorder="1" applyAlignment="1">
      <alignment horizontal="center" vertical="center"/>
    </xf>
    <xf numFmtId="0" fontId="64" fillId="49" borderId="35" xfId="56" applyFont="1" applyFill="1" applyBorder="1" applyAlignment="1">
      <alignment horizontal="center" vertical="center"/>
    </xf>
    <xf numFmtId="0" fontId="64" fillId="49" borderId="53" xfId="56" applyFont="1" applyFill="1" applyBorder="1" applyAlignment="1">
      <alignment horizontal="left" vertical="center"/>
    </xf>
    <xf numFmtId="0" fontId="64" fillId="49" borderId="35" xfId="56" applyFont="1" applyFill="1" applyBorder="1" applyAlignment="1">
      <alignment horizontal="left" vertical="center"/>
    </xf>
    <xf numFmtId="14" fontId="59" fillId="49" borderId="17" xfId="56" applyNumberFormat="1" applyFont="1" applyFill="1" applyBorder="1" applyAlignment="1">
      <alignment horizontal="center" vertical="center" shrinkToFit="1"/>
    </xf>
    <xf numFmtId="0" fontId="60" fillId="49" borderId="0" xfId="56" applyFont="1" applyFill="1" applyAlignment="1">
      <alignment horizontal="left" vertical="center"/>
    </xf>
    <xf numFmtId="0" fontId="59" fillId="49" borderId="17" xfId="56" applyFont="1" applyFill="1" applyBorder="1" applyAlignment="1">
      <alignment horizontal="left" vertical="center"/>
    </xf>
    <xf numFmtId="4" fontId="60" fillId="49" borderId="0" xfId="56" applyNumberFormat="1" applyFont="1" applyFill="1" applyAlignment="1">
      <alignment horizontal="right" vertical="center"/>
    </xf>
    <xf numFmtId="4" fontId="60" fillId="49" borderId="17" xfId="56" applyNumberFormat="1" applyFont="1" applyFill="1" applyBorder="1" applyAlignment="1">
      <alignment horizontal="right" vertical="center"/>
    </xf>
    <xf numFmtId="175" fontId="2" fillId="0" borderId="0" xfId="44" applyNumberFormat="1" applyFont="1" applyFill="1" applyBorder="1" applyAlignment="1">
      <alignment vertical="center" wrapText="1"/>
    </xf>
    <xf numFmtId="49" fontId="24" fillId="0" borderId="0" xfId="44" applyNumberFormat="1" applyFont="1" applyFill="1" applyBorder="1" applyAlignment="1">
      <alignment vertical="center" wrapText="1"/>
    </xf>
    <xf numFmtId="4" fontId="73" fillId="0" borderId="0" xfId="0" applyNumberFormat="1" applyFont="1" applyFill="1" applyAlignment="1">
      <alignment horizontal="center" vertical="center"/>
    </xf>
    <xf numFmtId="44" fontId="73" fillId="0" borderId="0" xfId="0" applyNumberFormat="1" applyFont="1" applyFill="1" applyAlignment="1">
      <alignment horizontal="center" vertical="center"/>
    </xf>
    <xf numFmtId="0" fontId="73" fillId="0" borderId="0" xfId="0" applyFont="1" applyFill="1" applyAlignment="1">
      <alignment horizontal="center" vertical="center"/>
    </xf>
    <xf numFmtId="166" fontId="73" fillId="0" borderId="0" xfId="44" applyFont="1" applyFill="1" applyAlignment="1">
      <alignment horizontal="center" vertical="center"/>
    </xf>
    <xf numFmtId="175" fontId="73" fillId="0" borderId="0" xfId="44" applyNumberFormat="1" applyFont="1" applyFill="1" applyBorder="1" applyAlignment="1">
      <alignment horizontal="center" vertical="center"/>
    </xf>
    <xf numFmtId="181" fontId="73" fillId="0" borderId="0" xfId="0" applyNumberFormat="1" applyFont="1" applyFill="1" applyAlignment="1">
      <alignment horizontal="center" vertical="center"/>
    </xf>
    <xf numFmtId="0" fontId="72" fillId="0" borderId="0" xfId="0" applyFont="1"/>
    <xf numFmtId="175" fontId="53" fillId="0" borderId="0" xfId="44" applyNumberFormat="1" applyFont="1" applyFill="1" applyBorder="1"/>
    <xf numFmtId="175" fontId="55" fillId="0" borderId="0" xfId="44" applyNumberFormat="1" applyFont="1" applyFill="1" applyBorder="1"/>
    <xf numFmtId="175" fontId="28" fillId="0" borderId="0" xfId="44" applyNumberFormat="1" applyFont="1" applyFill="1" applyBorder="1"/>
    <xf numFmtId="167" fontId="59" fillId="49" borderId="0" xfId="56" applyNumberFormat="1" applyFont="1" applyFill="1" applyAlignment="1">
      <alignment horizontal="left" vertical="top"/>
    </xf>
    <xf numFmtId="167" fontId="1" fillId="0" borderId="7" xfId="33" applyFont="1" applyBorder="1"/>
    <xf numFmtId="175" fontId="1" fillId="0" borderId="7" xfId="44" applyNumberFormat="1" applyFont="1" applyBorder="1"/>
    <xf numFmtId="175" fontId="5" fillId="0" borderId="0" xfId="56" applyNumberFormat="1" applyFont="1"/>
    <xf numFmtId="165" fontId="28" fillId="49" borderId="0" xfId="34" applyFont="1" applyFill="1"/>
    <xf numFmtId="0" fontId="44" fillId="49" borderId="7" xfId="0" applyFont="1" applyFill="1" applyBorder="1"/>
    <xf numFmtId="0" fontId="0" fillId="49" borderId="7" xfId="0" applyFill="1" applyBorder="1"/>
    <xf numFmtId="0" fontId="44" fillId="50" borderId="7" xfId="0" applyFont="1" applyFill="1" applyBorder="1"/>
    <xf numFmtId="165" fontId="44" fillId="50" borderId="7" xfId="34" applyFont="1" applyFill="1" applyBorder="1"/>
    <xf numFmtId="4" fontId="46" fillId="0" borderId="2" xfId="56" applyNumberFormat="1" applyFont="1" applyBorder="1" applyAlignment="1">
      <alignment horizontal="left" vertical="center"/>
    </xf>
    <xf numFmtId="4" fontId="46" fillId="0" borderId="0" xfId="56" applyNumberFormat="1" applyFont="1" applyBorder="1" applyAlignment="1">
      <alignment horizontal="left" vertical="center"/>
    </xf>
    <xf numFmtId="0" fontId="50" fillId="0" borderId="0" xfId="0" applyFont="1" applyFill="1"/>
    <xf numFmtId="0" fontId="14" fillId="44" borderId="8" xfId="0" applyFont="1" applyFill="1" applyBorder="1" applyAlignment="1">
      <alignment horizontal="center" vertical="center" wrapText="1"/>
    </xf>
    <xf numFmtId="0" fontId="14" fillId="40" borderId="9" xfId="0" applyFont="1" applyFill="1" applyBorder="1" applyAlignment="1">
      <alignment horizontal="center" vertical="center" wrapText="1"/>
    </xf>
    <xf numFmtId="4" fontId="46" fillId="0" borderId="2" xfId="56" applyNumberFormat="1" applyFont="1" applyBorder="1" applyAlignment="1">
      <alignment horizontal="left" vertical="center"/>
    </xf>
    <xf numFmtId="4" fontId="46" fillId="0" borderId="0" xfId="56" applyNumberFormat="1" applyFont="1" applyBorder="1" applyAlignment="1">
      <alignment horizontal="left" vertical="center"/>
    </xf>
    <xf numFmtId="4" fontId="2" fillId="45" borderId="44" xfId="44" applyNumberFormat="1" applyFont="1" applyFill="1" applyBorder="1" applyAlignment="1">
      <alignment horizontal="right" vertical="center"/>
    </xf>
    <xf numFmtId="0" fontId="5" fillId="0" borderId="7" xfId="56" applyFont="1" applyFill="1" applyBorder="1"/>
    <xf numFmtId="0" fontId="5" fillId="0" borderId="7" xfId="56" applyFont="1" applyFill="1" applyBorder="1" applyAlignment="1">
      <alignment wrapText="1"/>
    </xf>
    <xf numFmtId="0" fontId="74" fillId="0" borderId="0" xfId="56" applyFont="1" applyFill="1"/>
    <xf numFmtId="167" fontId="56" fillId="0" borderId="0" xfId="33" applyFont="1" applyFill="1"/>
    <xf numFmtId="166" fontId="56" fillId="0" borderId="0" xfId="44" applyFont="1" applyFill="1"/>
    <xf numFmtId="174" fontId="0" fillId="0" borderId="82" xfId="0" applyNumberFormat="1" applyFill="1" applyBorder="1"/>
    <xf numFmtId="4" fontId="56" fillId="0" borderId="0" xfId="56" applyNumberFormat="1" applyFont="1" applyFill="1"/>
    <xf numFmtId="4" fontId="52" fillId="0" borderId="0" xfId="56" applyNumberFormat="1" applyFont="1" applyFill="1"/>
    <xf numFmtId="166" fontId="52" fillId="0" borderId="0" xfId="44" applyFont="1" applyFill="1"/>
    <xf numFmtId="164" fontId="52" fillId="0" borderId="0" xfId="56" applyNumberFormat="1" applyFont="1" applyFill="1"/>
    <xf numFmtId="4" fontId="2" fillId="0" borderId="12" xfId="44" applyNumberFormat="1" applyFont="1" applyFill="1" applyBorder="1" applyAlignment="1">
      <alignment horizontal="right" vertical="center"/>
    </xf>
    <xf numFmtId="0" fontId="14" fillId="44" borderId="8" xfId="0" applyFont="1" applyFill="1" applyBorder="1" applyAlignment="1">
      <alignment horizontal="center" vertical="center" wrapText="1"/>
    </xf>
    <xf numFmtId="0" fontId="14" fillId="40" borderId="9" xfId="0" applyFont="1" applyFill="1" applyBorder="1" applyAlignment="1">
      <alignment horizontal="center" vertical="center" wrapText="1"/>
    </xf>
    <xf numFmtId="4" fontId="46" fillId="0" borderId="2" xfId="56" applyNumberFormat="1" applyFont="1" applyBorder="1" applyAlignment="1">
      <alignment horizontal="left" vertical="center"/>
    </xf>
    <xf numFmtId="4" fontId="46" fillId="0" borderId="0" xfId="56" applyNumberFormat="1" applyFont="1" applyBorder="1" applyAlignment="1">
      <alignment horizontal="left" vertical="center"/>
    </xf>
    <xf numFmtId="0" fontId="65" fillId="0" borderId="0" xfId="0" applyFont="1" applyFill="1" applyAlignment="1">
      <alignment horizontal="left" vertical="center"/>
    </xf>
    <xf numFmtId="0" fontId="55" fillId="0" borderId="0" xfId="56" applyFont="1" applyFill="1"/>
    <xf numFmtId="40" fontId="1" fillId="0" borderId="0" xfId="56" applyNumberFormat="1" applyAlignment="1">
      <alignment vertical="center"/>
    </xf>
    <xf numFmtId="9" fontId="75" fillId="0" borderId="0" xfId="44" applyNumberFormat="1" applyFont="1" applyFill="1" applyBorder="1" applyAlignment="1">
      <alignment horizontal="center"/>
    </xf>
    <xf numFmtId="9" fontId="71" fillId="0" borderId="0" xfId="44" applyNumberFormat="1" applyFont="1" applyFill="1" applyBorder="1" applyAlignment="1">
      <alignment horizontal="center"/>
    </xf>
    <xf numFmtId="0" fontId="75" fillId="0" borderId="0" xfId="0" applyFont="1" applyFill="1"/>
    <xf numFmtId="165" fontId="13" fillId="0" borderId="0" xfId="34" applyFont="1" applyAlignment="1">
      <alignment horizontal="left" vertical="center" wrapText="1"/>
    </xf>
    <xf numFmtId="4" fontId="46" fillId="0" borderId="2" xfId="56" applyNumberFormat="1" applyFont="1" applyBorder="1" applyAlignment="1">
      <alignment horizontal="left" vertical="center"/>
    </xf>
    <xf numFmtId="4" fontId="46" fillId="0" borderId="0" xfId="56" applyNumberFormat="1" applyFont="1" applyBorder="1" applyAlignment="1">
      <alignment horizontal="left" vertical="center"/>
    </xf>
    <xf numFmtId="170" fontId="13" fillId="0" borderId="7" xfId="56" applyNumberFormat="1" applyFont="1" applyBorder="1" applyAlignment="1">
      <alignment horizontal="left"/>
    </xf>
    <xf numFmtId="1" fontId="48" fillId="0" borderId="7" xfId="0" applyNumberFormat="1" applyFont="1" applyBorder="1" applyAlignment="1">
      <alignment vertical="center" wrapText="1"/>
    </xf>
    <xf numFmtId="170" fontId="13" fillId="0" borderId="39" xfId="56" applyNumberFormat="1" applyFont="1" applyFill="1" applyBorder="1" applyAlignment="1">
      <alignment horizontal="left"/>
    </xf>
    <xf numFmtId="0" fontId="44" fillId="49" borderId="0" xfId="0" applyFont="1" applyFill="1" applyBorder="1"/>
    <xf numFmtId="165" fontId="44" fillId="49" borderId="0" xfId="34" applyFont="1" applyFill="1" applyBorder="1"/>
    <xf numFmtId="14" fontId="3" fillId="0" borderId="11" xfId="0" applyNumberFormat="1" applyFont="1" applyFill="1" applyBorder="1" applyAlignment="1">
      <alignment horizontal="center" vertical="center"/>
    </xf>
    <xf numFmtId="1" fontId="3" fillId="0" borderId="7" xfId="0" applyNumberFormat="1" applyFont="1" applyFill="1" applyBorder="1" applyAlignment="1">
      <alignment horizontal="center" vertical="center" wrapText="1"/>
    </xf>
    <xf numFmtId="0" fontId="50" fillId="0" borderId="7" xfId="0" applyFont="1" applyFill="1" applyBorder="1" applyAlignment="1">
      <alignment horizontal="center" vertical="center"/>
    </xf>
    <xf numFmtId="173" fontId="50" fillId="0" borderId="7" xfId="33" applyNumberFormat="1" applyFont="1" applyFill="1" applyBorder="1" applyAlignment="1">
      <alignment horizontal="center" vertical="center"/>
    </xf>
    <xf numFmtId="1" fontId="3" fillId="0" borderId="7" xfId="0" applyNumberFormat="1" applyFont="1" applyFill="1" applyBorder="1" applyAlignment="1">
      <alignment horizontal="left" vertical="center" wrapText="1"/>
    </xf>
    <xf numFmtId="175" fontId="3" fillId="0" borderId="7" xfId="44" applyNumberFormat="1" applyFont="1" applyFill="1" applyBorder="1" applyAlignment="1">
      <alignment vertical="center"/>
    </xf>
    <xf numFmtId="40" fontId="3" fillId="0" borderId="7" xfId="33" applyNumberFormat="1" applyFont="1" applyFill="1" applyBorder="1" applyAlignment="1">
      <alignment vertical="center"/>
    </xf>
    <xf numFmtId="40" fontId="3" fillId="0" borderId="30" xfId="33" applyNumberFormat="1" applyFont="1" applyFill="1" applyBorder="1" applyAlignment="1">
      <alignment vertical="center"/>
    </xf>
    <xf numFmtId="4" fontId="60" fillId="0" borderId="83" xfId="56" applyNumberFormat="1" applyFont="1" applyFill="1" applyBorder="1" applyAlignment="1">
      <alignment horizontal="right" vertical="center" wrapText="1"/>
    </xf>
    <xf numFmtId="167" fontId="60" fillId="0" borderId="83" xfId="33" applyFont="1" applyFill="1" applyBorder="1" applyAlignment="1">
      <alignment horizontal="right" vertical="center"/>
    </xf>
    <xf numFmtId="175" fontId="52" fillId="49" borderId="0" xfId="56" applyNumberFormat="1" applyFont="1" applyFill="1" applyAlignment="1">
      <alignment horizontal="left" vertical="top"/>
    </xf>
    <xf numFmtId="4" fontId="46" fillId="0" borderId="2" xfId="56" applyNumberFormat="1" applyFont="1" applyBorder="1" applyAlignment="1">
      <alignment horizontal="left" vertical="center"/>
    </xf>
    <xf numFmtId="4" fontId="46" fillId="0" borderId="0" xfId="56" applyNumberFormat="1" applyFont="1" applyBorder="1" applyAlignment="1">
      <alignment horizontal="left" vertical="center"/>
    </xf>
    <xf numFmtId="4" fontId="46" fillId="0" borderId="2" xfId="56" applyNumberFormat="1" applyFont="1" applyBorder="1" applyAlignment="1">
      <alignment horizontal="left" vertical="center"/>
    </xf>
    <xf numFmtId="4" fontId="46" fillId="0" borderId="0" xfId="56" applyNumberFormat="1" applyFont="1" applyBorder="1" applyAlignment="1">
      <alignment horizontal="left" vertical="center"/>
    </xf>
    <xf numFmtId="164" fontId="15" fillId="0" borderId="7" xfId="45" applyFont="1" applyFill="1" applyBorder="1"/>
    <xf numFmtId="0" fontId="1" fillId="0" borderId="7" xfId="56" applyBorder="1"/>
    <xf numFmtId="164" fontId="1" fillId="0" borderId="7" xfId="45" applyFont="1" applyBorder="1"/>
    <xf numFmtId="4" fontId="13" fillId="0" borderId="0" xfId="0" applyNumberFormat="1" applyFont="1" applyFill="1" applyAlignment="1">
      <alignment vertical="center"/>
    </xf>
    <xf numFmtId="43" fontId="0" fillId="49" borderId="0" xfId="0" applyNumberFormat="1" applyFill="1" applyAlignment="1"/>
    <xf numFmtId="170" fontId="13" fillId="0" borderId="0" xfId="56" applyNumberFormat="1" applyFont="1" applyFill="1" applyAlignment="1">
      <alignment horizontal="left"/>
    </xf>
    <xf numFmtId="3" fontId="76" fillId="0" borderId="0" xfId="0" applyNumberFormat="1" applyFont="1"/>
    <xf numFmtId="0" fontId="77" fillId="0" borderId="0" xfId="0" applyFont="1"/>
    <xf numFmtId="40" fontId="77" fillId="0" borderId="0" xfId="0" applyNumberFormat="1" applyFont="1" applyAlignment="1">
      <alignment vertical="center"/>
    </xf>
    <xf numFmtId="165" fontId="52" fillId="0" borderId="0" xfId="34" applyFont="1"/>
    <xf numFmtId="4" fontId="46" fillId="0" borderId="2" xfId="56" applyNumberFormat="1" applyFont="1" applyBorder="1" applyAlignment="1">
      <alignment horizontal="left" vertical="center"/>
    </xf>
    <xf numFmtId="4" fontId="46" fillId="0" borderId="0" xfId="56" applyNumberFormat="1" applyFont="1" applyBorder="1" applyAlignment="1">
      <alignment horizontal="left" vertical="center"/>
    </xf>
    <xf numFmtId="43" fontId="67" fillId="0" borderId="0" xfId="0" applyNumberFormat="1" applyFont="1"/>
    <xf numFmtId="173" fontId="48" fillId="0" borderId="7" xfId="33" applyNumberFormat="1" applyFont="1" applyBorder="1" applyAlignment="1">
      <alignment horizontal="center" vertical="center" wrapText="1"/>
    </xf>
    <xf numFmtId="174" fontId="48" fillId="0" borderId="7" xfId="49" applyNumberFormat="1" applyFont="1" applyBorder="1" applyAlignment="1">
      <alignment horizontal="center" vertical="center" wrapText="1"/>
    </xf>
    <xf numFmtId="167" fontId="3" fillId="0" borderId="7" xfId="33" applyNumberFormat="1" applyFont="1" applyFill="1" applyBorder="1" applyAlignment="1">
      <alignment vertical="center"/>
    </xf>
    <xf numFmtId="0" fontId="60" fillId="0" borderId="0" xfId="56" applyFont="1" applyBorder="1" applyAlignment="1">
      <alignment horizontal="left" vertical="center"/>
    </xf>
    <xf numFmtId="182" fontId="60" fillId="0" borderId="0" xfId="34" applyNumberFormat="1" applyFont="1" applyFill="1" applyBorder="1" applyAlignment="1">
      <alignment horizontal="right" vertical="center" wrapText="1"/>
    </xf>
    <xf numFmtId="182" fontId="60" fillId="0" borderId="17" xfId="34" applyNumberFormat="1" applyFont="1" applyFill="1" applyBorder="1" applyAlignment="1">
      <alignment horizontal="right" vertical="center" wrapText="1"/>
    </xf>
    <xf numFmtId="182" fontId="64" fillId="0" borderId="48" xfId="34" applyNumberFormat="1" applyFont="1" applyBorder="1" applyAlignment="1">
      <alignment horizontal="right" vertical="center" wrapText="1"/>
    </xf>
    <xf numFmtId="182" fontId="64" fillId="49" borderId="53" xfId="56" applyNumberFormat="1" applyFont="1" applyFill="1" applyBorder="1" applyAlignment="1">
      <alignment horizontal="center" vertical="center"/>
    </xf>
    <xf numFmtId="182" fontId="60" fillId="49" borderId="17" xfId="34" applyNumberFormat="1" applyFont="1" applyFill="1" applyBorder="1" applyAlignment="1">
      <alignment horizontal="right" vertical="center"/>
    </xf>
    <xf numFmtId="4" fontId="46" fillId="0" borderId="2" xfId="56" applyNumberFormat="1" applyFont="1" applyBorder="1" applyAlignment="1">
      <alignment horizontal="left" vertical="center"/>
    </xf>
    <xf numFmtId="4" fontId="46" fillId="0" borderId="0" xfId="56" applyNumberFormat="1" applyFont="1" applyBorder="1" applyAlignment="1">
      <alignment horizontal="left" vertical="center"/>
    </xf>
    <xf numFmtId="4" fontId="60" fillId="0" borderId="38" xfId="56" applyNumberFormat="1" applyFont="1" applyFill="1" applyBorder="1" applyAlignment="1">
      <alignment horizontal="right" vertical="center" wrapText="1"/>
    </xf>
    <xf numFmtId="175" fontId="3" fillId="0" borderId="0" xfId="56" applyNumberFormat="1" applyFont="1"/>
    <xf numFmtId="165" fontId="5" fillId="0" borderId="0" xfId="34" applyFont="1" applyFill="1" applyAlignment="1">
      <alignment vertical="center"/>
    </xf>
    <xf numFmtId="165" fontId="1" fillId="0" borderId="0" xfId="34" applyFont="1" applyFill="1" applyAlignment="1">
      <alignment vertical="center"/>
    </xf>
    <xf numFmtId="165" fontId="1" fillId="0" borderId="0" xfId="34" applyFont="1" applyAlignment="1">
      <alignment horizontal="right" vertical="center"/>
    </xf>
    <xf numFmtId="4" fontId="1" fillId="0" borderId="0" xfId="56" applyNumberFormat="1" applyFill="1" applyAlignment="1">
      <alignment vertical="center"/>
    </xf>
    <xf numFmtId="4" fontId="1" fillId="0" borderId="0" xfId="56" applyNumberFormat="1" applyFill="1" applyAlignment="1">
      <alignment horizontal="right" vertical="center"/>
    </xf>
    <xf numFmtId="43" fontId="1" fillId="0" borderId="0" xfId="56" applyNumberFormat="1" applyAlignment="1">
      <alignment horizontal="left" vertical="top"/>
    </xf>
    <xf numFmtId="3" fontId="5" fillId="0" borderId="0" xfId="56" applyNumberFormat="1" applyFont="1" applyFill="1"/>
    <xf numFmtId="10" fontId="44" fillId="49" borderId="0" xfId="59" applyNumberFormat="1" applyFont="1" applyFill="1" applyBorder="1"/>
    <xf numFmtId="0" fontId="14" fillId="40" borderId="9" xfId="0" applyFont="1" applyFill="1" applyBorder="1" applyAlignment="1">
      <alignment horizontal="center" vertical="center" wrapText="1"/>
    </xf>
    <xf numFmtId="165" fontId="1" fillId="0" borderId="0" xfId="34" applyFont="1" applyFill="1" applyAlignment="1">
      <alignment horizontal="right" vertical="center"/>
    </xf>
    <xf numFmtId="165" fontId="1" fillId="0" borderId="0" xfId="34" applyFont="1" applyAlignment="1">
      <alignment vertical="center"/>
    </xf>
    <xf numFmtId="4" fontId="45" fillId="0" borderId="12" xfId="56" applyNumberFormat="1" applyFont="1" applyFill="1" applyBorder="1" applyAlignment="1">
      <alignment wrapText="1"/>
    </xf>
    <xf numFmtId="175" fontId="47" fillId="40" borderId="0" xfId="44" applyNumberFormat="1" applyFont="1" applyFill="1" applyBorder="1" applyAlignment="1">
      <alignment vertical="center"/>
    </xf>
    <xf numFmtId="175" fontId="5" fillId="51" borderId="0" xfId="44" applyNumberFormat="1" applyFont="1" applyFill="1"/>
    <xf numFmtId="4" fontId="46" fillId="0" borderId="2" xfId="56" applyNumberFormat="1" applyFont="1" applyBorder="1" applyAlignment="1">
      <alignment horizontal="left" vertical="center"/>
    </xf>
    <xf numFmtId="4" fontId="46" fillId="0" borderId="0" xfId="56" applyNumberFormat="1" applyFont="1" applyBorder="1" applyAlignment="1">
      <alignment horizontal="left" vertical="center"/>
    </xf>
    <xf numFmtId="167" fontId="75" fillId="0" borderId="0" xfId="33" applyFont="1"/>
    <xf numFmtId="4" fontId="46" fillId="0" borderId="2" xfId="56" applyNumberFormat="1" applyFont="1" applyBorder="1" applyAlignment="1">
      <alignment horizontal="left" vertical="center"/>
    </xf>
    <xf numFmtId="4" fontId="46" fillId="0" borderId="0" xfId="56" applyNumberFormat="1" applyFont="1" applyBorder="1" applyAlignment="1">
      <alignment horizontal="left" vertical="center"/>
    </xf>
    <xf numFmtId="173" fontId="71" fillId="49" borderId="0" xfId="33" applyNumberFormat="1" applyFont="1" applyFill="1" applyBorder="1" applyAlignment="1">
      <alignment horizontal="center" vertical="center"/>
    </xf>
    <xf numFmtId="175" fontId="1" fillId="0" borderId="30" xfId="44" applyNumberFormat="1" applyFont="1" applyFill="1" applyBorder="1" applyAlignment="1">
      <alignment horizontal="right" vertical="center"/>
    </xf>
    <xf numFmtId="0" fontId="5" fillId="0" borderId="28" xfId="56" applyFont="1" applyBorder="1" applyAlignment="1">
      <alignment horizontal="left"/>
    </xf>
    <xf numFmtId="166" fontId="5" fillId="0" borderId="18" xfId="44" applyNumberFormat="1" applyFont="1" applyFill="1" applyBorder="1" applyAlignment="1">
      <alignment horizontal="right" vertical="center"/>
    </xf>
    <xf numFmtId="175" fontId="5" fillId="0" borderId="19" xfId="44" applyNumberFormat="1" applyFont="1" applyFill="1" applyBorder="1" applyAlignment="1">
      <alignment horizontal="right" vertical="center"/>
    </xf>
    <xf numFmtId="165" fontId="5" fillId="0" borderId="0" xfId="34" applyFont="1" applyAlignment="1">
      <alignment horizontal="left" vertical="center"/>
    </xf>
    <xf numFmtId="165" fontId="5" fillId="0" borderId="0" xfId="34" applyFont="1" applyAlignment="1">
      <alignment vertical="center"/>
    </xf>
    <xf numFmtId="165" fontId="1" fillId="0" borderId="0" xfId="34" applyFont="1" applyBorder="1" applyAlignment="1">
      <alignment vertical="center"/>
    </xf>
    <xf numFmtId="179" fontId="1" fillId="0" borderId="0" xfId="56" applyNumberFormat="1" applyAlignment="1">
      <alignment vertical="center"/>
    </xf>
    <xf numFmtId="165" fontId="28" fillId="0" borderId="0" xfId="34" applyFont="1" applyFill="1" applyBorder="1"/>
    <xf numFmtId="43" fontId="1" fillId="0" borderId="0" xfId="56" applyNumberFormat="1" applyAlignment="1">
      <alignment vertical="center"/>
    </xf>
    <xf numFmtId="165" fontId="75" fillId="0" borderId="0" xfId="34" applyFont="1" applyFill="1"/>
    <xf numFmtId="165" fontId="48" fillId="0" borderId="0" xfId="0" applyNumberFormat="1" applyFont="1"/>
    <xf numFmtId="165" fontId="1" fillId="0" borderId="0" xfId="56" applyNumberFormat="1" applyAlignment="1">
      <alignment vertical="center"/>
    </xf>
    <xf numFmtId="165" fontId="1" fillId="0" borderId="7" xfId="34" applyFont="1" applyBorder="1"/>
    <xf numFmtId="4" fontId="46" fillId="0" borderId="2" xfId="56" applyNumberFormat="1" applyFont="1" applyBorder="1" applyAlignment="1">
      <alignment horizontal="left" vertical="center"/>
    </xf>
    <xf numFmtId="4" fontId="46" fillId="0" borderId="0" xfId="56" applyNumberFormat="1" applyFont="1" applyBorder="1" applyAlignment="1">
      <alignment horizontal="left" vertical="center"/>
    </xf>
    <xf numFmtId="167" fontId="60" fillId="0" borderId="7" xfId="33" applyNumberFormat="1" applyFont="1" applyFill="1" applyBorder="1" applyAlignment="1">
      <alignment horizontal="right" vertical="center"/>
    </xf>
    <xf numFmtId="4" fontId="46" fillId="0" borderId="2" xfId="56" applyNumberFormat="1" applyFont="1" applyBorder="1" applyAlignment="1">
      <alignment horizontal="left" vertical="center"/>
    </xf>
    <xf numFmtId="4" fontId="46" fillId="0" borderId="0" xfId="56" applyNumberFormat="1" applyFont="1" applyBorder="1" applyAlignment="1">
      <alignment horizontal="left" vertical="center"/>
    </xf>
    <xf numFmtId="164" fontId="15" fillId="0" borderId="53" xfId="45" applyFont="1" applyFill="1" applyBorder="1"/>
    <xf numFmtId="175" fontId="1" fillId="0" borderId="61" xfId="44" applyNumberFormat="1" applyFont="1" applyFill="1" applyBorder="1" applyAlignment="1">
      <alignment horizontal="right" vertical="center"/>
    </xf>
    <xf numFmtId="3" fontId="60" fillId="0" borderId="48" xfId="56" applyNumberFormat="1" applyFont="1" applyFill="1" applyBorder="1" applyAlignment="1">
      <alignment horizontal="right" vertical="center" wrapText="1"/>
    </xf>
    <xf numFmtId="164" fontId="1" fillId="0" borderId="0" xfId="56" applyNumberFormat="1" applyFill="1"/>
    <xf numFmtId="9" fontId="67" fillId="0" borderId="30" xfId="44" applyNumberFormat="1" applyFont="1" applyBorder="1" applyAlignment="1">
      <alignment horizontal="center"/>
    </xf>
    <xf numFmtId="3" fontId="67" fillId="0" borderId="7" xfId="48" applyNumberFormat="1" applyFont="1" applyBorder="1" applyAlignment="1">
      <alignment horizontal="right" vertical="center"/>
    </xf>
    <xf numFmtId="165" fontId="1" fillId="47" borderId="0" xfId="34" applyFont="1" applyFill="1" applyAlignment="1">
      <alignment horizontal="right" vertical="center"/>
    </xf>
    <xf numFmtId="3" fontId="1" fillId="37" borderId="0" xfId="56" applyNumberFormat="1" applyFill="1" applyAlignment="1">
      <alignment vertical="center"/>
    </xf>
    <xf numFmtId="4" fontId="76" fillId="0" borderId="0" xfId="56" applyNumberFormat="1" applyFont="1"/>
    <xf numFmtId="4" fontId="46" fillId="0" borderId="2" xfId="56" applyNumberFormat="1" applyFont="1" applyBorder="1" applyAlignment="1">
      <alignment horizontal="left" vertical="center"/>
    </xf>
    <xf numFmtId="4" fontId="46" fillId="0" borderId="0" xfId="56" applyNumberFormat="1" applyFont="1" applyBorder="1" applyAlignment="1">
      <alignment horizontal="left" vertical="center"/>
    </xf>
    <xf numFmtId="0" fontId="14" fillId="0" borderId="0" xfId="0" applyFont="1" applyFill="1" applyBorder="1" applyAlignment="1">
      <alignment horizontal="left" vertical="center" wrapText="1"/>
    </xf>
    <xf numFmtId="4" fontId="14" fillId="0" borderId="0" xfId="39" applyNumberFormat="1" applyFont="1" applyFill="1" applyBorder="1" applyAlignment="1">
      <alignment vertical="center"/>
    </xf>
    <xf numFmtId="1" fontId="13" fillId="0" borderId="0" xfId="0" applyNumberFormat="1" applyFont="1" applyFill="1" applyAlignment="1">
      <alignment horizontal="left" vertical="center" wrapText="1"/>
    </xf>
    <xf numFmtId="164" fontId="0" fillId="0" borderId="7" xfId="45" applyFont="1" applyFill="1" applyBorder="1"/>
    <xf numFmtId="164" fontId="1" fillId="0" borderId="7" xfId="45" applyFont="1" applyFill="1" applyBorder="1"/>
    <xf numFmtId="4" fontId="46" fillId="0" borderId="2" xfId="56" applyNumberFormat="1" applyFont="1" applyBorder="1" applyAlignment="1">
      <alignment horizontal="left" vertical="center"/>
    </xf>
    <xf numFmtId="4" fontId="46" fillId="0" borderId="0" xfId="56" applyNumberFormat="1" applyFont="1" applyBorder="1" applyAlignment="1">
      <alignment horizontal="left" vertical="center"/>
    </xf>
    <xf numFmtId="4" fontId="46" fillId="0" borderId="2" xfId="56" applyNumberFormat="1" applyFont="1" applyBorder="1" applyAlignment="1">
      <alignment horizontal="left" vertical="center"/>
    </xf>
    <xf numFmtId="4" fontId="46" fillId="0" borderId="0" xfId="56" applyNumberFormat="1" applyFont="1" applyBorder="1" applyAlignment="1">
      <alignment horizontal="left" vertical="center"/>
    </xf>
    <xf numFmtId="4" fontId="46" fillId="0" borderId="2" xfId="56" applyNumberFormat="1" applyFont="1" applyBorder="1" applyAlignment="1">
      <alignment horizontal="left" vertical="center"/>
    </xf>
    <xf numFmtId="4" fontId="46" fillId="0" borderId="0" xfId="56" applyNumberFormat="1" applyFont="1" applyBorder="1" applyAlignment="1">
      <alignment horizontal="left" vertical="center"/>
    </xf>
    <xf numFmtId="4" fontId="46" fillId="0" borderId="2" xfId="56" applyNumberFormat="1" applyFont="1" applyBorder="1" applyAlignment="1">
      <alignment horizontal="left" vertical="center"/>
    </xf>
    <xf numFmtId="4" fontId="46" fillId="0" borderId="0" xfId="56" applyNumberFormat="1" applyFont="1" applyBorder="1" applyAlignment="1">
      <alignment horizontal="left" vertical="center"/>
    </xf>
    <xf numFmtId="4" fontId="46" fillId="0" borderId="2" xfId="56" applyNumberFormat="1" applyFont="1" applyBorder="1" applyAlignment="1">
      <alignment horizontal="left" vertical="center"/>
    </xf>
    <xf numFmtId="4" fontId="46" fillId="0" borderId="0" xfId="56" applyNumberFormat="1" applyFont="1" applyBorder="1" applyAlignment="1">
      <alignment horizontal="left" vertical="center"/>
    </xf>
    <xf numFmtId="4" fontId="46" fillId="53" borderId="0" xfId="56" applyNumberFormat="1" applyFont="1" applyFill="1"/>
    <xf numFmtId="4" fontId="46" fillId="54" borderId="0" xfId="56" applyNumberFormat="1" applyFont="1" applyFill="1"/>
    <xf numFmtId="0" fontId="68" fillId="49" borderId="0" xfId="0" applyFont="1" applyFill="1" applyBorder="1" applyAlignment="1">
      <alignment horizontal="center" vertical="center"/>
    </xf>
    <xf numFmtId="0" fontId="13" fillId="0" borderId="0" xfId="0" applyFont="1" applyFill="1" applyAlignment="1">
      <alignment vertical="center" wrapText="1"/>
    </xf>
    <xf numFmtId="17" fontId="1" fillId="0" borderId="0" xfId="56" applyNumberFormat="1" applyFill="1" applyAlignment="1">
      <alignment horizontal="left"/>
    </xf>
    <xf numFmtId="4" fontId="46" fillId="0" borderId="0" xfId="56" applyNumberFormat="1" applyFont="1" applyAlignment="1">
      <alignment wrapText="1"/>
    </xf>
    <xf numFmtId="4" fontId="2" fillId="0" borderId="0" xfId="0" applyNumberFormat="1" applyFont="1" applyFill="1" applyBorder="1" applyAlignment="1">
      <alignment horizontal="left" vertical="center"/>
    </xf>
    <xf numFmtId="4" fontId="2" fillId="0" borderId="0" xfId="0" applyNumberFormat="1" applyFont="1" applyFill="1" applyBorder="1" applyAlignment="1">
      <alignment vertical="center"/>
    </xf>
    <xf numFmtId="3" fontId="2" fillId="0" borderId="0" xfId="44" applyNumberFormat="1" applyFont="1" applyFill="1" applyBorder="1" applyAlignment="1">
      <alignment horizontal="right" vertical="center"/>
    </xf>
    <xf numFmtId="0" fontId="64" fillId="49" borderId="90" xfId="56" applyFont="1" applyFill="1" applyBorder="1" applyAlignment="1">
      <alignment vertical="center"/>
    </xf>
    <xf numFmtId="0" fontId="64" fillId="49" borderId="88" xfId="56" applyFont="1" applyFill="1" applyBorder="1" applyAlignment="1">
      <alignment vertical="center"/>
    </xf>
    <xf numFmtId="4" fontId="46" fillId="0" borderId="2" xfId="56" applyNumberFormat="1" applyFont="1" applyBorder="1" applyAlignment="1">
      <alignment horizontal="left" vertical="center"/>
    </xf>
    <xf numFmtId="182" fontId="28" fillId="49" borderId="7" xfId="34" applyNumberFormat="1" applyFont="1" applyFill="1" applyBorder="1"/>
    <xf numFmtId="182" fontId="44" fillId="49" borderId="7" xfId="34" applyNumberFormat="1" applyFont="1" applyFill="1" applyBorder="1"/>
    <xf numFmtId="182" fontId="44" fillId="49" borderId="0" xfId="34" applyNumberFormat="1" applyFont="1" applyFill="1" applyBorder="1"/>
    <xf numFmtId="4" fontId="46" fillId="0" borderId="2" xfId="56" applyNumberFormat="1" applyFont="1" applyBorder="1" applyAlignment="1">
      <alignment horizontal="left" vertical="center"/>
    </xf>
    <xf numFmtId="4" fontId="46" fillId="0" borderId="0" xfId="56" applyNumberFormat="1" applyFont="1" applyBorder="1" applyAlignment="1">
      <alignment horizontal="left" vertical="center"/>
    </xf>
    <xf numFmtId="0" fontId="48" fillId="0" borderId="7" xfId="0" applyFont="1" applyBorder="1" applyAlignment="1">
      <alignment horizontal="left" vertical="center" wrapText="1"/>
    </xf>
    <xf numFmtId="3" fontId="75" fillId="0" borderId="0" xfId="0" applyNumberFormat="1" applyFont="1"/>
    <xf numFmtId="40" fontId="24" fillId="0" borderId="0" xfId="0" applyNumberFormat="1" applyFont="1" applyAlignment="1">
      <alignment vertical="center"/>
    </xf>
    <xf numFmtId="0" fontId="79" fillId="0" borderId="0" xfId="0" applyFont="1" applyAlignment="1">
      <alignment vertical="center" wrapText="1"/>
    </xf>
    <xf numFmtId="0" fontId="79" fillId="0" borderId="3" xfId="0" applyFont="1" applyBorder="1" applyAlignment="1">
      <alignment vertical="center" wrapText="1"/>
    </xf>
    <xf numFmtId="0" fontId="79" fillId="0" borderId="0" xfId="0" applyFont="1" applyAlignment="1">
      <alignment horizontal="left" vertical="center" wrapText="1"/>
    </xf>
    <xf numFmtId="0" fontId="79" fillId="0" borderId="0" xfId="0" applyFont="1" applyAlignment="1">
      <alignment horizontal="center" vertical="center"/>
    </xf>
    <xf numFmtId="175" fontId="2" fillId="49" borderId="0" xfId="44" applyNumberFormat="1" applyFont="1" applyFill="1" applyBorder="1" applyAlignment="1">
      <alignment horizontal="center" vertical="center"/>
    </xf>
    <xf numFmtId="175" fontId="2" fillId="49" borderId="0" xfId="0" applyNumberFormat="1" applyFont="1" applyFill="1" applyAlignment="1">
      <alignment horizontal="center" vertical="center"/>
    </xf>
    <xf numFmtId="173" fontId="2" fillId="49" borderId="0" xfId="33" applyNumberFormat="1" applyFont="1" applyFill="1" applyBorder="1" applyAlignment="1">
      <alignment horizontal="center" vertical="center"/>
    </xf>
    <xf numFmtId="175" fontId="3" fillId="49" borderId="0" xfId="44" applyNumberFormat="1" applyFont="1" applyFill="1" applyBorder="1" applyAlignment="1">
      <alignment horizontal="center" vertical="center"/>
    </xf>
    <xf numFmtId="44" fontId="13" fillId="49" borderId="0" xfId="0" applyNumberFormat="1" applyFont="1" applyFill="1" applyBorder="1"/>
    <xf numFmtId="175" fontId="2" fillId="0" borderId="0" xfId="0" applyNumberFormat="1" applyFont="1" applyAlignment="1">
      <alignment horizontal="center" vertical="center"/>
    </xf>
    <xf numFmtId="166" fontId="2" fillId="49" borderId="0" xfId="0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44" fontId="2" fillId="0" borderId="0" xfId="0" applyNumberFormat="1" applyFont="1" applyFill="1" applyAlignment="1">
      <alignment horizontal="center" vertical="center"/>
    </xf>
    <xf numFmtId="175" fontId="2" fillId="0" borderId="0" xfId="0" applyNumberFormat="1" applyFont="1" applyFill="1" applyAlignment="1">
      <alignment horizontal="center" vertical="center"/>
    </xf>
    <xf numFmtId="166" fontId="2" fillId="0" borderId="0" xfId="44" applyFont="1" applyFill="1" applyBorder="1" applyAlignment="1">
      <alignment horizontal="center" vertical="center"/>
    </xf>
    <xf numFmtId="0" fontId="2" fillId="49" borderId="0" xfId="0" applyFont="1" applyFill="1" applyAlignment="1">
      <alignment horizontal="center" vertical="center"/>
    </xf>
    <xf numFmtId="181" fontId="2" fillId="49" borderId="0" xfId="0" applyNumberFormat="1" applyFont="1" applyFill="1" applyAlignment="1">
      <alignment horizontal="center" vertical="center"/>
    </xf>
    <xf numFmtId="44" fontId="2" fillId="49" borderId="0" xfId="0" applyNumberFormat="1" applyFont="1" applyFill="1" applyAlignment="1">
      <alignment horizontal="center" vertical="center"/>
    </xf>
    <xf numFmtId="173" fontId="2" fillId="49" borderId="0" xfId="33" applyNumberFormat="1" applyFont="1" applyFill="1" applyAlignment="1">
      <alignment horizontal="center" vertical="center"/>
    </xf>
    <xf numFmtId="14" fontId="13" fillId="0" borderId="7" xfId="0" applyNumberFormat="1" applyFont="1" applyFill="1" applyBorder="1" applyAlignment="1">
      <alignment horizontal="center" vertical="center"/>
    </xf>
    <xf numFmtId="176" fontId="62" fillId="0" borderId="7" xfId="33" applyNumberFormat="1" applyFont="1" applyFill="1" applyBorder="1" applyAlignment="1">
      <alignment vertical="center"/>
    </xf>
    <xf numFmtId="0" fontId="62" fillId="0" borderId="7" xfId="0" applyFont="1" applyFill="1" applyBorder="1" applyAlignment="1">
      <alignment horizontal="left" vertical="center" wrapText="1"/>
    </xf>
    <xf numFmtId="0" fontId="72" fillId="0" borderId="7" xfId="0" applyFont="1" applyFill="1" applyBorder="1" applyAlignment="1">
      <alignment horizontal="left" vertical="center" wrapText="1"/>
    </xf>
    <xf numFmtId="175" fontId="62" fillId="0" borderId="7" xfId="44" applyNumberFormat="1" applyFont="1" applyFill="1" applyBorder="1" applyAlignment="1">
      <alignment horizontal="right" vertical="center"/>
    </xf>
    <xf numFmtId="0" fontId="80" fillId="0" borderId="0" xfId="0" applyFont="1"/>
    <xf numFmtId="175" fontId="81" fillId="0" borderId="0" xfId="44" applyNumberFormat="1" applyFont="1" applyFill="1" applyBorder="1" applyAlignment="1">
      <alignment horizontal="center" vertical="center"/>
    </xf>
    <xf numFmtId="0" fontId="81" fillId="0" borderId="0" xfId="0" applyFont="1" applyAlignment="1">
      <alignment horizontal="center" vertical="center"/>
    </xf>
    <xf numFmtId="175" fontId="81" fillId="0" borderId="0" xfId="0" applyNumberFormat="1" applyFont="1" applyAlignment="1">
      <alignment horizontal="center" vertical="center"/>
    </xf>
    <xf numFmtId="0" fontId="81" fillId="49" borderId="0" xfId="0" applyFont="1" applyFill="1" applyAlignment="1">
      <alignment horizontal="center" vertical="center"/>
    </xf>
    <xf numFmtId="175" fontId="81" fillId="0" borderId="0" xfId="0" applyNumberFormat="1" applyFont="1" applyFill="1" applyAlignment="1">
      <alignment horizontal="center" vertical="center"/>
    </xf>
    <xf numFmtId="173" fontId="81" fillId="0" borderId="0" xfId="33" applyNumberFormat="1" applyFont="1" applyFill="1" applyAlignment="1">
      <alignment horizontal="center" vertical="center"/>
    </xf>
    <xf numFmtId="166" fontId="81" fillId="0" borderId="0" xfId="44" applyFont="1" applyFill="1" applyAlignment="1">
      <alignment horizontal="center" vertical="center"/>
    </xf>
    <xf numFmtId="4" fontId="46" fillId="0" borderId="2" xfId="56" applyNumberFormat="1" applyFont="1" applyBorder="1" applyAlignment="1">
      <alignment horizontal="left" vertical="center"/>
    </xf>
    <xf numFmtId="4" fontId="46" fillId="0" borderId="0" xfId="56" applyNumberFormat="1" applyFont="1" applyBorder="1" applyAlignment="1">
      <alignment horizontal="left" vertical="center"/>
    </xf>
    <xf numFmtId="0" fontId="84" fillId="56" borderId="7" xfId="0" applyFont="1" applyFill="1" applyBorder="1" applyAlignment="1">
      <alignment horizontal="center" vertical="center" wrapText="1"/>
    </xf>
    <xf numFmtId="14" fontId="84" fillId="56" borderId="7" xfId="0" applyNumberFormat="1" applyFont="1" applyFill="1" applyBorder="1" applyAlignment="1">
      <alignment horizontal="center" vertical="center" wrapText="1"/>
    </xf>
    <xf numFmtId="44" fontId="84" fillId="56" borderId="7" xfId="49" applyFont="1" applyFill="1" applyBorder="1" applyAlignment="1">
      <alignment horizontal="center" vertical="center" wrapText="1"/>
    </xf>
    <xf numFmtId="42" fontId="84" fillId="56" borderId="7" xfId="46" applyFont="1" applyFill="1" applyBorder="1" applyAlignment="1">
      <alignment horizontal="center" vertical="center" wrapText="1"/>
    </xf>
    <xf numFmtId="0" fontId="48" fillId="0" borderId="7" xfId="0" applyFont="1" applyBorder="1"/>
    <xf numFmtId="0" fontId="48" fillId="0" borderId="7" xfId="0" applyFont="1" applyBorder="1" applyAlignment="1">
      <alignment horizontal="center"/>
    </xf>
    <xf numFmtId="0" fontId="48" fillId="0" borderId="7" xfId="0" applyFont="1" applyBorder="1" applyAlignment="1">
      <alignment horizontal="left"/>
    </xf>
    <xf numFmtId="49" fontId="48" fillId="0" borderId="7" xfId="0" applyNumberFormat="1" applyFont="1" applyBorder="1" applyAlignment="1">
      <alignment horizontal="center"/>
    </xf>
    <xf numFmtId="14" fontId="48" fillId="0" borderId="7" xfId="0" applyNumberFormat="1" applyFont="1" applyBorder="1" applyAlignment="1">
      <alignment horizontal="center"/>
    </xf>
    <xf numFmtId="44" fontId="48" fillId="0" borderId="7" xfId="49" applyFont="1" applyFill="1" applyBorder="1"/>
    <xf numFmtId="44" fontId="48" fillId="0" borderId="7" xfId="49" applyFont="1" applyFill="1" applyBorder="1" applyAlignment="1">
      <alignment horizontal="left"/>
    </xf>
    <xf numFmtId="44" fontId="48" fillId="0" borderId="7" xfId="49" applyFont="1" applyFill="1" applyBorder="1" applyAlignment="1">
      <alignment horizontal="center"/>
    </xf>
    <xf numFmtId="4" fontId="85" fillId="49" borderId="0" xfId="0" applyNumberFormat="1" applyFont="1" applyFill="1" applyAlignment="1"/>
    <xf numFmtId="1" fontId="2" fillId="0" borderId="35" xfId="0" applyNumberFormat="1" applyFont="1" applyBorder="1" applyAlignment="1"/>
    <xf numFmtId="44" fontId="68" fillId="49" borderId="0" xfId="0" applyNumberFormat="1" applyFont="1" applyFill="1" applyBorder="1" applyAlignment="1">
      <alignment horizontal="center" vertical="center" wrapText="1"/>
    </xf>
    <xf numFmtId="175" fontId="68" fillId="49" borderId="0" xfId="0" applyNumberFormat="1" applyFont="1" applyFill="1" applyBorder="1" applyAlignment="1">
      <alignment horizontal="center" vertical="center"/>
    </xf>
    <xf numFmtId="44" fontId="68" fillId="49" borderId="0" xfId="0" applyNumberFormat="1" applyFont="1" applyFill="1" applyBorder="1" applyAlignment="1">
      <alignment horizontal="center" vertical="center"/>
    </xf>
    <xf numFmtId="0" fontId="68" fillId="0" borderId="0" xfId="0" applyFont="1" applyFill="1" applyAlignment="1">
      <alignment horizontal="center" vertical="center"/>
    </xf>
    <xf numFmtId="44" fontId="68" fillId="0" borderId="0" xfId="0" applyNumberFormat="1" applyFont="1" applyFill="1" applyAlignment="1">
      <alignment horizontal="center" vertical="center"/>
    </xf>
    <xf numFmtId="4" fontId="46" fillId="0" borderId="2" xfId="56" applyNumberFormat="1" applyFont="1" applyBorder="1" applyAlignment="1">
      <alignment horizontal="left" vertical="center"/>
    </xf>
    <xf numFmtId="4" fontId="46" fillId="0" borderId="0" xfId="56" applyNumberFormat="1" applyFont="1" applyBorder="1" applyAlignment="1">
      <alignment horizontal="left" vertical="center"/>
    </xf>
    <xf numFmtId="4" fontId="46" fillId="0" borderId="2" xfId="56" applyNumberFormat="1" applyFont="1" applyBorder="1" applyAlignment="1">
      <alignment horizontal="left" vertical="center"/>
    </xf>
    <xf numFmtId="4" fontId="46" fillId="0" borderId="0" xfId="56" applyNumberFormat="1" applyFont="1" applyBorder="1" applyAlignment="1">
      <alignment horizontal="left" vertical="center"/>
    </xf>
    <xf numFmtId="0" fontId="0" fillId="0" borderId="0" xfId="0" applyBorder="1"/>
    <xf numFmtId="14" fontId="0" fillId="0" borderId="0" xfId="0" applyNumberFormat="1" applyBorder="1"/>
    <xf numFmtId="164" fontId="1" fillId="0" borderId="0" xfId="45" applyFont="1" applyFill="1" applyBorder="1"/>
    <xf numFmtId="166" fontId="55" fillId="0" borderId="0" xfId="56" applyNumberFormat="1" applyFont="1" applyFill="1"/>
    <xf numFmtId="173" fontId="75" fillId="0" borderId="0" xfId="56" applyNumberFormat="1" applyFont="1"/>
    <xf numFmtId="42" fontId="48" fillId="0" borderId="7" xfId="46" applyFont="1" applyBorder="1" applyAlignment="1">
      <alignment horizontal="center"/>
    </xf>
    <xf numFmtId="4" fontId="46" fillId="0" borderId="2" xfId="56" applyNumberFormat="1" applyFont="1" applyBorder="1" applyAlignment="1">
      <alignment horizontal="left" vertical="center"/>
    </xf>
    <xf numFmtId="4" fontId="46" fillId="0" borderId="0" xfId="56" applyNumberFormat="1" applyFont="1" applyBorder="1" applyAlignment="1">
      <alignment horizontal="left" vertical="center"/>
    </xf>
    <xf numFmtId="1" fontId="67" fillId="0" borderId="11" xfId="0" applyNumberFormat="1" applyFont="1" applyBorder="1" applyAlignment="1">
      <alignment vertical="center" wrapText="1"/>
    </xf>
    <xf numFmtId="0" fontId="25" fillId="0" borderId="0" xfId="0" applyFont="1" applyFill="1" applyBorder="1" applyAlignment="1">
      <alignment horizontal="center" vertical="center" wrapText="1"/>
    </xf>
    <xf numFmtId="0" fontId="25" fillId="0" borderId="0" xfId="0" applyFont="1" applyFill="1" applyBorder="1" applyAlignment="1">
      <alignment horizontal="center" vertical="center"/>
    </xf>
    <xf numFmtId="165" fontId="86" fillId="0" borderId="0" xfId="34" applyFont="1" applyBorder="1"/>
    <xf numFmtId="14" fontId="25" fillId="0" borderId="0" xfId="0" applyNumberFormat="1" applyFont="1" applyFill="1" applyBorder="1" applyAlignment="1">
      <alignment horizontal="center" vertical="center" wrapText="1"/>
    </xf>
    <xf numFmtId="167" fontId="75" fillId="0" borderId="0" xfId="33" applyFont="1" applyFill="1" applyBorder="1"/>
    <xf numFmtId="166" fontId="0" fillId="49" borderId="0" xfId="0" applyNumberFormat="1" applyFill="1"/>
    <xf numFmtId="3" fontId="5" fillId="37" borderId="0" xfId="56" applyNumberFormat="1" applyFont="1" applyFill="1" applyAlignment="1">
      <alignment vertical="center"/>
    </xf>
    <xf numFmtId="165" fontId="5" fillId="55" borderId="0" xfId="34" applyFont="1" applyFill="1" applyAlignment="1">
      <alignment horizontal="left"/>
    </xf>
    <xf numFmtId="4" fontId="68" fillId="0" borderId="0" xfId="0" applyNumberFormat="1" applyFont="1" applyFill="1" applyAlignment="1">
      <alignment horizontal="center" vertical="center"/>
    </xf>
    <xf numFmtId="3" fontId="67" fillId="0" borderId="7" xfId="48" applyNumberFormat="1" applyFont="1" applyFill="1" applyBorder="1" applyAlignment="1">
      <alignment horizontal="right" vertical="center"/>
    </xf>
    <xf numFmtId="9" fontId="67" fillId="0" borderId="7" xfId="60" applyFont="1" applyFill="1" applyBorder="1" applyAlignment="1">
      <alignment horizontal="center" vertical="center"/>
    </xf>
    <xf numFmtId="9" fontId="67" fillId="0" borderId="7" xfId="60" applyFont="1" applyFill="1" applyBorder="1" applyAlignment="1">
      <alignment horizontal="center" vertical="center" wrapText="1"/>
    </xf>
    <xf numFmtId="3" fontId="84" fillId="0" borderId="0" xfId="0" applyNumberFormat="1" applyFont="1" applyAlignment="1">
      <alignment horizontal="center" vertical="center"/>
    </xf>
    <xf numFmtId="40" fontId="84" fillId="0" borderId="0" xfId="0" applyNumberFormat="1" applyFont="1" applyAlignment="1">
      <alignment vertical="center"/>
    </xf>
    <xf numFmtId="4" fontId="46" fillId="0" borderId="2" xfId="56" applyNumberFormat="1" applyFont="1" applyBorder="1" applyAlignment="1">
      <alignment horizontal="left" vertical="center"/>
    </xf>
    <xf numFmtId="4" fontId="46" fillId="0" borderId="0" xfId="56" applyNumberFormat="1" applyFont="1" applyBorder="1" applyAlignment="1">
      <alignment horizontal="left" vertical="center"/>
    </xf>
    <xf numFmtId="4" fontId="46" fillId="0" borderId="2" xfId="56" applyNumberFormat="1" applyFont="1" applyBorder="1"/>
    <xf numFmtId="14" fontId="87" fillId="49" borderId="0" xfId="0" applyNumberFormat="1" applyFont="1" applyFill="1" applyBorder="1" applyAlignment="1">
      <alignment horizontal="center" vertical="center" wrapText="1"/>
    </xf>
    <xf numFmtId="0" fontId="87" fillId="49" borderId="0" xfId="0" applyFont="1" applyFill="1" applyBorder="1" applyAlignment="1">
      <alignment horizontal="center" vertical="center" wrapText="1"/>
    </xf>
    <xf numFmtId="0" fontId="87" fillId="49" borderId="0" xfId="0" applyFont="1" applyFill="1" applyBorder="1" applyAlignment="1">
      <alignment horizontal="center" vertical="center"/>
    </xf>
    <xf numFmtId="165" fontId="88" fillId="49" borderId="0" xfId="34" applyFont="1" applyFill="1" applyBorder="1"/>
    <xf numFmtId="0" fontId="88" fillId="49" borderId="0" xfId="0" applyFont="1" applyFill="1" applyBorder="1"/>
    <xf numFmtId="44" fontId="81" fillId="49" borderId="0" xfId="0" applyNumberFormat="1" applyFont="1" applyFill="1" applyBorder="1" applyAlignment="1">
      <alignment horizontal="center" vertical="center"/>
    </xf>
    <xf numFmtId="0" fontId="0" fillId="49" borderId="0" xfId="0" applyFill="1" applyBorder="1"/>
    <xf numFmtId="3" fontId="3" fillId="0" borderId="0" xfId="0" applyNumberFormat="1" applyFont="1" applyAlignment="1">
      <alignment horizontal="left" vertical="center" wrapText="1"/>
    </xf>
    <xf numFmtId="4" fontId="46" fillId="0" borderId="2" xfId="56" applyNumberFormat="1" applyFont="1" applyBorder="1" applyAlignment="1">
      <alignment horizontal="left" vertical="center"/>
    </xf>
    <xf numFmtId="4" fontId="46" fillId="0" borderId="0" xfId="56" applyNumberFormat="1" applyFont="1" applyBorder="1" applyAlignment="1">
      <alignment horizontal="left" vertical="center"/>
    </xf>
    <xf numFmtId="4" fontId="46" fillId="0" borderId="2" xfId="56" applyNumberFormat="1" applyFont="1" applyBorder="1" applyAlignment="1">
      <alignment horizontal="left" vertical="center"/>
    </xf>
    <xf numFmtId="4" fontId="46" fillId="0" borderId="0" xfId="56" applyNumberFormat="1" applyFont="1" applyBorder="1" applyAlignment="1">
      <alignment horizontal="left" vertical="center"/>
    </xf>
    <xf numFmtId="4" fontId="67" fillId="0" borderId="0" xfId="0" applyNumberFormat="1" applyFont="1"/>
    <xf numFmtId="0" fontId="80" fillId="0" borderId="0" xfId="0" applyFont="1" applyFill="1"/>
    <xf numFmtId="3" fontId="80" fillId="0" borderId="0" xfId="0" applyNumberFormat="1" applyFont="1" applyFill="1"/>
    <xf numFmtId="175" fontId="82" fillId="0" borderId="0" xfId="0" applyNumberFormat="1" applyFont="1" applyFill="1" applyAlignment="1">
      <alignment horizontal="left" vertical="center"/>
    </xf>
    <xf numFmtId="175" fontId="82" fillId="0" borderId="0" xfId="0" applyNumberFormat="1" applyFont="1" applyFill="1" applyAlignment="1">
      <alignment horizontal="center" vertical="center"/>
    </xf>
    <xf numFmtId="175" fontId="83" fillId="0" borderId="0" xfId="0" applyNumberFormat="1" applyFont="1" applyFill="1"/>
    <xf numFmtId="3" fontId="5" fillId="47" borderId="0" xfId="56" applyNumberFormat="1" applyFont="1" applyFill="1" applyAlignment="1">
      <alignment vertical="center"/>
    </xf>
    <xf numFmtId="1" fontId="67" fillId="0" borderId="11" xfId="0" applyNumberFormat="1" applyFont="1" applyFill="1" applyBorder="1" applyAlignment="1">
      <alignment vertical="center" wrapText="1"/>
    </xf>
    <xf numFmtId="1" fontId="67" fillId="0" borderId="7" xfId="0" applyNumberFormat="1" applyFont="1" applyFill="1" applyBorder="1" applyAlignment="1">
      <alignment vertical="center" wrapText="1"/>
    </xf>
    <xf numFmtId="3" fontId="67" fillId="0" borderId="7" xfId="0" applyNumberFormat="1" applyFont="1" applyFill="1" applyBorder="1" applyAlignment="1">
      <alignment vertical="center"/>
    </xf>
    <xf numFmtId="1" fontId="67" fillId="0" borderId="7" xfId="0" applyNumberFormat="1" applyFont="1" applyBorder="1" applyAlignment="1">
      <alignment vertical="center" wrapText="1"/>
    </xf>
    <xf numFmtId="4" fontId="46" fillId="0" borderId="2" xfId="56" applyNumberFormat="1" applyFont="1" applyFill="1" applyBorder="1" applyAlignment="1">
      <alignment horizontal="left" vertical="center"/>
    </xf>
    <xf numFmtId="4" fontId="46" fillId="0" borderId="0" xfId="56" applyNumberFormat="1" applyFont="1" applyFill="1" applyBorder="1" applyAlignment="1">
      <alignment horizontal="left" vertical="center"/>
    </xf>
    <xf numFmtId="3" fontId="13" fillId="0" borderId="38" xfId="48" applyNumberFormat="1" applyFont="1" applyFill="1" applyBorder="1" applyAlignment="1">
      <alignment horizontal="right" vertical="center"/>
    </xf>
    <xf numFmtId="3" fontId="13" fillId="0" borderId="60" xfId="48" applyNumberFormat="1" applyFont="1" applyFill="1" applyBorder="1" applyAlignment="1">
      <alignment horizontal="right" vertical="center"/>
    </xf>
    <xf numFmtId="3" fontId="13" fillId="0" borderId="31" xfId="48" applyNumberFormat="1" applyFont="1" applyFill="1" applyBorder="1" applyAlignment="1">
      <alignment horizontal="right" vertical="center"/>
    </xf>
    <xf numFmtId="0" fontId="1" fillId="0" borderId="40" xfId="56" applyBorder="1"/>
    <xf numFmtId="14" fontId="0" fillId="0" borderId="0" xfId="0" applyNumberFormat="1" applyFill="1" applyBorder="1"/>
    <xf numFmtId="164" fontId="0" fillId="0" borderId="0" xfId="45" applyFont="1" applyFill="1" applyBorder="1"/>
    <xf numFmtId="3" fontId="5" fillId="48" borderId="0" xfId="56" applyNumberFormat="1" applyFont="1" applyFill="1" applyAlignment="1">
      <alignment vertical="center"/>
    </xf>
    <xf numFmtId="3" fontId="1" fillId="48" borderId="0" xfId="56" applyNumberFormat="1" applyFill="1" applyAlignment="1">
      <alignment vertical="center"/>
    </xf>
    <xf numFmtId="1" fontId="48" fillId="0" borderId="7" xfId="0" applyNumberFormat="1" applyFont="1" applyBorder="1" applyAlignment="1">
      <alignment horizontal="left" vertical="center" wrapText="1"/>
    </xf>
    <xf numFmtId="0" fontId="2" fillId="40" borderId="8" xfId="0" applyFont="1" applyFill="1" applyBorder="1" applyAlignment="1">
      <alignment horizontal="center" vertical="center" wrapText="1"/>
    </xf>
    <xf numFmtId="0" fontId="2" fillId="40" borderId="52" xfId="0" applyFont="1" applyFill="1" applyBorder="1" applyAlignment="1">
      <alignment horizontal="center" vertical="center" wrapText="1"/>
    </xf>
    <xf numFmtId="0" fontId="2" fillId="40" borderId="9" xfId="0" applyFont="1" applyFill="1" applyBorder="1" applyAlignment="1">
      <alignment horizontal="center" vertical="center" wrapText="1"/>
    </xf>
    <xf numFmtId="0" fontId="2" fillId="40" borderId="53" xfId="0" applyFont="1" applyFill="1" applyBorder="1" applyAlignment="1">
      <alignment horizontal="center" vertical="center" wrapText="1"/>
    </xf>
    <xf numFmtId="0" fontId="2" fillId="40" borderId="18" xfId="0" applyFont="1" applyFill="1" applyBorder="1" applyAlignment="1">
      <alignment horizontal="center" vertical="center" wrapText="1"/>
    </xf>
    <xf numFmtId="4" fontId="3" fillId="0" borderId="2" xfId="0" applyNumberFormat="1" applyFont="1" applyBorder="1" applyAlignment="1">
      <alignment horizontal="left" vertical="center"/>
    </xf>
    <xf numFmtId="4" fontId="3" fillId="0" borderId="0" xfId="0" applyNumberFormat="1" applyFont="1" applyAlignment="1">
      <alignment horizontal="left" vertical="center"/>
    </xf>
    <xf numFmtId="4" fontId="2" fillId="0" borderId="2" xfId="0" applyNumberFormat="1" applyFont="1" applyBorder="1" applyAlignment="1">
      <alignment horizontal="left" vertical="center"/>
    </xf>
    <xf numFmtId="4" fontId="2" fillId="0" borderId="0" xfId="0" applyNumberFormat="1" applyFont="1" applyAlignment="1">
      <alignment horizontal="left" vertical="center"/>
    </xf>
    <xf numFmtId="0" fontId="2" fillId="40" borderId="28" xfId="0" applyFont="1" applyFill="1" applyBorder="1" applyAlignment="1">
      <alignment horizontal="center" vertical="center" wrapText="1"/>
    </xf>
    <xf numFmtId="175" fontId="67" fillId="0" borderId="7" xfId="44" applyNumberFormat="1" applyFont="1" applyFill="1" applyBorder="1" applyAlignment="1">
      <alignment horizontal="center"/>
    </xf>
    <xf numFmtId="4" fontId="2" fillId="0" borderId="2" xfId="0" applyNumberFormat="1" applyFont="1" applyBorder="1" applyAlignment="1">
      <alignment vertical="center" wrapText="1"/>
    </xf>
    <xf numFmtId="4" fontId="2" fillId="0" borderId="0" xfId="0" applyNumberFormat="1" applyFont="1" applyAlignment="1">
      <alignment vertical="center" wrapText="1"/>
    </xf>
    <xf numFmtId="4" fontId="2" fillId="40" borderId="14" xfId="0" applyNumberFormat="1" applyFont="1" applyFill="1" applyBorder="1" applyAlignment="1">
      <alignment horizontal="left" vertical="center"/>
    </xf>
    <xf numFmtId="4" fontId="2" fillId="40" borderId="15" xfId="0" applyNumberFormat="1" applyFont="1" applyFill="1" applyBorder="1" applyAlignment="1">
      <alignment horizontal="left" vertical="center"/>
    </xf>
    <xf numFmtId="175" fontId="48" fillId="0" borderId="7" xfId="44" applyNumberFormat="1" applyFont="1" applyFill="1" applyBorder="1" applyAlignment="1">
      <alignment horizontal="center"/>
    </xf>
    <xf numFmtId="3" fontId="2" fillId="40" borderId="10" xfId="0" applyNumberFormat="1" applyFont="1" applyFill="1" applyBorder="1" applyAlignment="1">
      <alignment horizontal="center" vertical="center" wrapText="1"/>
    </xf>
    <xf numFmtId="3" fontId="2" fillId="40" borderId="19" xfId="0" applyNumberFormat="1" applyFont="1" applyFill="1" applyBorder="1" applyAlignment="1">
      <alignment horizontal="center" vertical="center" wrapText="1"/>
    </xf>
    <xf numFmtId="175" fontId="2" fillId="40" borderId="9" xfId="44" applyNumberFormat="1" applyFont="1" applyFill="1" applyBorder="1" applyAlignment="1">
      <alignment horizontal="center" vertical="center" wrapText="1"/>
    </xf>
    <xf numFmtId="175" fontId="2" fillId="40" borderId="18" xfId="44" applyNumberFormat="1" applyFont="1" applyFill="1" applyBorder="1" applyAlignment="1">
      <alignment horizontal="center" vertical="center" wrapText="1"/>
    </xf>
    <xf numFmtId="1" fontId="48" fillId="0" borderId="48" xfId="0" applyNumberFormat="1" applyFont="1" applyBorder="1" applyAlignment="1">
      <alignment horizontal="left" vertical="center" wrapText="1"/>
    </xf>
    <xf numFmtId="3" fontId="2" fillId="40" borderId="9" xfId="0" applyNumberFormat="1" applyFont="1" applyFill="1" applyBorder="1" applyAlignment="1">
      <alignment horizontal="center" vertical="center" wrapText="1"/>
    </xf>
    <xf numFmtId="3" fontId="2" fillId="40" borderId="18" xfId="0" applyNumberFormat="1" applyFont="1" applyFill="1" applyBorder="1" applyAlignment="1">
      <alignment horizontal="center" vertical="center" wrapText="1"/>
    </xf>
    <xf numFmtId="4" fontId="2" fillId="40" borderId="9" xfId="0" applyNumberFormat="1" applyFont="1" applyFill="1" applyBorder="1" applyAlignment="1">
      <alignment horizontal="center" vertical="center" wrapText="1"/>
    </xf>
    <xf numFmtId="4" fontId="2" fillId="40" borderId="18" xfId="0" applyNumberFormat="1" applyFont="1" applyFill="1" applyBorder="1" applyAlignment="1">
      <alignment horizontal="center" vertical="center" wrapText="1"/>
    </xf>
    <xf numFmtId="175" fontId="14" fillId="0" borderId="18" xfId="44" applyNumberFormat="1" applyFont="1" applyFill="1" applyBorder="1" applyAlignment="1">
      <alignment horizontal="center" vertical="center"/>
    </xf>
    <xf numFmtId="175" fontId="48" fillId="0" borderId="48" xfId="44" applyNumberFormat="1" applyFont="1" applyFill="1" applyBorder="1" applyAlignment="1">
      <alignment horizontal="center"/>
    </xf>
    <xf numFmtId="1" fontId="2" fillId="40" borderId="64" xfId="0" applyNumberFormat="1" applyFont="1" applyFill="1" applyBorder="1" applyAlignment="1">
      <alignment horizontal="center" vertical="center" wrapText="1"/>
    </xf>
    <xf numFmtId="1" fontId="2" fillId="40" borderId="65" xfId="0" applyNumberFormat="1" applyFont="1" applyFill="1" applyBorder="1" applyAlignment="1">
      <alignment horizontal="center" vertical="center" wrapText="1"/>
    </xf>
    <xf numFmtId="1" fontId="2" fillId="40" borderId="66" xfId="0" applyNumberFormat="1" applyFont="1" applyFill="1" applyBorder="1" applyAlignment="1">
      <alignment horizontal="center" vertical="center" wrapText="1"/>
    </xf>
    <xf numFmtId="1" fontId="2" fillId="40" borderId="67" xfId="0" applyNumberFormat="1" applyFont="1" applyFill="1" applyBorder="1" applyAlignment="1">
      <alignment horizontal="center" vertical="center" wrapText="1"/>
    </xf>
    <xf numFmtId="40" fontId="14" fillId="0" borderId="28" xfId="0" applyNumberFormat="1" applyFont="1" applyBorder="1" applyAlignment="1">
      <alignment horizontal="center"/>
    </xf>
    <xf numFmtId="40" fontId="14" fillId="0" borderId="18" xfId="0" applyNumberFormat="1" applyFont="1" applyBorder="1" applyAlignment="1">
      <alignment horizontal="center"/>
    </xf>
    <xf numFmtId="3" fontId="2" fillId="40" borderId="61" xfId="0" applyNumberFormat="1" applyFont="1" applyFill="1" applyBorder="1" applyAlignment="1">
      <alignment horizontal="center" vertical="center" wrapText="1"/>
    </xf>
    <xf numFmtId="175" fontId="2" fillId="40" borderId="53" xfId="44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left"/>
    </xf>
    <xf numFmtId="0" fontId="2" fillId="0" borderId="0" xfId="0" applyFont="1" applyAlignment="1">
      <alignment horizontal="center" vertical="center" wrapText="1"/>
    </xf>
    <xf numFmtId="4" fontId="2" fillId="40" borderId="53" xfId="0" applyNumberFormat="1" applyFont="1" applyFill="1" applyBorder="1" applyAlignment="1">
      <alignment horizontal="center" vertical="center" wrapText="1"/>
    </xf>
    <xf numFmtId="1" fontId="3" fillId="0" borderId="62" xfId="0" applyNumberFormat="1" applyFont="1" applyBorder="1" applyAlignment="1">
      <alignment horizontal="center" vertical="center" wrapText="1"/>
    </xf>
    <xf numFmtId="1" fontId="3" fillId="0" borderId="63" xfId="0" applyNumberFormat="1" applyFont="1" applyBorder="1" applyAlignment="1">
      <alignment horizontal="center" vertical="center" wrapText="1"/>
    </xf>
    <xf numFmtId="1" fontId="2" fillId="40" borderId="39" xfId="0" applyNumberFormat="1" applyFont="1" applyFill="1" applyBorder="1" applyAlignment="1">
      <alignment horizontal="center" vertical="center" wrapText="1"/>
    </xf>
    <xf numFmtId="1" fontId="2" fillId="40" borderId="37" xfId="0" applyNumberFormat="1" applyFont="1" applyFill="1" applyBorder="1" applyAlignment="1">
      <alignment horizontal="center" vertical="center" wrapText="1"/>
    </xf>
    <xf numFmtId="3" fontId="2" fillId="40" borderId="53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2" fillId="40" borderId="14" xfId="0" applyFont="1" applyFill="1" applyBorder="1" applyAlignment="1">
      <alignment horizontal="center" vertical="center"/>
    </xf>
    <xf numFmtId="0" fontId="2" fillId="40" borderId="15" xfId="0" applyFont="1" applyFill="1" applyBorder="1" applyAlignment="1">
      <alignment horizontal="center" vertical="center"/>
    </xf>
    <xf numFmtId="0" fontId="2" fillId="40" borderId="33" xfId="0" applyFont="1" applyFill="1" applyBorder="1" applyAlignment="1">
      <alignment horizontal="center" vertical="center"/>
    </xf>
    <xf numFmtId="0" fontId="2" fillId="40" borderId="24" xfId="0" applyFont="1" applyFill="1" applyBorder="1" applyAlignment="1">
      <alignment horizontal="center" vertical="center"/>
    </xf>
    <xf numFmtId="0" fontId="2" fillId="40" borderId="44" xfId="0" applyFont="1" applyFill="1" applyBorder="1" applyAlignment="1">
      <alignment horizontal="center" vertical="center"/>
    </xf>
    <xf numFmtId="4" fontId="3" fillId="0" borderId="33" xfId="0" applyNumberFormat="1" applyFont="1" applyBorder="1" applyAlignment="1">
      <alignment horizontal="left" vertical="center" wrapText="1"/>
    </xf>
    <xf numFmtId="4" fontId="3" fillId="0" borderId="24" xfId="0" applyNumberFormat="1" applyFont="1" applyBorder="1" applyAlignment="1">
      <alignment horizontal="left" vertical="center" wrapText="1"/>
    </xf>
    <xf numFmtId="0" fontId="2" fillId="40" borderId="45" xfId="0" applyFont="1" applyFill="1" applyBorder="1" applyAlignment="1">
      <alignment horizontal="center" vertical="center"/>
    </xf>
    <xf numFmtId="0" fontId="2" fillId="40" borderId="6" xfId="0" applyFont="1" applyFill="1" applyBorder="1" applyAlignment="1">
      <alignment horizontal="center" vertical="center"/>
    </xf>
    <xf numFmtId="0" fontId="2" fillId="40" borderId="12" xfId="0" applyFont="1" applyFill="1" applyBorder="1" applyAlignment="1">
      <alignment horizontal="center" vertical="center"/>
    </xf>
    <xf numFmtId="49" fontId="24" fillId="0" borderId="34" xfId="44" applyNumberFormat="1" applyFont="1" applyFill="1" applyBorder="1" applyAlignment="1">
      <alignment horizontal="justify" vertical="center" wrapText="1"/>
    </xf>
    <xf numFmtId="49" fontId="24" fillId="0" borderId="35" xfId="44" applyNumberFormat="1" applyFont="1" applyFill="1" applyBorder="1" applyAlignment="1">
      <alignment horizontal="justify" vertical="center" wrapText="1"/>
    </xf>
    <xf numFmtId="49" fontId="24" fillId="0" borderId="36" xfId="44" applyNumberFormat="1" applyFont="1" applyFill="1" applyBorder="1" applyAlignment="1">
      <alignment horizontal="justify" vertical="center" wrapText="1"/>
    </xf>
    <xf numFmtId="49" fontId="24" fillId="0" borderId="39" xfId="44" applyNumberFormat="1" applyFont="1" applyFill="1" applyBorder="1" applyAlignment="1">
      <alignment horizontal="justify" vertical="center" wrapText="1"/>
    </xf>
    <xf numFmtId="49" fontId="24" fillId="0" borderId="0" xfId="44" applyNumberFormat="1" applyFont="1" applyFill="1" applyBorder="1" applyAlignment="1">
      <alignment horizontal="justify" vertical="center" wrapText="1"/>
    </xf>
    <xf numFmtId="49" fontId="24" fillId="0" borderId="37" xfId="44" applyNumberFormat="1" applyFont="1" applyFill="1" applyBorder="1" applyAlignment="1">
      <alignment horizontal="justify" vertical="center" wrapText="1"/>
    </xf>
    <xf numFmtId="49" fontId="24" fillId="0" borderId="40" xfId="44" applyNumberFormat="1" applyFont="1" applyFill="1" applyBorder="1" applyAlignment="1">
      <alignment horizontal="justify" vertical="center" wrapText="1"/>
    </xf>
    <xf numFmtId="49" fontId="24" fillId="0" borderId="54" xfId="44" applyNumberFormat="1" applyFont="1" applyFill="1" applyBorder="1" applyAlignment="1">
      <alignment horizontal="justify" vertical="center" wrapText="1"/>
    </xf>
    <xf numFmtId="49" fontId="24" fillId="0" borderId="38" xfId="44" applyNumberFormat="1" applyFont="1" applyFill="1" applyBorder="1" applyAlignment="1">
      <alignment horizontal="justify" vertical="center" wrapText="1"/>
    </xf>
    <xf numFmtId="3" fontId="3" fillId="0" borderId="0" xfId="0" applyNumberFormat="1" applyFont="1" applyAlignment="1">
      <alignment horizontal="left" vertical="top" wrapText="1"/>
    </xf>
    <xf numFmtId="3" fontId="3" fillId="0" borderId="0" xfId="0" applyNumberFormat="1" applyFont="1" applyAlignment="1">
      <alignment horizontal="left" vertical="center" wrapText="1"/>
    </xf>
    <xf numFmtId="0" fontId="2" fillId="0" borderId="45" xfId="0" applyFont="1" applyBorder="1" applyAlignment="1">
      <alignment horizontal="left" wrapText="1"/>
    </xf>
    <xf numFmtId="0" fontId="2" fillId="0" borderId="6" xfId="0" applyFont="1" applyBorder="1" applyAlignment="1">
      <alignment horizontal="left" wrapText="1"/>
    </xf>
    <xf numFmtId="0" fontId="2" fillId="0" borderId="12" xfId="0" applyFont="1" applyBorder="1" applyAlignment="1">
      <alignment horizontal="left" wrapText="1"/>
    </xf>
    <xf numFmtId="0" fontId="2" fillId="0" borderId="27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 wrapText="1"/>
    </xf>
    <xf numFmtId="1" fontId="2" fillId="0" borderId="11" xfId="0" applyNumberFormat="1" applyFont="1" applyBorder="1" applyAlignment="1">
      <alignment horizontal="center" wrapText="1"/>
    </xf>
    <xf numFmtId="1" fontId="2" fillId="0" borderId="7" xfId="0" applyNumberFormat="1" applyFont="1" applyBorder="1" applyAlignment="1">
      <alignment horizontal="center" wrapText="1"/>
    </xf>
    <xf numFmtId="0" fontId="50" fillId="0" borderId="59" xfId="0" applyFont="1" applyFill="1" applyBorder="1" applyAlignment="1">
      <alignment horizontal="center" vertical="center" wrapText="1"/>
    </xf>
    <xf numFmtId="0" fontId="50" fillId="0" borderId="60" xfId="0" applyFont="1" applyFill="1" applyBorder="1" applyAlignment="1">
      <alignment horizontal="center" vertical="center" wrapText="1"/>
    </xf>
    <xf numFmtId="0" fontId="2" fillId="0" borderId="25" xfId="0" applyFont="1" applyBorder="1" applyAlignment="1">
      <alignment horizontal="left" vertical="center" wrapText="1"/>
    </xf>
    <xf numFmtId="0" fontId="2" fillId="0" borderId="26" xfId="0" applyFont="1" applyBorder="1" applyAlignment="1">
      <alignment horizontal="left" vertical="center" wrapText="1"/>
    </xf>
    <xf numFmtId="0" fontId="2" fillId="0" borderId="55" xfId="0" applyFont="1" applyBorder="1" applyAlignment="1">
      <alignment horizontal="left" vertical="center" wrapText="1"/>
    </xf>
    <xf numFmtId="0" fontId="2" fillId="0" borderId="17" xfId="0" applyFont="1" applyBorder="1" applyAlignment="1">
      <alignment horizontal="left" vertical="center" wrapText="1"/>
    </xf>
    <xf numFmtId="1" fontId="2" fillId="0" borderId="28" xfId="0" applyNumberFormat="1" applyFont="1" applyBorder="1" applyAlignment="1">
      <alignment horizontal="center" wrapText="1"/>
    </xf>
    <xf numFmtId="1" fontId="2" fillId="0" borderId="18" xfId="0" applyNumberFormat="1" applyFont="1" applyBorder="1" applyAlignment="1">
      <alignment horizontal="center" wrapText="1"/>
    </xf>
    <xf numFmtId="0" fontId="2" fillId="0" borderId="33" xfId="0" applyFont="1" applyBorder="1" applyAlignment="1">
      <alignment horizontal="left" vertical="center" wrapText="1"/>
    </xf>
    <xf numFmtId="0" fontId="2" fillId="0" borderId="24" xfId="0" applyFont="1" applyBorder="1" applyAlignment="1">
      <alignment horizontal="left" vertical="center" wrapText="1"/>
    </xf>
    <xf numFmtId="0" fontId="2" fillId="0" borderId="44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1" fontId="2" fillId="0" borderId="8" xfId="0" applyNumberFormat="1" applyFont="1" applyBorder="1" applyAlignment="1">
      <alignment horizontal="center" wrapText="1"/>
    </xf>
    <xf numFmtId="1" fontId="2" fillId="0" borderId="9" xfId="0" applyNumberFormat="1" applyFont="1" applyBorder="1" applyAlignment="1">
      <alignment horizontal="center" wrapText="1"/>
    </xf>
    <xf numFmtId="4" fontId="14" fillId="0" borderId="0" xfId="0" applyNumberFormat="1" applyFont="1" applyAlignment="1">
      <alignment horizontal="center" vertical="center"/>
    </xf>
    <xf numFmtId="0" fontId="14" fillId="44" borderId="45" xfId="0" applyFont="1" applyFill="1" applyBorder="1" applyAlignment="1">
      <alignment horizontal="left" vertical="center" wrapText="1"/>
    </xf>
    <xf numFmtId="0" fontId="14" fillId="44" borderId="6" xfId="0" applyFont="1" applyFill="1" applyBorder="1" applyAlignment="1">
      <alignment horizontal="left" vertical="center" wrapText="1"/>
    </xf>
    <xf numFmtId="0" fontId="14" fillId="40" borderId="62" xfId="0" applyFont="1" applyFill="1" applyBorder="1" applyAlignment="1">
      <alignment horizontal="center" vertical="center" wrapText="1"/>
    </xf>
    <xf numFmtId="0" fontId="14" fillId="40" borderId="69" xfId="0" applyFont="1" applyFill="1" applyBorder="1" applyAlignment="1">
      <alignment horizontal="center" vertical="center" wrapText="1"/>
    </xf>
    <xf numFmtId="0" fontId="14" fillId="40" borderId="70" xfId="0" applyFont="1" applyFill="1" applyBorder="1" applyAlignment="1">
      <alignment horizontal="center" vertical="center" wrapText="1"/>
    </xf>
    <xf numFmtId="40" fontId="14" fillId="44" borderId="9" xfId="0" applyNumberFormat="1" applyFont="1" applyFill="1" applyBorder="1" applyAlignment="1">
      <alignment horizontal="center" vertical="center"/>
    </xf>
    <xf numFmtId="40" fontId="14" fillId="40" borderId="9" xfId="0" applyNumberFormat="1" applyFont="1" applyFill="1" applyBorder="1" applyAlignment="1">
      <alignment horizontal="center" vertical="center"/>
    </xf>
    <xf numFmtId="40" fontId="14" fillId="40" borderId="10" xfId="0" applyNumberFormat="1" applyFont="1" applyFill="1" applyBorder="1" applyAlignment="1">
      <alignment horizontal="center" vertical="center"/>
    </xf>
    <xf numFmtId="40" fontId="14" fillId="40" borderId="68" xfId="0" applyNumberFormat="1" applyFont="1" applyFill="1" applyBorder="1" applyAlignment="1">
      <alignment horizontal="center" vertical="center"/>
    </xf>
    <xf numFmtId="40" fontId="14" fillId="40" borderId="69" xfId="0" applyNumberFormat="1" applyFont="1" applyFill="1" applyBorder="1" applyAlignment="1">
      <alignment horizontal="center" vertical="center"/>
    </xf>
    <xf numFmtId="40" fontId="14" fillId="40" borderId="70" xfId="0" applyNumberFormat="1" applyFont="1" applyFill="1" applyBorder="1" applyAlignment="1">
      <alignment horizontal="center" vertical="center"/>
    </xf>
    <xf numFmtId="0" fontId="14" fillId="44" borderId="4" xfId="0" applyFont="1" applyFill="1" applyBorder="1" applyAlignment="1">
      <alignment horizontal="left" vertical="center" wrapText="1"/>
    </xf>
    <xf numFmtId="0" fontId="14" fillId="44" borderId="5" xfId="0" applyFont="1" applyFill="1" applyBorder="1" applyAlignment="1">
      <alignment horizontal="left" vertical="center" wrapText="1"/>
    </xf>
    <xf numFmtId="0" fontId="14" fillId="44" borderId="50" xfId="0" applyFont="1" applyFill="1" applyBorder="1" applyAlignment="1">
      <alignment horizontal="left" vertical="center" wrapText="1"/>
    </xf>
    <xf numFmtId="0" fontId="14" fillId="44" borderId="8" xfId="0" applyFont="1" applyFill="1" applyBorder="1" applyAlignment="1">
      <alignment horizontal="center" vertical="center" wrapText="1"/>
    </xf>
    <xf numFmtId="0" fontId="14" fillId="44" borderId="11" xfId="0" applyFont="1" applyFill="1" applyBorder="1" applyAlignment="1">
      <alignment horizontal="center" vertical="center" wrapText="1"/>
    </xf>
    <xf numFmtId="0" fontId="14" fillId="40" borderId="9" xfId="0" applyFont="1" applyFill="1" applyBorder="1" applyAlignment="1">
      <alignment horizontal="center" vertical="center" wrapText="1"/>
    </xf>
    <xf numFmtId="40" fontId="14" fillId="44" borderId="68" xfId="0" applyNumberFormat="1" applyFont="1" applyFill="1" applyBorder="1" applyAlignment="1">
      <alignment horizontal="center" vertical="center"/>
    </xf>
    <xf numFmtId="40" fontId="14" fillId="44" borderId="69" xfId="0" applyNumberFormat="1" applyFont="1" applyFill="1" applyBorder="1" applyAlignment="1">
      <alignment horizontal="center" vertical="center"/>
    </xf>
    <xf numFmtId="40" fontId="14" fillId="44" borderId="70" xfId="0" applyNumberFormat="1" applyFont="1" applyFill="1" applyBorder="1" applyAlignment="1">
      <alignment horizontal="center" vertical="center"/>
    </xf>
    <xf numFmtId="0" fontId="14" fillId="44" borderId="26" xfId="0" applyFont="1" applyFill="1" applyBorder="1" applyAlignment="1">
      <alignment horizontal="center" vertical="center" wrapText="1"/>
    </xf>
    <xf numFmtId="0" fontId="14" fillId="44" borderId="29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4" fillId="44" borderId="25" xfId="0" applyFont="1" applyFill="1" applyBorder="1" applyAlignment="1">
      <alignment horizontal="center" vertical="center" wrapText="1"/>
    </xf>
    <xf numFmtId="0" fontId="14" fillId="44" borderId="27" xfId="0" applyFont="1" applyFill="1" applyBorder="1" applyAlignment="1">
      <alignment horizontal="center" vertical="center" wrapText="1"/>
    </xf>
    <xf numFmtId="0" fontId="4" fillId="40" borderId="0" xfId="56" applyFont="1" applyFill="1" applyAlignment="1">
      <alignment horizontal="left" vertical="center"/>
    </xf>
    <xf numFmtId="0" fontId="44" fillId="36" borderId="7" xfId="56" applyFont="1" applyFill="1" applyBorder="1" applyAlignment="1">
      <alignment horizontal="center" vertical="center" wrapText="1"/>
    </xf>
    <xf numFmtId="0" fontId="1" fillId="0" borderId="0" xfId="56" applyAlignment="1">
      <alignment horizontal="left" vertical="center" wrapText="1"/>
    </xf>
    <xf numFmtId="0" fontId="44" fillId="37" borderId="59" xfId="56" applyFont="1" applyFill="1" applyBorder="1" applyAlignment="1">
      <alignment horizontal="center" vertical="center" wrapText="1"/>
    </xf>
    <xf numFmtId="0" fontId="44" fillId="37" borderId="41" xfId="56" applyFont="1" applyFill="1" applyBorder="1" applyAlignment="1">
      <alignment horizontal="center" vertical="center" wrapText="1"/>
    </xf>
    <xf numFmtId="3" fontId="44" fillId="36" borderId="34" xfId="56" applyNumberFormat="1" applyFont="1" applyFill="1" applyBorder="1" applyAlignment="1">
      <alignment horizontal="center" vertical="center" wrapText="1"/>
    </xf>
    <xf numFmtId="3" fontId="44" fillId="36" borderId="40" xfId="56" applyNumberFormat="1" applyFont="1" applyFill="1" applyBorder="1" applyAlignment="1">
      <alignment horizontal="center" vertical="center" wrapText="1"/>
    </xf>
    <xf numFmtId="3" fontId="1" fillId="0" borderId="0" xfId="56" applyNumberFormat="1" applyAlignment="1">
      <alignment horizontal="center" vertical="center" wrapText="1"/>
    </xf>
    <xf numFmtId="9" fontId="63" fillId="48" borderId="9" xfId="60" applyFont="1" applyFill="1" applyBorder="1" applyAlignment="1">
      <alignment horizontal="center" vertical="center" wrapText="1"/>
    </xf>
    <xf numFmtId="9" fontId="63" fillId="48" borderId="18" xfId="60" applyFont="1" applyFill="1" applyBorder="1" applyAlignment="1">
      <alignment horizontal="center" vertical="center" wrapText="1"/>
    </xf>
    <xf numFmtId="3" fontId="63" fillId="48" borderId="9" xfId="0" applyNumberFormat="1" applyFont="1" applyFill="1" applyBorder="1" applyAlignment="1">
      <alignment horizontal="center" vertical="center" wrapText="1"/>
    </xf>
    <xf numFmtId="3" fontId="63" fillId="48" borderId="18" xfId="0" applyNumberFormat="1" applyFont="1" applyFill="1" applyBorder="1" applyAlignment="1">
      <alignment horizontal="center" vertical="center" wrapText="1"/>
    </xf>
    <xf numFmtId="9" fontId="63" fillId="45" borderId="7" xfId="60" applyFont="1" applyFill="1" applyBorder="1" applyAlignment="1">
      <alignment horizontal="center" vertical="center" wrapText="1"/>
    </xf>
    <xf numFmtId="9" fontId="63" fillId="45" borderId="18" xfId="60" applyFont="1" applyFill="1" applyBorder="1" applyAlignment="1">
      <alignment horizontal="center" vertical="center" wrapText="1"/>
    </xf>
    <xf numFmtId="166" fontId="3" fillId="0" borderId="0" xfId="44" applyFont="1" applyAlignment="1">
      <alignment horizontal="left" vertical="center" wrapText="1"/>
    </xf>
    <xf numFmtId="1" fontId="2" fillId="0" borderId="24" xfId="0" applyNumberFormat="1" applyFont="1" applyBorder="1" applyAlignment="1">
      <alignment horizontal="left" wrapText="1"/>
    </xf>
    <xf numFmtId="9" fontId="63" fillId="0" borderId="0" xfId="60" applyFont="1" applyFill="1" applyBorder="1" applyAlignment="1">
      <alignment horizontal="center" vertical="center" wrapText="1"/>
    </xf>
    <xf numFmtId="9" fontId="63" fillId="48" borderId="62" xfId="60" applyFont="1" applyFill="1" applyBorder="1" applyAlignment="1">
      <alignment horizontal="center" vertical="center" wrapText="1"/>
    </xf>
    <xf numFmtId="9" fontId="63" fillId="48" borderId="49" xfId="60" applyFont="1" applyFill="1" applyBorder="1" applyAlignment="1">
      <alignment horizontal="center" vertical="center" wrapText="1"/>
    </xf>
    <xf numFmtId="0" fontId="2" fillId="0" borderId="0" xfId="56" applyFont="1" applyAlignment="1">
      <alignment horizontal="center" vertical="center" wrapText="1"/>
    </xf>
    <xf numFmtId="3" fontId="63" fillId="48" borderId="8" xfId="0" applyNumberFormat="1" applyFont="1" applyFill="1" applyBorder="1" applyAlignment="1">
      <alignment horizontal="center" vertical="center" wrapText="1"/>
    </xf>
    <xf numFmtId="3" fontId="63" fillId="48" borderId="28" xfId="0" applyNumberFormat="1" applyFont="1" applyFill="1" applyBorder="1" applyAlignment="1">
      <alignment horizontal="center" vertical="center" wrapText="1"/>
    </xf>
    <xf numFmtId="3" fontId="63" fillId="45" borderId="7" xfId="0" applyNumberFormat="1" applyFont="1" applyFill="1" applyBorder="1" applyAlignment="1">
      <alignment horizontal="center" vertical="center" wrapText="1"/>
    </xf>
    <xf numFmtId="3" fontId="63" fillId="45" borderId="18" xfId="0" applyNumberFormat="1" applyFont="1" applyFill="1" applyBorder="1" applyAlignment="1">
      <alignment horizontal="center" vertical="center" wrapText="1"/>
    </xf>
    <xf numFmtId="3" fontId="63" fillId="0" borderId="0" xfId="0" applyNumberFormat="1" applyFont="1" applyFill="1" applyBorder="1" applyAlignment="1">
      <alignment horizontal="center" vertical="center" wrapText="1"/>
    </xf>
    <xf numFmtId="9" fontId="49" fillId="38" borderId="0" xfId="60" applyFont="1" applyFill="1" applyBorder="1" applyAlignment="1">
      <alignment horizontal="center" vertical="center" wrapText="1"/>
    </xf>
    <xf numFmtId="3" fontId="49" fillId="52" borderId="0" xfId="56" applyNumberFormat="1" applyFont="1" applyFill="1" applyAlignment="1">
      <alignment horizontal="center"/>
    </xf>
    <xf numFmtId="9" fontId="63" fillId="48" borderId="33" xfId="60" applyFont="1" applyFill="1" applyBorder="1" applyAlignment="1">
      <alignment horizontal="center" vertical="center" wrapText="1"/>
    </xf>
    <xf numFmtId="9" fontId="63" fillId="48" borderId="44" xfId="60" applyFont="1" applyFill="1" applyBorder="1" applyAlignment="1">
      <alignment horizontal="center" vertical="center" wrapText="1"/>
    </xf>
    <xf numFmtId="9" fontId="63" fillId="48" borderId="45" xfId="60" applyFont="1" applyFill="1" applyBorder="1" applyAlignment="1">
      <alignment horizontal="center" vertical="center" wrapText="1"/>
    </xf>
    <xf numFmtId="9" fontId="63" fillId="48" borderId="12" xfId="60" applyFont="1" applyFill="1" applyBorder="1" applyAlignment="1">
      <alignment horizontal="center" vertical="center" wrapText="1"/>
    </xf>
    <xf numFmtId="173" fontId="46" fillId="0" borderId="24" xfId="33" applyNumberFormat="1" applyFont="1" applyBorder="1" applyAlignment="1">
      <alignment horizontal="center" vertical="center"/>
    </xf>
    <xf numFmtId="166" fontId="64" fillId="0" borderId="7" xfId="44" applyFont="1" applyFill="1" applyBorder="1" applyAlignment="1">
      <alignment horizontal="center" vertical="center"/>
    </xf>
    <xf numFmtId="0" fontId="7" fillId="0" borderId="0" xfId="56" applyFont="1" applyAlignment="1">
      <alignment horizontal="center" vertical="top" wrapText="1"/>
    </xf>
    <xf numFmtId="0" fontId="59" fillId="0" borderId="0" xfId="56" applyFont="1" applyAlignment="1">
      <alignment horizontal="center" vertical="top" wrapText="1"/>
    </xf>
    <xf numFmtId="0" fontId="64" fillId="46" borderId="84" xfId="56" applyFont="1" applyFill="1" applyBorder="1" applyAlignment="1">
      <alignment horizontal="center" vertical="top" wrapText="1"/>
    </xf>
    <xf numFmtId="0" fontId="64" fillId="46" borderId="85" xfId="56" applyFont="1" applyFill="1" applyBorder="1" applyAlignment="1">
      <alignment horizontal="center" vertical="top" wrapText="1"/>
    </xf>
    <xf numFmtId="0" fontId="64" fillId="0" borderId="86" xfId="56" applyFont="1" applyFill="1" applyBorder="1" applyAlignment="1">
      <alignment horizontal="center" vertical="center" wrapText="1"/>
    </xf>
    <xf numFmtId="0" fontId="64" fillId="0" borderId="87" xfId="56" applyFont="1" applyFill="1" applyBorder="1" applyAlignment="1">
      <alignment horizontal="center" vertical="center" wrapText="1"/>
    </xf>
    <xf numFmtId="0" fontId="64" fillId="0" borderId="88" xfId="56" applyFont="1" applyFill="1" applyBorder="1" applyAlignment="1">
      <alignment horizontal="center" vertical="center" wrapText="1"/>
    </xf>
    <xf numFmtId="0" fontId="64" fillId="0" borderId="89" xfId="56" applyFont="1" applyFill="1" applyBorder="1" applyAlignment="1">
      <alignment horizontal="center" vertical="center" wrapText="1"/>
    </xf>
    <xf numFmtId="0" fontId="64" fillId="0" borderId="90" xfId="56" applyFont="1" applyFill="1" applyBorder="1" applyAlignment="1">
      <alignment horizontal="center" vertical="center" wrapText="1"/>
    </xf>
    <xf numFmtId="0" fontId="60" fillId="0" borderId="7" xfId="56" applyFont="1" applyFill="1" applyBorder="1" applyAlignment="1">
      <alignment horizontal="left" vertical="center" wrapText="1"/>
    </xf>
    <xf numFmtId="0" fontId="60" fillId="0" borderId="7" xfId="56" applyFont="1" applyBorder="1" applyAlignment="1">
      <alignment horizontal="left" vertical="center" wrapText="1"/>
    </xf>
    <xf numFmtId="0" fontId="60" fillId="0" borderId="59" xfId="56" applyFont="1" applyBorder="1" applyAlignment="1">
      <alignment horizontal="left" vertical="center" wrapText="1"/>
    </xf>
    <xf numFmtId="0" fontId="60" fillId="0" borderId="60" xfId="56" applyFont="1" applyBorder="1" applyAlignment="1">
      <alignment horizontal="left" vertical="center" wrapText="1"/>
    </xf>
    <xf numFmtId="166" fontId="64" fillId="49" borderId="59" xfId="44" applyFont="1" applyFill="1" applyBorder="1" applyAlignment="1">
      <alignment horizontal="left" vertical="center"/>
    </xf>
    <xf numFmtId="166" fontId="64" fillId="49" borderId="60" xfId="44" applyFont="1" applyFill="1" applyBorder="1" applyAlignment="1">
      <alignment horizontal="left" vertical="center"/>
    </xf>
    <xf numFmtId="0" fontId="60" fillId="49" borderId="59" xfId="56" applyFont="1" applyFill="1" applyBorder="1" applyAlignment="1">
      <alignment horizontal="left" vertical="center"/>
    </xf>
    <xf numFmtId="0" fontId="60" fillId="49" borderId="60" xfId="56" applyFont="1" applyFill="1" applyBorder="1" applyAlignment="1">
      <alignment horizontal="left" vertical="center"/>
    </xf>
    <xf numFmtId="0" fontId="7" fillId="49" borderId="0" xfId="56" applyFont="1" applyFill="1" applyAlignment="1">
      <alignment horizontal="center" vertical="top" wrapText="1"/>
    </xf>
    <xf numFmtId="0" fontId="59" fillId="49" borderId="0" xfId="56" applyFont="1" applyFill="1" applyAlignment="1">
      <alignment horizontal="center" vertical="top" wrapText="1"/>
    </xf>
    <xf numFmtId="0" fontId="64" fillId="49" borderId="84" xfId="56" applyFont="1" applyFill="1" applyBorder="1" applyAlignment="1">
      <alignment horizontal="center" vertical="top"/>
    </xf>
    <xf numFmtId="0" fontId="64" fillId="49" borderId="85" xfId="56" applyFont="1" applyFill="1" applyBorder="1" applyAlignment="1">
      <alignment horizontal="center" vertical="top"/>
    </xf>
    <xf numFmtId="0" fontId="64" fillId="49" borderId="86" xfId="56" applyFont="1" applyFill="1" applyBorder="1" applyAlignment="1">
      <alignment horizontal="center" vertical="center"/>
    </xf>
    <xf numFmtId="0" fontId="64" fillId="49" borderId="87" xfId="56" applyFont="1" applyFill="1" applyBorder="1" applyAlignment="1">
      <alignment horizontal="center" vertical="center"/>
    </xf>
    <xf numFmtId="0" fontId="64" fillId="49" borderId="88" xfId="56" applyFont="1" applyFill="1" applyBorder="1" applyAlignment="1">
      <alignment horizontal="center" vertical="center"/>
    </xf>
    <xf numFmtId="0" fontId="64" fillId="49" borderId="89" xfId="56" applyFont="1" applyFill="1" applyBorder="1" applyAlignment="1">
      <alignment horizontal="center" vertical="center"/>
    </xf>
    <xf numFmtId="1" fontId="45" fillId="49" borderId="24" xfId="0" applyNumberFormat="1" applyFont="1" applyFill="1" applyBorder="1" applyAlignment="1">
      <alignment horizontal="left" wrapText="1"/>
    </xf>
    <xf numFmtId="0" fontId="45" fillId="49" borderId="0" xfId="56" applyFont="1" applyFill="1" applyAlignment="1">
      <alignment horizontal="center" vertical="center" wrapText="1"/>
    </xf>
    <xf numFmtId="3" fontId="46" fillId="49" borderId="0" xfId="0" applyNumberFormat="1" applyFont="1" applyFill="1" applyAlignment="1">
      <alignment horizontal="left" vertical="center" wrapText="1"/>
    </xf>
    <xf numFmtId="0" fontId="5" fillId="0" borderId="0" xfId="56" applyFont="1" applyAlignment="1">
      <alignment horizontal="center"/>
    </xf>
    <xf numFmtId="0" fontId="5" fillId="0" borderId="0" xfId="56" applyFont="1" applyAlignment="1">
      <alignment horizontal="center" vertical="center"/>
    </xf>
    <xf numFmtId="172" fontId="1" fillId="0" borderId="0" xfId="56" applyNumberFormat="1" applyFont="1" applyAlignment="1">
      <alignment horizontal="center" vertical="center" wrapText="1"/>
    </xf>
    <xf numFmtId="3" fontId="46" fillId="0" borderId="0" xfId="0" applyNumberFormat="1" applyFont="1" applyAlignment="1">
      <alignment horizontal="left" vertical="center" wrapText="1"/>
    </xf>
    <xf numFmtId="4" fontId="46" fillId="0" borderId="2" xfId="56" applyNumberFormat="1" applyFont="1" applyBorder="1" applyAlignment="1">
      <alignment horizontal="left" vertical="center"/>
    </xf>
    <xf numFmtId="4" fontId="46" fillId="0" borderId="0" xfId="56" applyNumberFormat="1" applyFont="1" applyBorder="1" applyAlignment="1">
      <alignment horizontal="left" vertical="center"/>
    </xf>
    <xf numFmtId="3" fontId="46" fillId="0" borderId="0" xfId="0" applyNumberFormat="1" applyFont="1" applyFill="1" applyAlignment="1">
      <alignment horizontal="left" vertical="center" wrapText="1"/>
    </xf>
    <xf numFmtId="1" fontId="45" fillId="0" borderId="24" xfId="0" applyNumberFormat="1" applyFont="1" applyBorder="1" applyAlignment="1">
      <alignment horizontal="left" wrapText="1"/>
    </xf>
    <xf numFmtId="4" fontId="46" fillId="0" borderId="2" xfId="56" applyNumberFormat="1" applyFont="1" applyBorder="1" applyAlignment="1">
      <alignment horizontal="left" vertical="center" wrapText="1"/>
    </xf>
    <xf numFmtId="4" fontId="46" fillId="0" borderId="0" xfId="56" applyNumberFormat="1" applyFont="1" applyBorder="1" applyAlignment="1">
      <alignment horizontal="left" vertical="center" wrapText="1"/>
    </xf>
    <xf numFmtId="0" fontId="45" fillId="0" borderId="0" xfId="56" applyFont="1" applyAlignment="1">
      <alignment horizontal="center" vertical="center" wrapText="1"/>
    </xf>
    <xf numFmtId="0" fontId="45" fillId="0" borderId="33" xfId="56" applyFont="1" applyBorder="1" applyAlignment="1">
      <alignment horizontal="center" vertical="center"/>
    </xf>
    <xf numFmtId="0" fontId="45" fillId="0" borderId="24" xfId="56" applyFont="1" applyBorder="1" applyAlignment="1">
      <alignment horizontal="center" vertical="center"/>
    </xf>
    <xf numFmtId="4" fontId="45" fillId="0" borderId="2" xfId="56" applyNumberFormat="1" applyFont="1" applyBorder="1" applyAlignment="1">
      <alignment horizontal="left" vertical="center" wrapText="1"/>
    </xf>
    <xf numFmtId="4" fontId="45" fillId="0" borderId="0" xfId="56" applyNumberFormat="1" applyFont="1" applyBorder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45" fillId="0" borderId="0" xfId="56" applyFont="1" applyAlignment="1">
      <alignment horizontal="center" vertical="top" wrapText="1"/>
    </xf>
    <xf numFmtId="0" fontId="45" fillId="0" borderId="14" xfId="56" applyFont="1" applyBorder="1" applyAlignment="1">
      <alignment horizontal="center" vertical="center"/>
    </xf>
    <xf numFmtId="0" fontId="45" fillId="0" borderId="15" xfId="56" applyFont="1" applyBorder="1" applyAlignment="1">
      <alignment horizontal="center" vertical="center"/>
    </xf>
    <xf numFmtId="0" fontId="78" fillId="0" borderId="0" xfId="56" applyFont="1" applyAlignment="1">
      <alignment horizontal="center" vertical="center" wrapText="1"/>
    </xf>
    <xf numFmtId="0" fontId="78" fillId="0" borderId="0" xfId="56" applyFont="1" applyAlignment="1">
      <alignment horizontal="center" vertical="top" wrapText="1"/>
    </xf>
    <xf numFmtId="0" fontId="50" fillId="0" borderId="0" xfId="0" applyFont="1" applyAlignment="1">
      <alignment horizontal="left" wrapText="1"/>
    </xf>
    <xf numFmtId="1" fontId="2" fillId="0" borderId="0" xfId="0" applyNumberFormat="1" applyFont="1" applyAlignment="1">
      <alignment horizontal="left" wrapText="1"/>
    </xf>
    <xf numFmtId="38" fontId="84" fillId="0" borderId="0" xfId="0" applyNumberFormat="1" applyFont="1" applyAlignment="1">
      <alignment vertical="center"/>
    </xf>
    <xf numFmtId="1" fontId="13" fillId="0" borderId="11" xfId="0" applyNumberFormat="1" applyFont="1" applyFill="1" applyBorder="1" applyAlignment="1">
      <alignment horizontal="center" vertical="center"/>
    </xf>
    <xf numFmtId="0" fontId="48" fillId="0" borderId="7" xfId="0" applyFont="1" applyFill="1" applyBorder="1" applyAlignment="1">
      <alignment horizontal="center" vertical="center" wrapText="1"/>
    </xf>
    <xf numFmtId="0" fontId="48" fillId="0" borderId="7" xfId="0" applyFont="1" applyFill="1" applyBorder="1" applyAlignment="1">
      <alignment horizontal="center" vertical="center"/>
    </xf>
    <xf numFmtId="173" fontId="48" fillId="0" borderId="7" xfId="33" applyNumberFormat="1" applyFont="1" applyFill="1" applyBorder="1" applyAlignment="1">
      <alignment horizontal="center" vertical="center"/>
    </xf>
    <xf numFmtId="0" fontId="48" fillId="0" borderId="7" xfId="0" applyFont="1" applyFill="1" applyBorder="1" applyAlignment="1">
      <alignment vertical="center" wrapText="1"/>
    </xf>
    <xf numFmtId="174" fontId="48" fillId="0" borderId="7" xfId="49" applyNumberFormat="1" applyFont="1" applyFill="1" applyBorder="1" applyAlignment="1">
      <alignment horizontal="center" vertical="center"/>
    </xf>
    <xf numFmtId="170" fontId="13" fillId="0" borderId="7" xfId="56" applyNumberFormat="1" applyFont="1" applyBorder="1" applyAlignment="1">
      <alignment horizontal="left" vertical="top" wrapText="1"/>
    </xf>
    <xf numFmtId="175" fontId="89" fillId="0" borderId="6" xfId="56" applyNumberFormat="1" applyFont="1" applyBorder="1" applyAlignment="1">
      <alignment wrapText="1"/>
    </xf>
    <xf numFmtId="0" fontId="45" fillId="49" borderId="33" xfId="56" applyFont="1" applyFill="1" applyBorder="1" applyAlignment="1">
      <alignment horizontal="center" vertical="center"/>
    </xf>
    <xf numFmtId="0" fontId="45" fillId="49" borderId="24" xfId="56" applyFont="1" applyFill="1" applyBorder="1" applyAlignment="1">
      <alignment horizontal="center" vertical="center"/>
    </xf>
    <xf numFmtId="3" fontId="45" fillId="49" borderId="44" xfId="56" applyNumberFormat="1" applyFont="1" applyFill="1" applyBorder="1" applyAlignment="1">
      <alignment horizontal="center" vertical="center" wrapText="1"/>
    </xf>
    <xf numFmtId="0" fontId="46" fillId="49" borderId="34" xfId="56" applyFont="1" applyFill="1" applyBorder="1"/>
    <xf numFmtId="0" fontId="46" fillId="49" borderId="35" xfId="56" applyFont="1" applyFill="1" applyBorder="1"/>
    <xf numFmtId="4" fontId="46" fillId="49" borderId="35" xfId="56" applyNumberFormat="1" applyFont="1" applyFill="1" applyBorder="1" applyAlignment="1">
      <alignment vertical="center"/>
    </xf>
    <xf numFmtId="3" fontId="46" fillId="49" borderId="36" xfId="48" applyNumberFormat="1" applyFont="1" applyFill="1" applyBorder="1" applyAlignment="1">
      <alignment vertical="center" wrapText="1"/>
    </xf>
    <xf numFmtId="4" fontId="45" fillId="49" borderId="39" xfId="56" applyNumberFormat="1" applyFont="1" applyFill="1" applyBorder="1" applyAlignment="1">
      <alignment horizontal="left" vertical="center" wrapText="1"/>
    </xf>
    <xf numFmtId="4" fontId="45" fillId="49" borderId="0" xfId="56" applyNumberFormat="1" applyFont="1" applyFill="1" applyBorder="1" applyAlignment="1">
      <alignment horizontal="left" vertical="center" wrapText="1"/>
    </xf>
    <xf numFmtId="166" fontId="45" fillId="49" borderId="37" xfId="44" applyFont="1" applyFill="1" applyBorder="1" applyAlignment="1">
      <alignment vertical="center" wrapText="1"/>
    </xf>
    <xf numFmtId="4" fontId="46" fillId="49" borderId="39" xfId="56" applyNumberFormat="1" applyFont="1" applyFill="1" applyBorder="1" applyAlignment="1">
      <alignment horizontal="left" vertical="center"/>
    </xf>
    <xf numFmtId="4" fontId="45" fillId="49" borderId="0" xfId="56" applyNumberFormat="1" applyFont="1" applyFill="1" applyBorder="1" applyAlignment="1">
      <alignment horizontal="left" vertical="center" wrapText="1"/>
    </xf>
    <xf numFmtId="4" fontId="46" fillId="49" borderId="0" xfId="56" applyNumberFormat="1" applyFont="1" applyFill="1" applyBorder="1" applyAlignment="1">
      <alignment horizontal="left" vertical="center"/>
    </xf>
    <xf numFmtId="166" fontId="46" fillId="49" borderId="37" xfId="44" applyFont="1" applyFill="1" applyBorder="1" applyAlignment="1">
      <alignment vertical="center"/>
    </xf>
    <xf numFmtId="166" fontId="46" fillId="49" borderId="37" xfId="44" applyFont="1" applyFill="1" applyBorder="1" applyAlignment="1">
      <alignment vertical="center" wrapText="1"/>
    </xf>
    <xf numFmtId="4" fontId="46" fillId="49" borderId="40" xfId="56" applyNumberFormat="1" applyFont="1" applyFill="1" applyBorder="1" applyAlignment="1">
      <alignment horizontal="left" vertical="center"/>
    </xf>
    <xf numFmtId="4" fontId="46" fillId="49" borderId="54" xfId="56" applyNumberFormat="1" applyFont="1" applyFill="1" applyBorder="1" applyAlignment="1">
      <alignment horizontal="left" vertical="center"/>
    </xf>
    <xf numFmtId="166" fontId="46" fillId="49" borderId="54" xfId="44" applyFont="1" applyFill="1" applyBorder="1" applyAlignment="1">
      <alignment vertical="center" wrapText="1"/>
    </xf>
    <xf numFmtId="166" fontId="46" fillId="49" borderId="38" xfId="44" applyFont="1" applyFill="1" applyBorder="1" applyAlignment="1">
      <alignment vertical="center"/>
    </xf>
    <xf numFmtId="175" fontId="68" fillId="49" borderId="0" xfId="0" applyNumberFormat="1" applyFont="1" applyFill="1" applyAlignment="1">
      <alignment horizontal="center" vertical="center"/>
    </xf>
    <xf numFmtId="3" fontId="77" fillId="49" borderId="0" xfId="0" applyNumberFormat="1" applyFont="1" applyFill="1" applyBorder="1"/>
    <xf numFmtId="175" fontId="76" fillId="49" borderId="0" xfId="44" applyNumberFormat="1" applyFont="1" applyFill="1" applyBorder="1" applyAlignment="1">
      <alignment horizontal="center" vertical="center"/>
    </xf>
    <xf numFmtId="3" fontId="90" fillId="49" borderId="0" xfId="48" applyNumberFormat="1" applyFont="1" applyFill="1" applyBorder="1" applyAlignment="1">
      <alignment horizontal="left" vertical="center"/>
    </xf>
    <xf numFmtId="166" fontId="68" fillId="49" borderId="0" xfId="44" applyFont="1" applyFill="1" applyBorder="1" applyAlignment="1">
      <alignment horizontal="center" vertical="center"/>
    </xf>
    <xf numFmtId="174" fontId="68" fillId="49" borderId="0" xfId="0" applyNumberFormat="1" applyFont="1" applyFill="1" applyBorder="1" applyAlignment="1">
      <alignment horizontal="center" vertical="center"/>
    </xf>
    <xf numFmtId="3" fontId="68" fillId="49" borderId="0" xfId="0" applyNumberFormat="1" applyFont="1" applyFill="1" applyAlignment="1">
      <alignment horizontal="right" vertical="center"/>
    </xf>
    <xf numFmtId="3" fontId="68" fillId="49" borderId="0" xfId="0" applyNumberFormat="1" applyFont="1" applyFill="1" applyAlignment="1">
      <alignment horizontal="right" vertical="center" wrapText="1"/>
    </xf>
  </cellXfs>
  <cellStyles count="68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o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1" xfId="23" builtinId="16" customBuiltin="1"/>
    <cellStyle name="Encabezado 4" xfId="24" builtinId="19" customBuiltin="1"/>
    <cellStyle name="Énfasis1" xfId="25" builtinId="29" customBuiltin="1"/>
    <cellStyle name="Énfasis2" xfId="26" builtinId="33" customBuiltin="1"/>
    <cellStyle name="Énfasis3" xfId="27" builtinId="37" customBuiltin="1"/>
    <cellStyle name="Énfasis4" xfId="28" builtinId="41" customBuiltin="1"/>
    <cellStyle name="Énfasis5" xfId="29" builtinId="45" customBuiltin="1"/>
    <cellStyle name="Énfasis6" xfId="30" builtinId="49" customBuiltin="1"/>
    <cellStyle name="Entrada" xfId="31" builtinId="20" customBuiltin="1"/>
    <cellStyle name="Incorrecto" xfId="32" builtinId="27" customBuiltin="1"/>
    <cellStyle name="Millares" xfId="33" builtinId="3"/>
    <cellStyle name="Millares [0]" xfId="34" builtinId="6"/>
    <cellStyle name="Millares [0] 12" xfId="35" xr:uid="{00000000-0005-0000-0000-000022000000}"/>
    <cellStyle name="Millares [0] 14" xfId="36" xr:uid="{00000000-0005-0000-0000-000023000000}"/>
    <cellStyle name="Millares [0] 2" xfId="37" xr:uid="{00000000-0005-0000-0000-000024000000}"/>
    <cellStyle name="Millares [0] 3" xfId="38" xr:uid="{00000000-0005-0000-0000-000025000000}"/>
    <cellStyle name="Millares 2" xfId="39" xr:uid="{00000000-0005-0000-0000-000026000000}"/>
    <cellStyle name="Millares 3" xfId="40" xr:uid="{00000000-0005-0000-0000-000027000000}"/>
    <cellStyle name="Millares 4" xfId="41" xr:uid="{00000000-0005-0000-0000-000028000000}"/>
    <cellStyle name="Millares 5" xfId="42" xr:uid="{00000000-0005-0000-0000-000029000000}"/>
    <cellStyle name="Millares 6" xfId="43" xr:uid="{00000000-0005-0000-0000-00002A000000}"/>
    <cellStyle name="Moneda" xfId="44" builtinId="4"/>
    <cellStyle name="Moneda [0]" xfId="45" builtinId="7"/>
    <cellStyle name="Moneda [0] 11" xfId="46" xr:uid="{00000000-0005-0000-0000-00002D000000}"/>
    <cellStyle name="Moneda [0] 2" xfId="47" xr:uid="{00000000-0005-0000-0000-00002E000000}"/>
    <cellStyle name="Moneda 2" xfId="48" xr:uid="{00000000-0005-0000-0000-00002F000000}"/>
    <cellStyle name="Moneda 3" xfId="49" xr:uid="{00000000-0005-0000-0000-000030000000}"/>
    <cellStyle name="Moneda 4" xfId="50" xr:uid="{00000000-0005-0000-0000-000031000000}"/>
    <cellStyle name="Moneda 5" xfId="51" xr:uid="{00000000-0005-0000-0000-000032000000}"/>
    <cellStyle name="Moneda 6" xfId="52" xr:uid="{00000000-0005-0000-0000-000033000000}"/>
    <cellStyle name="Moneda 78" xfId="53" xr:uid="{00000000-0005-0000-0000-000034000000}"/>
    <cellStyle name="Moneda 87" xfId="54" xr:uid="{00000000-0005-0000-0000-000035000000}"/>
    <cellStyle name="Neutral" xfId="55" builtinId="28" customBuiltin="1"/>
    <cellStyle name="Normal" xfId="0" builtinId="0"/>
    <cellStyle name="Normal 2" xfId="56" xr:uid="{00000000-0005-0000-0000-000038000000}"/>
    <cellStyle name="Normal 2 2" xfId="57" xr:uid="{00000000-0005-0000-0000-000039000000}"/>
    <cellStyle name="Notas" xfId="58" builtinId="10" customBuiltin="1"/>
    <cellStyle name="Porcentaje" xfId="59" builtinId="5"/>
    <cellStyle name="Porcentaje 2" xfId="60" xr:uid="{00000000-0005-0000-0000-00003C000000}"/>
    <cellStyle name="Salida" xfId="61" builtinId="21" customBuiltin="1"/>
    <cellStyle name="Texto de advertencia" xfId="62" builtinId="11" customBuiltin="1"/>
    <cellStyle name="Texto explicativo" xfId="63" builtinId="53" customBuiltin="1"/>
    <cellStyle name="Título 2" xfId="64" builtinId="17" customBuiltin="1"/>
    <cellStyle name="Título 3" xfId="65" builtinId="18" customBuiltin="1"/>
    <cellStyle name="Título 4" xfId="66" xr:uid="{00000000-0005-0000-0000-000042000000}"/>
    <cellStyle name="Total" xfId="67" builtinId="25" customBuiltin="1"/>
  </cellStyles>
  <dxfs count="1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externalLink" Target="externalLinks/externalLink3.xml"/><Relationship Id="rId47" Type="http://schemas.openxmlformats.org/officeDocument/2006/relationships/externalLink" Target="externalLinks/externalLink8.xml"/><Relationship Id="rId50" Type="http://schemas.openxmlformats.org/officeDocument/2006/relationships/externalLink" Target="externalLinks/externalLink11.xml"/><Relationship Id="rId55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externalLink" Target="externalLinks/externalLink1.xml"/><Relationship Id="rId45" Type="http://schemas.openxmlformats.org/officeDocument/2006/relationships/externalLink" Target="externalLinks/externalLink6.xml"/><Relationship Id="rId53" Type="http://schemas.openxmlformats.org/officeDocument/2006/relationships/theme" Target="theme/theme1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externalLink" Target="externalLinks/externalLink4.xml"/><Relationship Id="rId48" Type="http://schemas.openxmlformats.org/officeDocument/2006/relationships/externalLink" Target="externalLinks/externalLink9.xml"/><Relationship Id="rId56" Type="http://schemas.openxmlformats.org/officeDocument/2006/relationships/calcChain" Target="calcChain.xml"/><Relationship Id="rId8" Type="http://schemas.openxmlformats.org/officeDocument/2006/relationships/worksheet" Target="worksheets/sheet8.xml"/><Relationship Id="rId51" Type="http://schemas.openxmlformats.org/officeDocument/2006/relationships/externalLink" Target="externalLinks/externalLink12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externalLink" Target="externalLinks/externalLink7.xml"/><Relationship Id="rId20" Type="http://schemas.openxmlformats.org/officeDocument/2006/relationships/worksheet" Target="worksheets/sheet20.xml"/><Relationship Id="rId41" Type="http://schemas.openxmlformats.org/officeDocument/2006/relationships/externalLink" Target="externalLinks/externalLink2.xml"/><Relationship Id="rId54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externalLink" Target="externalLinks/externalLink10.xml"/><Relationship Id="rId57" Type="http://schemas.microsoft.com/office/2006/relationships/vbaProject" Target="vbaProject.bin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externalLink" Target="externalLinks/externalLink5.xml"/><Relationship Id="rId52" Type="http://schemas.openxmlformats.org/officeDocument/2006/relationships/externalLink" Target="externalLinks/externalLink13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2.png"/><Relationship Id="rId1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2.png"/><Relationship Id="rId1" Type="http://schemas.openxmlformats.org/officeDocument/2006/relationships/image" Target="../media/image3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3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2.png"/><Relationship Id="rId1" Type="http://schemas.openxmlformats.org/officeDocument/2006/relationships/image" Target="../media/image3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2.png"/><Relationship Id="rId1" Type="http://schemas.openxmlformats.org/officeDocument/2006/relationships/image" Target="../media/image3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3.pn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2.png"/><Relationship Id="rId1" Type="http://schemas.openxmlformats.org/officeDocument/2006/relationships/image" Target="../media/image3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png"/><Relationship Id="rId2" Type="http://schemas.openxmlformats.org/officeDocument/2006/relationships/image" Target="../media/image2.png"/><Relationship Id="rId1" Type="http://schemas.openxmlformats.org/officeDocument/2006/relationships/image" Target="../media/image3.png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2.png"/><Relationship Id="rId1" Type="http://schemas.openxmlformats.org/officeDocument/2006/relationships/image" Target="../media/image3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2.png"/><Relationship Id="rId1" Type="http://schemas.openxmlformats.org/officeDocument/2006/relationships/image" Target="../media/image3.png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1.png"/><Relationship Id="rId2" Type="http://schemas.openxmlformats.org/officeDocument/2006/relationships/image" Target="../media/image2.png"/><Relationship Id="rId1" Type="http://schemas.openxmlformats.org/officeDocument/2006/relationships/image" Target="../media/image3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3.png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3.png"/><Relationship Id="rId2" Type="http://schemas.openxmlformats.org/officeDocument/2006/relationships/image" Target="../media/image2.png"/><Relationship Id="rId1" Type="http://schemas.openxmlformats.org/officeDocument/2006/relationships/image" Target="../media/image3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4.png"/><Relationship Id="rId2" Type="http://schemas.openxmlformats.org/officeDocument/2006/relationships/image" Target="../media/image2.png"/><Relationship Id="rId1" Type="http://schemas.openxmlformats.org/officeDocument/2006/relationships/image" Target="../media/image3.png"/></Relationships>
</file>

<file path=xl/drawings/_rels/drawing18.xml.rels><?xml version="1.0" encoding="UTF-8" standalone="yes"?>
<Relationships xmlns="http://schemas.openxmlformats.org/package/2006/relationships"><Relationship Id="rId3" Type="http://schemas.openxmlformats.org/officeDocument/2006/relationships/image" Target="../media/image15.png"/><Relationship Id="rId2" Type="http://schemas.openxmlformats.org/officeDocument/2006/relationships/image" Target="../media/image2.png"/><Relationship Id="rId1" Type="http://schemas.openxmlformats.org/officeDocument/2006/relationships/image" Target="../media/image3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.png"/><Relationship Id="rId1" Type="http://schemas.openxmlformats.org/officeDocument/2006/relationships/image" Target="../media/image3.png"/></Relationships>
</file>

<file path=xl/drawings/_rels/drawing20.xml.rels><?xml version="1.0" encoding="UTF-8" standalone="yes"?>
<Relationships xmlns="http://schemas.openxmlformats.org/package/2006/relationships"><Relationship Id="rId3" Type="http://schemas.openxmlformats.org/officeDocument/2006/relationships/image" Target="../media/image17.png"/><Relationship Id="rId2" Type="http://schemas.openxmlformats.org/officeDocument/2006/relationships/image" Target="../media/image2.png"/><Relationship Id="rId1" Type="http://schemas.openxmlformats.org/officeDocument/2006/relationships/image" Target="../media/image3.pn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.png"/><Relationship Id="rId1" Type="http://schemas.openxmlformats.org/officeDocument/2006/relationships/image" Target="../media/image3.png"/></Relationships>
</file>

<file path=xl/drawings/_rels/drawing2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.png"/><Relationship Id="rId1" Type="http://schemas.openxmlformats.org/officeDocument/2006/relationships/image" Target="../media/image3.png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2.png"/><Relationship Id="rId1" Type="http://schemas.openxmlformats.org/officeDocument/2006/relationships/image" Target="../media/image3.png"/></Relationships>
</file>

<file path=xl/drawings/_rels/drawing2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.png"/><Relationship Id="rId1" Type="http://schemas.openxmlformats.org/officeDocument/2006/relationships/image" Target="../media/image3.png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3.png"/><Relationship Id="rId2" Type="http://schemas.openxmlformats.org/officeDocument/2006/relationships/image" Target="../media/image2.png"/><Relationship Id="rId1" Type="http://schemas.openxmlformats.org/officeDocument/2006/relationships/image" Target="../media/image3.png"/></Relationships>
</file>

<file path=xl/drawings/_rels/drawing26.xml.rels><?xml version="1.0" encoding="UTF-8" standalone="yes"?>
<Relationships xmlns="http://schemas.openxmlformats.org/package/2006/relationships"><Relationship Id="rId3" Type="http://schemas.openxmlformats.org/officeDocument/2006/relationships/image" Target="../media/image22.png"/><Relationship Id="rId2" Type="http://schemas.openxmlformats.org/officeDocument/2006/relationships/image" Target="../media/image2.png"/><Relationship Id="rId1" Type="http://schemas.openxmlformats.org/officeDocument/2006/relationships/image" Target="../media/image3.png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3.png"/><Relationship Id="rId2" Type="http://schemas.openxmlformats.org/officeDocument/2006/relationships/image" Target="../media/image2.png"/><Relationship Id="rId1" Type="http://schemas.openxmlformats.org/officeDocument/2006/relationships/image" Target="../media/image3.png"/></Relationships>
</file>

<file path=xl/drawings/_rels/drawing28.xml.rels><?xml version="1.0" encoding="UTF-8" standalone="yes"?>
<Relationships xmlns="http://schemas.openxmlformats.org/package/2006/relationships"><Relationship Id="rId3" Type="http://schemas.openxmlformats.org/officeDocument/2006/relationships/image" Target="../media/image24.png"/><Relationship Id="rId2" Type="http://schemas.openxmlformats.org/officeDocument/2006/relationships/image" Target="../media/image2.png"/><Relationship Id="rId1" Type="http://schemas.openxmlformats.org/officeDocument/2006/relationships/image" Target="../media/image3.png"/></Relationships>
</file>

<file path=xl/drawings/_rels/drawing2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72</xdr:row>
      <xdr:rowOff>0</xdr:rowOff>
    </xdr:from>
    <xdr:to>
      <xdr:col>5</xdr:col>
      <xdr:colOff>0</xdr:colOff>
      <xdr:row>72</xdr:row>
      <xdr:rowOff>0</xdr:rowOff>
    </xdr:to>
    <xdr:sp macro="" textlink="">
      <xdr:nvSpPr>
        <xdr:cNvPr id="2034507" name="Line 3">
          <a:extLst>
            <a:ext uri="{FF2B5EF4-FFF2-40B4-BE49-F238E27FC236}">
              <a16:creationId xmlns:a16="http://schemas.microsoft.com/office/drawing/2014/main" id="{7AFA3E19-3111-4EA9-8BAE-4C8A46B67C88}"/>
            </a:ext>
          </a:extLst>
        </xdr:cNvPr>
        <xdr:cNvSpPr>
          <a:spLocks noChangeShapeType="1"/>
        </xdr:cNvSpPr>
      </xdr:nvSpPr>
      <xdr:spPr bwMode="auto">
        <a:xfrm>
          <a:off x="12477750" y="184404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0</xdr:rowOff>
    </xdr:from>
    <xdr:to>
      <xdr:col>5</xdr:col>
      <xdr:colOff>0</xdr:colOff>
      <xdr:row>72</xdr:row>
      <xdr:rowOff>0</xdr:rowOff>
    </xdr:to>
    <xdr:sp macro="" textlink="">
      <xdr:nvSpPr>
        <xdr:cNvPr id="2034508" name="Line 5">
          <a:extLst>
            <a:ext uri="{FF2B5EF4-FFF2-40B4-BE49-F238E27FC236}">
              <a16:creationId xmlns:a16="http://schemas.microsoft.com/office/drawing/2014/main" id="{4287F1B8-67CB-4812-9A33-BD85A42C1ABB}"/>
            </a:ext>
          </a:extLst>
        </xdr:cNvPr>
        <xdr:cNvSpPr>
          <a:spLocks noChangeShapeType="1"/>
        </xdr:cNvSpPr>
      </xdr:nvSpPr>
      <xdr:spPr bwMode="auto">
        <a:xfrm>
          <a:off x="12477750" y="184404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285750</xdr:colOff>
      <xdr:row>0</xdr:row>
      <xdr:rowOff>171450</xdr:rowOff>
    </xdr:from>
    <xdr:to>
      <xdr:col>2</xdr:col>
      <xdr:colOff>9525</xdr:colOff>
      <xdr:row>2</xdr:row>
      <xdr:rowOff>171450</xdr:rowOff>
    </xdr:to>
    <xdr:pic>
      <xdr:nvPicPr>
        <xdr:cNvPr id="2034509" name="Imagen 3">
          <a:extLst>
            <a:ext uri="{FF2B5EF4-FFF2-40B4-BE49-F238E27FC236}">
              <a16:creationId xmlns:a16="http://schemas.microsoft.com/office/drawing/2014/main" id="{E5FF9E01-A68A-4FE4-82B5-3BE351F834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71450"/>
          <a:ext cx="2943225" cy="914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142875</xdr:colOff>
      <xdr:row>0</xdr:row>
      <xdr:rowOff>142875</xdr:rowOff>
    </xdr:from>
    <xdr:to>
      <xdr:col>12</xdr:col>
      <xdr:colOff>0</xdr:colOff>
      <xdr:row>2</xdr:row>
      <xdr:rowOff>428625</xdr:rowOff>
    </xdr:to>
    <xdr:pic>
      <xdr:nvPicPr>
        <xdr:cNvPr id="2034510" name="Imagen 4">
          <a:extLst>
            <a:ext uri="{FF2B5EF4-FFF2-40B4-BE49-F238E27FC236}">
              <a16:creationId xmlns:a16="http://schemas.microsoft.com/office/drawing/2014/main" id="{4088370D-3641-42EB-9759-183F542059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222450" y="142875"/>
          <a:ext cx="2505075" cy="1200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0</xdr:colOff>
      <xdr:row>76</xdr:row>
      <xdr:rowOff>0</xdr:rowOff>
    </xdr:from>
    <xdr:to>
      <xdr:col>7</xdr:col>
      <xdr:colOff>0</xdr:colOff>
      <xdr:row>76</xdr:row>
      <xdr:rowOff>0</xdr:rowOff>
    </xdr:to>
    <xdr:sp macro="" textlink="">
      <xdr:nvSpPr>
        <xdr:cNvPr id="2034511" name="Line 3">
          <a:extLst>
            <a:ext uri="{FF2B5EF4-FFF2-40B4-BE49-F238E27FC236}">
              <a16:creationId xmlns:a16="http://schemas.microsoft.com/office/drawing/2014/main" id="{D4CA252A-FE2A-43E7-AE9E-FFCC098FDB1A}"/>
            </a:ext>
          </a:extLst>
        </xdr:cNvPr>
        <xdr:cNvSpPr>
          <a:spLocks noChangeShapeType="1"/>
        </xdr:cNvSpPr>
      </xdr:nvSpPr>
      <xdr:spPr bwMode="auto">
        <a:xfrm>
          <a:off x="17221200" y="192595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76</xdr:row>
      <xdr:rowOff>0</xdr:rowOff>
    </xdr:from>
    <xdr:to>
      <xdr:col>7</xdr:col>
      <xdr:colOff>0</xdr:colOff>
      <xdr:row>76</xdr:row>
      <xdr:rowOff>0</xdr:rowOff>
    </xdr:to>
    <xdr:sp macro="" textlink="">
      <xdr:nvSpPr>
        <xdr:cNvPr id="2034512" name="Line 5">
          <a:extLst>
            <a:ext uri="{FF2B5EF4-FFF2-40B4-BE49-F238E27FC236}">
              <a16:creationId xmlns:a16="http://schemas.microsoft.com/office/drawing/2014/main" id="{C1A3D260-5B9A-40D4-8097-CC86953FB8F2}"/>
            </a:ext>
          </a:extLst>
        </xdr:cNvPr>
        <xdr:cNvSpPr>
          <a:spLocks noChangeShapeType="1"/>
        </xdr:cNvSpPr>
      </xdr:nvSpPr>
      <xdr:spPr bwMode="auto">
        <a:xfrm>
          <a:off x="17221200" y="192595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108</xdr:row>
      <xdr:rowOff>0</xdr:rowOff>
    </xdr:from>
    <xdr:to>
      <xdr:col>7</xdr:col>
      <xdr:colOff>0</xdr:colOff>
      <xdr:row>108</xdr:row>
      <xdr:rowOff>0</xdr:rowOff>
    </xdr:to>
    <xdr:sp macro="" textlink="">
      <xdr:nvSpPr>
        <xdr:cNvPr id="2034513" name="Line 3">
          <a:extLst>
            <a:ext uri="{FF2B5EF4-FFF2-40B4-BE49-F238E27FC236}">
              <a16:creationId xmlns:a16="http://schemas.microsoft.com/office/drawing/2014/main" id="{71C06586-4B05-41EB-A235-C26B739A6A4E}"/>
            </a:ext>
          </a:extLst>
        </xdr:cNvPr>
        <xdr:cNvSpPr>
          <a:spLocks noChangeShapeType="1"/>
        </xdr:cNvSpPr>
      </xdr:nvSpPr>
      <xdr:spPr bwMode="auto">
        <a:xfrm>
          <a:off x="17221200" y="256889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108</xdr:row>
      <xdr:rowOff>0</xdr:rowOff>
    </xdr:from>
    <xdr:to>
      <xdr:col>7</xdr:col>
      <xdr:colOff>0</xdr:colOff>
      <xdr:row>108</xdr:row>
      <xdr:rowOff>0</xdr:rowOff>
    </xdr:to>
    <xdr:sp macro="" textlink="">
      <xdr:nvSpPr>
        <xdr:cNvPr id="2034514" name="Line 5">
          <a:extLst>
            <a:ext uri="{FF2B5EF4-FFF2-40B4-BE49-F238E27FC236}">
              <a16:creationId xmlns:a16="http://schemas.microsoft.com/office/drawing/2014/main" id="{1D334C48-5285-44CA-B9AC-DFDEEC61811F}"/>
            </a:ext>
          </a:extLst>
        </xdr:cNvPr>
        <xdr:cNvSpPr>
          <a:spLocks noChangeShapeType="1"/>
        </xdr:cNvSpPr>
      </xdr:nvSpPr>
      <xdr:spPr bwMode="auto">
        <a:xfrm>
          <a:off x="17221200" y="256889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66</xdr:row>
      <xdr:rowOff>0</xdr:rowOff>
    </xdr:from>
    <xdr:to>
      <xdr:col>7</xdr:col>
      <xdr:colOff>0</xdr:colOff>
      <xdr:row>66</xdr:row>
      <xdr:rowOff>0</xdr:rowOff>
    </xdr:to>
    <xdr:sp macro="" textlink="">
      <xdr:nvSpPr>
        <xdr:cNvPr id="2034515" name="Line 3">
          <a:extLst>
            <a:ext uri="{FF2B5EF4-FFF2-40B4-BE49-F238E27FC236}">
              <a16:creationId xmlns:a16="http://schemas.microsoft.com/office/drawing/2014/main" id="{7D9BAF4F-04C6-40BC-89CD-B44E71119916}"/>
            </a:ext>
          </a:extLst>
        </xdr:cNvPr>
        <xdr:cNvSpPr>
          <a:spLocks noChangeShapeType="1"/>
        </xdr:cNvSpPr>
      </xdr:nvSpPr>
      <xdr:spPr bwMode="auto">
        <a:xfrm>
          <a:off x="17221200" y="167830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66</xdr:row>
      <xdr:rowOff>0</xdr:rowOff>
    </xdr:from>
    <xdr:to>
      <xdr:col>7</xdr:col>
      <xdr:colOff>0</xdr:colOff>
      <xdr:row>66</xdr:row>
      <xdr:rowOff>0</xdr:rowOff>
    </xdr:to>
    <xdr:sp macro="" textlink="">
      <xdr:nvSpPr>
        <xdr:cNvPr id="2034516" name="Line 5">
          <a:extLst>
            <a:ext uri="{FF2B5EF4-FFF2-40B4-BE49-F238E27FC236}">
              <a16:creationId xmlns:a16="http://schemas.microsoft.com/office/drawing/2014/main" id="{930D2FE0-FD89-413A-9059-C22265F1041C}"/>
            </a:ext>
          </a:extLst>
        </xdr:cNvPr>
        <xdr:cNvSpPr>
          <a:spLocks noChangeShapeType="1"/>
        </xdr:cNvSpPr>
      </xdr:nvSpPr>
      <xdr:spPr bwMode="auto">
        <a:xfrm>
          <a:off x="17221200" y="167830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457200</xdr:colOff>
      <xdr:row>1</xdr:row>
      <xdr:rowOff>0</xdr:rowOff>
    </xdr:to>
    <xdr:pic>
      <xdr:nvPicPr>
        <xdr:cNvPr id="1791745" name="Imagen 3">
          <a:extLst>
            <a:ext uri="{FF2B5EF4-FFF2-40B4-BE49-F238E27FC236}">
              <a16:creationId xmlns:a16="http://schemas.microsoft.com/office/drawing/2014/main" id="{9E309EC9-FDD3-4B8C-BEE6-569FC16D7B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74320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790575</xdr:colOff>
      <xdr:row>0</xdr:row>
      <xdr:rowOff>0</xdr:rowOff>
    </xdr:from>
    <xdr:to>
      <xdr:col>14</xdr:col>
      <xdr:colOff>428625</xdr:colOff>
      <xdr:row>1</xdr:row>
      <xdr:rowOff>0</xdr:rowOff>
    </xdr:to>
    <xdr:pic>
      <xdr:nvPicPr>
        <xdr:cNvPr id="1791746" name="Imagen 4">
          <a:extLst>
            <a:ext uri="{FF2B5EF4-FFF2-40B4-BE49-F238E27FC236}">
              <a16:creationId xmlns:a16="http://schemas.microsoft.com/office/drawing/2014/main" id="{7599969E-84D5-445C-876D-E653BC548F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650450" y="0"/>
          <a:ext cx="2371725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829786</xdr:colOff>
      <xdr:row>84</xdr:row>
      <xdr:rowOff>0</xdr:rowOff>
    </xdr:from>
    <xdr:to>
      <xdr:col>0</xdr:col>
      <xdr:colOff>831374</xdr:colOff>
      <xdr:row>84</xdr:row>
      <xdr:rowOff>13494</xdr:rowOff>
    </xdr:to>
    <xdr:cxnSp macro="">
      <xdr:nvCxnSpPr>
        <xdr:cNvPr id="2" name="3 Conector recto">
          <a:extLst>
            <a:ext uri="{FF2B5EF4-FFF2-40B4-BE49-F238E27FC236}">
              <a16:creationId xmlns:a16="http://schemas.microsoft.com/office/drawing/2014/main" id="{5C094E4C-E570-47BF-9844-1F133F918BF2}"/>
            </a:ext>
          </a:extLst>
        </xdr:cNvPr>
        <xdr:cNvCxnSpPr/>
      </xdr:nvCxnSpPr>
      <xdr:spPr>
        <a:xfrm rot="5400000">
          <a:off x="549195" y="795774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84</xdr:row>
      <xdr:rowOff>0</xdr:rowOff>
    </xdr:from>
    <xdr:to>
      <xdr:col>0</xdr:col>
      <xdr:colOff>831374</xdr:colOff>
      <xdr:row>84</xdr:row>
      <xdr:rowOff>13494</xdr:rowOff>
    </xdr:to>
    <xdr:cxnSp macro="">
      <xdr:nvCxnSpPr>
        <xdr:cNvPr id="3" name="3 Conector recto">
          <a:extLst>
            <a:ext uri="{FF2B5EF4-FFF2-40B4-BE49-F238E27FC236}">
              <a16:creationId xmlns:a16="http://schemas.microsoft.com/office/drawing/2014/main" id="{E1D45A10-3748-4864-BC1B-7DB24839907E}"/>
            </a:ext>
          </a:extLst>
        </xdr:cNvPr>
        <xdr:cNvCxnSpPr/>
      </xdr:nvCxnSpPr>
      <xdr:spPr>
        <a:xfrm rot="5400000">
          <a:off x="549195" y="795774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85</xdr:row>
      <xdr:rowOff>0</xdr:rowOff>
    </xdr:from>
    <xdr:to>
      <xdr:col>0</xdr:col>
      <xdr:colOff>831374</xdr:colOff>
      <xdr:row>85</xdr:row>
      <xdr:rowOff>13494</xdr:rowOff>
    </xdr:to>
    <xdr:cxnSp macro="">
      <xdr:nvCxnSpPr>
        <xdr:cNvPr id="4" name="3 Conector recto">
          <a:extLst>
            <a:ext uri="{FF2B5EF4-FFF2-40B4-BE49-F238E27FC236}">
              <a16:creationId xmlns:a16="http://schemas.microsoft.com/office/drawing/2014/main" id="{10AA9C0B-3CDF-47A8-8855-D6A7E221E596}"/>
            </a:ext>
          </a:extLst>
        </xdr:cNvPr>
        <xdr:cNvCxnSpPr/>
      </xdr:nvCxnSpPr>
      <xdr:spPr>
        <a:xfrm rot="5400000">
          <a:off x="549195" y="814824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839311</xdr:colOff>
      <xdr:row>76</xdr:row>
      <xdr:rowOff>0</xdr:rowOff>
    </xdr:from>
    <xdr:to>
      <xdr:col>3</xdr:col>
      <xdr:colOff>840899</xdr:colOff>
      <xdr:row>76</xdr:row>
      <xdr:rowOff>13494</xdr:rowOff>
    </xdr:to>
    <xdr:cxnSp macro="">
      <xdr:nvCxnSpPr>
        <xdr:cNvPr id="5" name="3 Conector recto">
          <a:extLst>
            <a:ext uri="{FF2B5EF4-FFF2-40B4-BE49-F238E27FC236}">
              <a16:creationId xmlns:a16="http://schemas.microsoft.com/office/drawing/2014/main" id="{8A8A2EC2-EEB2-4AF0-A5F9-E23423308132}"/>
            </a:ext>
          </a:extLst>
        </xdr:cNvPr>
        <xdr:cNvCxnSpPr/>
      </xdr:nvCxnSpPr>
      <xdr:spPr>
        <a:xfrm rot="5400000">
          <a:off x="549195" y="63765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839311</xdr:colOff>
      <xdr:row>76</xdr:row>
      <xdr:rowOff>0</xdr:rowOff>
    </xdr:from>
    <xdr:to>
      <xdr:col>3</xdr:col>
      <xdr:colOff>840899</xdr:colOff>
      <xdr:row>76</xdr:row>
      <xdr:rowOff>13494</xdr:rowOff>
    </xdr:to>
    <xdr:cxnSp macro="">
      <xdr:nvCxnSpPr>
        <xdr:cNvPr id="6" name="3 Conector recto">
          <a:extLst>
            <a:ext uri="{FF2B5EF4-FFF2-40B4-BE49-F238E27FC236}">
              <a16:creationId xmlns:a16="http://schemas.microsoft.com/office/drawing/2014/main" id="{CEE7073F-3EA2-456C-9341-A635210520FC}"/>
            </a:ext>
          </a:extLst>
        </xdr:cNvPr>
        <xdr:cNvCxnSpPr/>
      </xdr:nvCxnSpPr>
      <xdr:spPr>
        <a:xfrm rot="5400000">
          <a:off x="549195" y="63765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84</xdr:row>
      <xdr:rowOff>0</xdr:rowOff>
    </xdr:from>
    <xdr:to>
      <xdr:col>0</xdr:col>
      <xdr:colOff>831374</xdr:colOff>
      <xdr:row>84</xdr:row>
      <xdr:rowOff>13494</xdr:rowOff>
    </xdr:to>
    <xdr:cxnSp macro="">
      <xdr:nvCxnSpPr>
        <xdr:cNvPr id="8" name="3 Conector recto">
          <a:extLst>
            <a:ext uri="{FF2B5EF4-FFF2-40B4-BE49-F238E27FC236}">
              <a16:creationId xmlns:a16="http://schemas.microsoft.com/office/drawing/2014/main" id="{8281F661-9A68-42D9-B7BA-853B21BDCC28}"/>
            </a:ext>
          </a:extLst>
        </xdr:cNvPr>
        <xdr:cNvCxnSpPr/>
      </xdr:nvCxnSpPr>
      <xdr:spPr>
        <a:xfrm rot="5400000">
          <a:off x="549195" y="795774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84</xdr:row>
      <xdr:rowOff>0</xdr:rowOff>
    </xdr:from>
    <xdr:to>
      <xdr:col>0</xdr:col>
      <xdr:colOff>831374</xdr:colOff>
      <xdr:row>84</xdr:row>
      <xdr:rowOff>13494</xdr:rowOff>
    </xdr:to>
    <xdr:cxnSp macro="">
      <xdr:nvCxnSpPr>
        <xdr:cNvPr id="9" name="3 Conector recto">
          <a:extLst>
            <a:ext uri="{FF2B5EF4-FFF2-40B4-BE49-F238E27FC236}">
              <a16:creationId xmlns:a16="http://schemas.microsoft.com/office/drawing/2014/main" id="{65AB3AC8-70AE-4467-B357-870155E1029C}"/>
            </a:ext>
          </a:extLst>
        </xdr:cNvPr>
        <xdr:cNvCxnSpPr/>
      </xdr:nvCxnSpPr>
      <xdr:spPr>
        <a:xfrm rot="5400000">
          <a:off x="549195" y="795774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85</xdr:row>
      <xdr:rowOff>0</xdr:rowOff>
    </xdr:from>
    <xdr:to>
      <xdr:col>0</xdr:col>
      <xdr:colOff>831374</xdr:colOff>
      <xdr:row>85</xdr:row>
      <xdr:rowOff>13494</xdr:rowOff>
    </xdr:to>
    <xdr:cxnSp macro="">
      <xdr:nvCxnSpPr>
        <xdr:cNvPr id="10" name="3 Conector recto">
          <a:extLst>
            <a:ext uri="{FF2B5EF4-FFF2-40B4-BE49-F238E27FC236}">
              <a16:creationId xmlns:a16="http://schemas.microsoft.com/office/drawing/2014/main" id="{98BE62B7-D5A1-4B2A-B4E5-9D121E6BEAFC}"/>
            </a:ext>
          </a:extLst>
        </xdr:cNvPr>
        <xdr:cNvCxnSpPr/>
      </xdr:nvCxnSpPr>
      <xdr:spPr>
        <a:xfrm rot="5400000">
          <a:off x="549195" y="814824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839311</xdr:colOff>
      <xdr:row>76</xdr:row>
      <xdr:rowOff>0</xdr:rowOff>
    </xdr:from>
    <xdr:to>
      <xdr:col>3</xdr:col>
      <xdr:colOff>840899</xdr:colOff>
      <xdr:row>76</xdr:row>
      <xdr:rowOff>13494</xdr:rowOff>
    </xdr:to>
    <xdr:cxnSp macro="">
      <xdr:nvCxnSpPr>
        <xdr:cNvPr id="11" name="3 Conector recto">
          <a:extLst>
            <a:ext uri="{FF2B5EF4-FFF2-40B4-BE49-F238E27FC236}">
              <a16:creationId xmlns:a16="http://schemas.microsoft.com/office/drawing/2014/main" id="{6F3E4F87-9507-4F96-A940-D337A9E29D2F}"/>
            </a:ext>
          </a:extLst>
        </xdr:cNvPr>
        <xdr:cNvCxnSpPr/>
      </xdr:nvCxnSpPr>
      <xdr:spPr>
        <a:xfrm rot="5400000">
          <a:off x="549195" y="63765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839311</xdr:colOff>
      <xdr:row>76</xdr:row>
      <xdr:rowOff>0</xdr:rowOff>
    </xdr:from>
    <xdr:to>
      <xdr:col>3</xdr:col>
      <xdr:colOff>840899</xdr:colOff>
      <xdr:row>76</xdr:row>
      <xdr:rowOff>13494</xdr:rowOff>
    </xdr:to>
    <xdr:cxnSp macro="">
      <xdr:nvCxnSpPr>
        <xdr:cNvPr id="12" name="3 Conector recto">
          <a:extLst>
            <a:ext uri="{FF2B5EF4-FFF2-40B4-BE49-F238E27FC236}">
              <a16:creationId xmlns:a16="http://schemas.microsoft.com/office/drawing/2014/main" id="{93FF93D7-4EDA-4CAC-B4E8-EE0537E1E432}"/>
            </a:ext>
          </a:extLst>
        </xdr:cNvPr>
        <xdr:cNvCxnSpPr/>
      </xdr:nvCxnSpPr>
      <xdr:spPr>
        <a:xfrm rot="5400000">
          <a:off x="549195" y="63765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914400</xdr:colOff>
      <xdr:row>1</xdr:row>
      <xdr:rowOff>114300</xdr:rowOff>
    </xdr:from>
    <xdr:to>
      <xdr:col>1</xdr:col>
      <xdr:colOff>504825</xdr:colOff>
      <xdr:row>3</xdr:row>
      <xdr:rowOff>409575</xdr:rowOff>
    </xdr:to>
    <xdr:pic>
      <xdr:nvPicPr>
        <xdr:cNvPr id="2080594" name="Imagen 18">
          <a:extLst>
            <a:ext uri="{FF2B5EF4-FFF2-40B4-BE49-F238E27FC236}">
              <a16:creationId xmlns:a16="http://schemas.microsoft.com/office/drawing/2014/main" id="{769FCDF6-D6FA-4FE0-B1D8-81EA17E633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" y="295275"/>
          <a:ext cx="2362200" cy="115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323850</xdr:colOff>
      <xdr:row>1</xdr:row>
      <xdr:rowOff>142875</xdr:rowOff>
    </xdr:from>
    <xdr:to>
      <xdr:col>13</xdr:col>
      <xdr:colOff>1303243</xdr:colOff>
      <xdr:row>4</xdr:row>
      <xdr:rowOff>0</xdr:rowOff>
    </xdr:to>
    <xdr:pic>
      <xdr:nvPicPr>
        <xdr:cNvPr id="2080595" name="Imagen 19">
          <a:extLst>
            <a:ext uri="{FF2B5EF4-FFF2-40B4-BE49-F238E27FC236}">
              <a16:creationId xmlns:a16="http://schemas.microsoft.com/office/drawing/2014/main" id="{2983F505-3CF9-4D23-A014-F67066194C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97900" y="323850"/>
          <a:ext cx="2371725" cy="115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839311</xdr:colOff>
      <xdr:row>76</xdr:row>
      <xdr:rowOff>0</xdr:rowOff>
    </xdr:from>
    <xdr:to>
      <xdr:col>3</xdr:col>
      <xdr:colOff>840899</xdr:colOff>
      <xdr:row>76</xdr:row>
      <xdr:rowOff>8335</xdr:rowOff>
    </xdr:to>
    <xdr:cxnSp macro="">
      <xdr:nvCxnSpPr>
        <xdr:cNvPr id="16" name="3 Conector recto">
          <a:extLst>
            <a:ext uri="{FF2B5EF4-FFF2-40B4-BE49-F238E27FC236}">
              <a16:creationId xmlns:a16="http://schemas.microsoft.com/office/drawing/2014/main" id="{1FB8187A-113E-409E-AFB1-73114ECFC7DD}"/>
            </a:ext>
          </a:extLst>
        </xdr:cNvPr>
        <xdr:cNvCxnSpPr/>
      </xdr:nvCxnSpPr>
      <xdr:spPr>
        <a:xfrm rot="5400000">
          <a:off x="551775" y="94982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839311</xdr:colOff>
      <xdr:row>76</xdr:row>
      <xdr:rowOff>0</xdr:rowOff>
    </xdr:from>
    <xdr:to>
      <xdr:col>3</xdr:col>
      <xdr:colOff>840899</xdr:colOff>
      <xdr:row>76</xdr:row>
      <xdr:rowOff>8335</xdr:rowOff>
    </xdr:to>
    <xdr:cxnSp macro="">
      <xdr:nvCxnSpPr>
        <xdr:cNvPr id="17" name="3 Conector recto">
          <a:extLst>
            <a:ext uri="{FF2B5EF4-FFF2-40B4-BE49-F238E27FC236}">
              <a16:creationId xmlns:a16="http://schemas.microsoft.com/office/drawing/2014/main" id="{B765758A-92BA-4C6D-B57B-788626BABD98}"/>
            </a:ext>
          </a:extLst>
        </xdr:cNvPr>
        <xdr:cNvCxnSpPr/>
      </xdr:nvCxnSpPr>
      <xdr:spPr>
        <a:xfrm rot="5400000">
          <a:off x="551775" y="94982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839311</xdr:colOff>
      <xdr:row>76</xdr:row>
      <xdr:rowOff>0</xdr:rowOff>
    </xdr:from>
    <xdr:to>
      <xdr:col>3</xdr:col>
      <xdr:colOff>840899</xdr:colOff>
      <xdr:row>76</xdr:row>
      <xdr:rowOff>8335</xdr:rowOff>
    </xdr:to>
    <xdr:cxnSp macro="">
      <xdr:nvCxnSpPr>
        <xdr:cNvPr id="19" name="3 Conector recto">
          <a:extLst>
            <a:ext uri="{FF2B5EF4-FFF2-40B4-BE49-F238E27FC236}">
              <a16:creationId xmlns:a16="http://schemas.microsoft.com/office/drawing/2014/main" id="{8F127D68-1C53-414E-84B3-F2CB6F3DE2E8}"/>
            </a:ext>
          </a:extLst>
        </xdr:cNvPr>
        <xdr:cNvCxnSpPr/>
      </xdr:nvCxnSpPr>
      <xdr:spPr>
        <a:xfrm rot="5400000">
          <a:off x="551775" y="94982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839311</xdr:colOff>
      <xdr:row>76</xdr:row>
      <xdr:rowOff>0</xdr:rowOff>
    </xdr:from>
    <xdr:to>
      <xdr:col>3</xdr:col>
      <xdr:colOff>840899</xdr:colOff>
      <xdr:row>76</xdr:row>
      <xdr:rowOff>8335</xdr:rowOff>
    </xdr:to>
    <xdr:cxnSp macro="">
      <xdr:nvCxnSpPr>
        <xdr:cNvPr id="20" name="3 Conector recto">
          <a:extLst>
            <a:ext uri="{FF2B5EF4-FFF2-40B4-BE49-F238E27FC236}">
              <a16:creationId xmlns:a16="http://schemas.microsoft.com/office/drawing/2014/main" id="{7D8F8755-CF34-4851-A757-08738D9E5249}"/>
            </a:ext>
          </a:extLst>
        </xdr:cNvPr>
        <xdr:cNvCxnSpPr/>
      </xdr:nvCxnSpPr>
      <xdr:spPr>
        <a:xfrm rot="5400000">
          <a:off x="551775" y="94982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813911</xdr:colOff>
      <xdr:row>76</xdr:row>
      <xdr:rowOff>0</xdr:rowOff>
    </xdr:from>
    <xdr:to>
      <xdr:col>3</xdr:col>
      <xdr:colOff>815499</xdr:colOff>
      <xdr:row>76</xdr:row>
      <xdr:rowOff>8335</xdr:rowOff>
    </xdr:to>
    <xdr:cxnSp macro="">
      <xdr:nvCxnSpPr>
        <xdr:cNvPr id="22" name="3 Conector recto">
          <a:extLst>
            <a:ext uri="{FF2B5EF4-FFF2-40B4-BE49-F238E27FC236}">
              <a16:creationId xmlns:a16="http://schemas.microsoft.com/office/drawing/2014/main" id="{068673EC-3B8D-4C4D-9B79-72B353A16EB8}"/>
            </a:ext>
          </a:extLst>
        </xdr:cNvPr>
        <xdr:cNvCxnSpPr/>
      </xdr:nvCxnSpPr>
      <xdr:spPr>
        <a:xfrm rot="5400000">
          <a:off x="542250" y="94982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813911</xdr:colOff>
      <xdr:row>76</xdr:row>
      <xdr:rowOff>0</xdr:rowOff>
    </xdr:from>
    <xdr:to>
      <xdr:col>3</xdr:col>
      <xdr:colOff>815499</xdr:colOff>
      <xdr:row>76</xdr:row>
      <xdr:rowOff>8335</xdr:rowOff>
    </xdr:to>
    <xdr:cxnSp macro="">
      <xdr:nvCxnSpPr>
        <xdr:cNvPr id="23" name="3 Conector recto">
          <a:extLst>
            <a:ext uri="{FF2B5EF4-FFF2-40B4-BE49-F238E27FC236}">
              <a16:creationId xmlns:a16="http://schemas.microsoft.com/office/drawing/2014/main" id="{470ACAAD-9FD6-4340-B4FB-94D373FE7F67}"/>
            </a:ext>
          </a:extLst>
        </xdr:cNvPr>
        <xdr:cNvCxnSpPr/>
      </xdr:nvCxnSpPr>
      <xdr:spPr>
        <a:xfrm rot="5400000">
          <a:off x="542250" y="94982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839311</xdr:colOff>
      <xdr:row>76</xdr:row>
      <xdr:rowOff>0</xdr:rowOff>
    </xdr:from>
    <xdr:to>
      <xdr:col>3</xdr:col>
      <xdr:colOff>840899</xdr:colOff>
      <xdr:row>76</xdr:row>
      <xdr:rowOff>8335</xdr:rowOff>
    </xdr:to>
    <xdr:cxnSp macro="">
      <xdr:nvCxnSpPr>
        <xdr:cNvPr id="25" name="3 Conector recto">
          <a:extLst>
            <a:ext uri="{FF2B5EF4-FFF2-40B4-BE49-F238E27FC236}">
              <a16:creationId xmlns:a16="http://schemas.microsoft.com/office/drawing/2014/main" id="{A822BBDF-A36F-4BF0-87C7-1435C7EC3B7A}"/>
            </a:ext>
          </a:extLst>
        </xdr:cNvPr>
        <xdr:cNvCxnSpPr/>
      </xdr:nvCxnSpPr>
      <xdr:spPr>
        <a:xfrm rot="5400000">
          <a:off x="551775" y="94982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839311</xdr:colOff>
      <xdr:row>76</xdr:row>
      <xdr:rowOff>0</xdr:rowOff>
    </xdr:from>
    <xdr:to>
      <xdr:col>3</xdr:col>
      <xdr:colOff>840899</xdr:colOff>
      <xdr:row>76</xdr:row>
      <xdr:rowOff>8335</xdr:rowOff>
    </xdr:to>
    <xdr:cxnSp macro="">
      <xdr:nvCxnSpPr>
        <xdr:cNvPr id="26" name="3 Conector recto">
          <a:extLst>
            <a:ext uri="{FF2B5EF4-FFF2-40B4-BE49-F238E27FC236}">
              <a16:creationId xmlns:a16="http://schemas.microsoft.com/office/drawing/2014/main" id="{C9A4C1BF-B7BF-42B0-8ECC-A41CC6003E6E}"/>
            </a:ext>
          </a:extLst>
        </xdr:cNvPr>
        <xdr:cNvCxnSpPr/>
      </xdr:nvCxnSpPr>
      <xdr:spPr>
        <a:xfrm rot="5400000">
          <a:off x="551775" y="94982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813911</xdr:colOff>
      <xdr:row>76</xdr:row>
      <xdr:rowOff>0</xdr:rowOff>
    </xdr:from>
    <xdr:to>
      <xdr:col>3</xdr:col>
      <xdr:colOff>815499</xdr:colOff>
      <xdr:row>76</xdr:row>
      <xdr:rowOff>8335</xdr:rowOff>
    </xdr:to>
    <xdr:cxnSp macro="">
      <xdr:nvCxnSpPr>
        <xdr:cNvPr id="28" name="3 Conector recto">
          <a:extLst>
            <a:ext uri="{FF2B5EF4-FFF2-40B4-BE49-F238E27FC236}">
              <a16:creationId xmlns:a16="http://schemas.microsoft.com/office/drawing/2014/main" id="{2FEBC424-8E82-4EDF-99F8-DCF89BCED56B}"/>
            </a:ext>
          </a:extLst>
        </xdr:cNvPr>
        <xdr:cNvCxnSpPr/>
      </xdr:nvCxnSpPr>
      <xdr:spPr>
        <a:xfrm rot="5400000">
          <a:off x="542250" y="94982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813911</xdr:colOff>
      <xdr:row>76</xdr:row>
      <xdr:rowOff>0</xdr:rowOff>
    </xdr:from>
    <xdr:to>
      <xdr:col>3</xdr:col>
      <xdr:colOff>815499</xdr:colOff>
      <xdr:row>76</xdr:row>
      <xdr:rowOff>8335</xdr:rowOff>
    </xdr:to>
    <xdr:cxnSp macro="">
      <xdr:nvCxnSpPr>
        <xdr:cNvPr id="29" name="3 Conector recto">
          <a:extLst>
            <a:ext uri="{FF2B5EF4-FFF2-40B4-BE49-F238E27FC236}">
              <a16:creationId xmlns:a16="http://schemas.microsoft.com/office/drawing/2014/main" id="{E1E4E82F-494A-456E-848A-7FC56C2EE70D}"/>
            </a:ext>
          </a:extLst>
        </xdr:cNvPr>
        <xdr:cNvCxnSpPr/>
      </xdr:nvCxnSpPr>
      <xdr:spPr>
        <a:xfrm rot="5400000">
          <a:off x="542250" y="94982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839311</xdr:colOff>
      <xdr:row>76</xdr:row>
      <xdr:rowOff>0</xdr:rowOff>
    </xdr:from>
    <xdr:to>
      <xdr:col>3</xdr:col>
      <xdr:colOff>840899</xdr:colOff>
      <xdr:row>76</xdr:row>
      <xdr:rowOff>8335</xdr:rowOff>
    </xdr:to>
    <xdr:cxnSp macro="">
      <xdr:nvCxnSpPr>
        <xdr:cNvPr id="31" name="3 Conector recto">
          <a:extLst>
            <a:ext uri="{FF2B5EF4-FFF2-40B4-BE49-F238E27FC236}">
              <a16:creationId xmlns:a16="http://schemas.microsoft.com/office/drawing/2014/main" id="{A61F70BE-3DD7-4F39-8273-D1D13DA4B4F9}"/>
            </a:ext>
          </a:extLst>
        </xdr:cNvPr>
        <xdr:cNvCxnSpPr/>
      </xdr:nvCxnSpPr>
      <xdr:spPr>
        <a:xfrm rot="5400000">
          <a:off x="551775" y="101840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839311</xdr:colOff>
      <xdr:row>76</xdr:row>
      <xdr:rowOff>0</xdr:rowOff>
    </xdr:from>
    <xdr:to>
      <xdr:col>3</xdr:col>
      <xdr:colOff>840899</xdr:colOff>
      <xdr:row>76</xdr:row>
      <xdr:rowOff>8335</xdr:rowOff>
    </xdr:to>
    <xdr:cxnSp macro="">
      <xdr:nvCxnSpPr>
        <xdr:cNvPr id="32" name="3 Conector recto">
          <a:extLst>
            <a:ext uri="{FF2B5EF4-FFF2-40B4-BE49-F238E27FC236}">
              <a16:creationId xmlns:a16="http://schemas.microsoft.com/office/drawing/2014/main" id="{B17FADAA-84EA-456C-8266-258AF1B9DF7E}"/>
            </a:ext>
          </a:extLst>
        </xdr:cNvPr>
        <xdr:cNvCxnSpPr/>
      </xdr:nvCxnSpPr>
      <xdr:spPr>
        <a:xfrm rot="5400000">
          <a:off x="551775" y="101840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839311</xdr:colOff>
      <xdr:row>76</xdr:row>
      <xdr:rowOff>0</xdr:rowOff>
    </xdr:from>
    <xdr:to>
      <xdr:col>3</xdr:col>
      <xdr:colOff>840899</xdr:colOff>
      <xdr:row>76</xdr:row>
      <xdr:rowOff>8335</xdr:rowOff>
    </xdr:to>
    <xdr:cxnSp macro="">
      <xdr:nvCxnSpPr>
        <xdr:cNvPr id="34" name="3 Conector recto">
          <a:extLst>
            <a:ext uri="{FF2B5EF4-FFF2-40B4-BE49-F238E27FC236}">
              <a16:creationId xmlns:a16="http://schemas.microsoft.com/office/drawing/2014/main" id="{1B8DA20C-0FD9-4BA6-99EE-9BB7B8E5A7A3}"/>
            </a:ext>
          </a:extLst>
        </xdr:cNvPr>
        <xdr:cNvCxnSpPr/>
      </xdr:nvCxnSpPr>
      <xdr:spPr>
        <a:xfrm rot="5400000">
          <a:off x="551775" y="101840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839311</xdr:colOff>
      <xdr:row>76</xdr:row>
      <xdr:rowOff>0</xdr:rowOff>
    </xdr:from>
    <xdr:to>
      <xdr:col>3</xdr:col>
      <xdr:colOff>840899</xdr:colOff>
      <xdr:row>76</xdr:row>
      <xdr:rowOff>8335</xdr:rowOff>
    </xdr:to>
    <xdr:cxnSp macro="">
      <xdr:nvCxnSpPr>
        <xdr:cNvPr id="35" name="3 Conector recto">
          <a:extLst>
            <a:ext uri="{FF2B5EF4-FFF2-40B4-BE49-F238E27FC236}">
              <a16:creationId xmlns:a16="http://schemas.microsoft.com/office/drawing/2014/main" id="{B47ACC68-2910-4E0C-9B95-9EF8DCFE3E7B}"/>
            </a:ext>
          </a:extLst>
        </xdr:cNvPr>
        <xdr:cNvCxnSpPr/>
      </xdr:nvCxnSpPr>
      <xdr:spPr>
        <a:xfrm rot="5400000">
          <a:off x="551775" y="101840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813911</xdr:colOff>
      <xdr:row>76</xdr:row>
      <xdr:rowOff>0</xdr:rowOff>
    </xdr:from>
    <xdr:to>
      <xdr:col>3</xdr:col>
      <xdr:colOff>815499</xdr:colOff>
      <xdr:row>76</xdr:row>
      <xdr:rowOff>8335</xdr:rowOff>
    </xdr:to>
    <xdr:cxnSp macro="">
      <xdr:nvCxnSpPr>
        <xdr:cNvPr id="37" name="3 Conector recto">
          <a:extLst>
            <a:ext uri="{FF2B5EF4-FFF2-40B4-BE49-F238E27FC236}">
              <a16:creationId xmlns:a16="http://schemas.microsoft.com/office/drawing/2014/main" id="{3AA5C8AE-26B9-4995-87DD-BD2F2C6E82E7}"/>
            </a:ext>
          </a:extLst>
        </xdr:cNvPr>
        <xdr:cNvCxnSpPr/>
      </xdr:nvCxnSpPr>
      <xdr:spPr>
        <a:xfrm rot="5400000">
          <a:off x="542250" y="101840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813911</xdr:colOff>
      <xdr:row>76</xdr:row>
      <xdr:rowOff>0</xdr:rowOff>
    </xdr:from>
    <xdr:to>
      <xdr:col>3</xdr:col>
      <xdr:colOff>815499</xdr:colOff>
      <xdr:row>76</xdr:row>
      <xdr:rowOff>8335</xdr:rowOff>
    </xdr:to>
    <xdr:cxnSp macro="">
      <xdr:nvCxnSpPr>
        <xdr:cNvPr id="38" name="3 Conector recto">
          <a:extLst>
            <a:ext uri="{FF2B5EF4-FFF2-40B4-BE49-F238E27FC236}">
              <a16:creationId xmlns:a16="http://schemas.microsoft.com/office/drawing/2014/main" id="{31EFA8BD-9B70-4343-B784-1FDD25CFD1E2}"/>
            </a:ext>
          </a:extLst>
        </xdr:cNvPr>
        <xdr:cNvCxnSpPr/>
      </xdr:nvCxnSpPr>
      <xdr:spPr>
        <a:xfrm rot="5400000">
          <a:off x="542250" y="101840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839311</xdr:colOff>
      <xdr:row>76</xdr:row>
      <xdr:rowOff>0</xdr:rowOff>
    </xdr:from>
    <xdr:to>
      <xdr:col>3</xdr:col>
      <xdr:colOff>840899</xdr:colOff>
      <xdr:row>76</xdr:row>
      <xdr:rowOff>8335</xdr:rowOff>
    </xdr:to>
    <xdr:cxnSp macro="">
      <xdr:nvCxnSpPr>
        <xdr:cNvPr id="40" name="3 Conector recto">
          <a:extLst>
            <a:ext uri="{FF2B5EF4-FFF2-40B4-BE49-F238E27FC236}">
              <a16:creationId xmlns:a16="http://schemas.microsoft.com/office/drawing/2014/main" id="{277ECED5-889A-49CA-BEC1-31B22DC7E31D}"/>
            </a:ext>
          </a:extLst>
        </xdr:cNvPr>
        <xdr:cNvCxnSpPr/>
      </xdr:nvCxnSpPr>
      <xdr:spPr>
        <a:xfrm rot="5400000">
          <a:off x="551775" y="101840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839311</xdr:colOff>
      <xdr:row>76</xdr:row>
      <xdr:rowOff>0</xdr:rowOff>
    </xdr:from>
    <xdr:to>
      <xdr:col>3</xdr:col>
      <xdr:colOff>840899</xdr:colOff>
      <xdr:row>76</xdr:row>
      <xdr:rowOff>8335</xdr:rowOff>
    </xdr:to>
    <xdr:cxnSp macro="">
      <xdr:nvCxnSpPr>
        <xdr:cNvPr id="41" name="3 Conector recto">
          <a:extLst>
            <a:ext uri="{FF2B5EF4-FFF2-40B4-BE49-F238E27FC236}">
              <a16:creationId xmlns:a16="http://schemas.microsoft.com/office/drawing/2014/main" id="{E75F59FD-586E-4984-A5E8-5155A66F4001}"/>
            </a:ext>
          </a:extLst>
        </xdr:cNvPr>
        <xdr:cNvCxnSpPr/>
      </xdr:nvCxnSpPr>
      <xdr:spPr>
        <a:xfrm rot="5400000">
          <a:off x="551775" y="101840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813911</xdr:colOff>
      <xdr:row>76</xdr:row>
      <xdr:rowOff>0</xdr:rowOff>
    </xdr:from>
    <xdr:to>
      <xdr:col>3</xdr:col>
      <xdr:colOff>815499</xdr:colOff>
      <xdr:row>76</xdr:row>
      <xdr:rowOff>8335</xdr:rowOff>
    </xdr:to>
    <xdr:cxnSp macro="">
      <xdr:nvCxnSpPr>
        <xdr:cNvPr id="43" name="3 Conector recto">
          <a:extLst>
            <a:ext uri="{FF2B5EF4-FFF2-40B4-BE49-F238E27FC236}">
              <a16:creationId xmlns:a16="http://schemas.microsoft.com/office/drawing/2014/main" id="{EE5B45B9-5D2F-47DC-8E60-D18ECE745F32}"/>
            </a:ext>
          </a:extLst>
        </xdr:cNvPr>
        <xdr:cNvCxnSpPr/>
      </xdr:nvCxnSpPr>
      <xdr:spPr>
        <a:xfrm rot="5400000">
          <a:off x="542250" y="101840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813911</xdr:colOff>
      <xdr:row>76</xdr:row>
      <xdr:rowOff>0</xdr:rowOff>
    </xdr:from>
    <xdr:to>
      <xdr:col>3</xdr:col>
      <xdr:colOff>815499</xdr:colOff>
      <xdr:row>76</xdr:row>
      <xdr:rowOff>8335</xdr:rowOff>
    </xdr:to>
    <xdr:cxnSp macro="">
      <xdr:nvCxnSpPr>
        <xdr:cNvPr id="44" name="3 Conector recto">
          <a:extLst>
            <a:ext uri="{FF2B5EF4-FFF2-40B4-BE49-F238E27FC236}">
              <a16:creationId xmlns:a16="http://schemas.microsoft.com/office/drawing/2014/main" id="{53C17B7F-B31D-46F0-A5BF-06184EABFE95}"/>
            </a:ext>
          </a:extLst>
        </xdr:cNvPr>
        <xdr:cNvCxnSpPr/>
      </xdr:nvCxnSpPr>
      <xdr:spPr>
        <a:xfrm rot="5400000">
          <a:off x="542250" y="101840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553561</xdr:colOff>
      <xdr:row>76</xdr:row>
      <xdr:rowOff>0</xdr:rowOff>
    </xdr:from>
    <xdr:to>
      <xdr:col>6</xdr:col>
      <xdr:colOff>555149</xdr:colOff>
      <xdr:row>76</xdr:row>
      <xdr:rowOff>5160</xdr:rowOff>
    </xdr:to>
    <xdr:cxnSp macro="">
      <xdr:nvCxnSpPr>
        <xdr:cNvPr id="46" name="3 Conector recto">
          <a:extLst>
            <a:ext uri="{FF2B5EF4-FFF2-40B4-BE49-F238E27FC236}">
              <a16:creationId xmlns:a16="http://schemas.microsoft.com/office/drawing/2014/main" id="{DC78FA74-20D3-458E-A280-1AEDB7C8A1D7}"/>
            </a:ext>
          </a:extLst>
        </xdr:cNvPr>
        <xdr:cNvCxnSpPr/>
      </xdr:nvCxnSpPr>
      <xdr:spPr>
        <a:xfrm rot="5400000">
          <a:off x="5609550" y="101840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553561</xdr:colOff>
      <xdr:row>76</xdr:row>
      <xdr:rowOff>0</xdr:rowOff>
    </xdr:from>
    <xdr:to>
      <xdr:col>6</xdr:col>
      <xdr:colOff>555149</xdr:colOff>
      <xdr:row>76</xdr:row>
      <xdr:rowOff>5160</xdr:rowOff>
    </xdr:to>
    <xdr:cxnSp macro="">
      <xdr:nvCxnSpPr>
        <xdr:cNvPr id="47" name="3 Conector recto">
          <a:extLst>
            <a:ext uri="{FF2B5EF4-FFF2-40B4-BE49-F238E27FC236}">
              <a16:creationId xmlns:a16="http://schemas.microsoft.com/office/drawing/2014/main" id="{594D530B-2AD1-4335-BE91-2593C554500B}"/>
            </a:ext>
          </a:extLst>
        </xdr:cNvPr>
        <xdr:cNvCxnSpPr/>
      </xdr:nvCxnSpPr>
      <xdr:spPr>
        <a:xfrm rot="5400000">
          <a:off x="5609550" y="101840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553561</xdr:colOff>
      <xdr:row>77</xdr:row>
      <xdr:rowOff>0</xdr:rowOff>
    </xdr:from>
    <xdr:to>
      <xdr:col>6</xdr:col>
      <xdr:colOff>555149</xdr:colOff>
      <xdr:row>77</xdr:row>
      <xdr:rowOff>10319</xdr:rowOff>
    </xdr:to>
    <xdr:cxnSp macro="">
      <xdr:nvCxnSpPr>
        <xdr:cNvPr id="48" name="3 Conector recto">
          <a:extLst>
            <a:ext uri="{FF2B5EF4-FFF2-40B4-BE49-F238E27FC236}">
              <a16:creationId xmlns:a16="http://schemas.microsoft.com/office/drawing/2014/main" id="{891F6557-DB2D-4289-B2EA-E2342744FB7A}"/>
            </a:ext>
          </a:extLst>
        </xdr:cNvPr>
        <xdr:cNvCxnSpPr/>
      </xdr:nvCxnSpPr>
      <xdr:spPr>
        <a:xfrm rot="5400000">
          <a:off x="5606970" y="103770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544036</xdr:colOff>
      <xdr:row>76</xdr:row>
      <xdr:rowOff>0</xdr:rowOff>
    </xdr:from>
    <xdr:to>
      <xdr:col>6</xdr:col>
      <xdr:colOff>545624</xdr:colOff>
      <xdr:row>76</xdr:row>
      <xdr:rowOff>5160</xdr:rowOff>
    </xdr:to>
    <xdr:cxnSp macro="">
      <xdr:nvCxnSpPr>
        <xdr:cNvPr id="49" name="3 Conector recto">
          <a:extLst>
            <a:ext uri="{FF2B5EF4-FFF2-40B4-BE49-F238E27FC236}">
              <a16:creationId xmlns:a16="http://schemas.microsoft.com/office/drawing/2014/main" id="{05F22AE1-7A3B-4CDF-8E94-0F2598B19D4A}"/>
            </a:ext>
          </a:extLst>
        </xdr:cNvPr>
        <xdr:cNvCxnSpPr/>
      </xdr:nvCxnSpPr>
      <xdr:spPr>
        <a:xfrm rot="5400000">
          <a:off x="5600025" y="101840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544036</xdr:colOff>
      <xdr:row>76</xdr:row>
      <xdr:rowOff>0</xdr:rowOff>
    </xdr:from>
    <xdr:to>
      <xdr:col>6</xdr:col>
      <xdr:colOff>545624</xdr:colOff>
      <xdr:row>76</xdr:row>
      <xdr:rowOff>5160</xdr:rowOff>
    </xdr:to>
    <xdr:cxnSp macro="">
      <xdr:nvCxnSpPr>
        <xdr:cNvPr id="50" name="3 Conector recto">
          <a:extLst>
            <a:ext uri="{FF2B5EF4-FFF2-40B4-BE49-F238E27FC236}">
              <a16:creationId xmlns:a16="http://schemas.microsoft.com/office/drawing/2014/main" id="{EE7FBBFC-E91D-4DFD-91D7-26EE664371D7}"/>
            </a:ext>
          </a:extLst>
        </xdr:cNvPr>
        <xdr:cNvCxnSpPr/>
      </xdr:nvCxnSpPr>
      <xdr:spPr>
        <a:xfrm rot="5400000">
          <a:off x="5600025" y="101840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544036</xdr:colOff>
      <xdr:row>77</xdr:row>
      <xdr:rowOff>0</xdr:rowOff>
    </xdr:from>
    <xdr:to>
      <xdr:col>6</xdr:col>
      <xdr:colOff>545624</xdr:colOff>
      <xdr:row>77</xdr:row>
      <xdr:rowOff>10319</xdr:rowOff>
    </xdr:to>
    <xdr:cxnSp macro="">
      <xdr:nvCxnSpPr>
        <xdr:cNvPr id="51" name="3 Conector recto">
          <a:extLst>
            <a:ext uri="{FF2B5EF4-FFF2-40B4-BE49-F238E27FC236}">
              <a16:creationId xmlns:a16="http://schemas.microsoft.com/office/drawing/2014/main" id="{B2544366-AC4A-4CC5-A603-C532E1A5CBED}"/>
            </a:ext>
          </a:extLst>
        </xdr:cNvPr>
        <xdr:cNvCxnSpPr/>
      </xdr:nvCxnSpPr>
      <xdr:spPr>
        <a:xfrm rot="5400000">
          <a:off x="5597445" y="103770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839311</xdr:colOff>
      <xdr:row>76</xdr:row>
      <xdr:rowOff>0</xdr:rowOff>
    </xdr:from>
    <xdr:to>
      <xdr:col>3</xdr:col>
      <xdr:colOff>840899</xdr:colOff>
      <xdr:row>76</xdr:row>
      <xdr:rowOff>13494</xdr:rowOff>
    </xdr:to>
    <xdr:cxnSp macro="">
      <xdr:nvCxnSpPr>
        <xdr:cNvPr id="52" name="3 Conector recto">
          <a:extLst>
            <a:ext uri="{FF2B5EF4-FFF2-40B4-BE49-F238E27FC236}">
              <a16:creationId xmlns:a16="http://schemas.microsoft.com/office/drawing/2014/main" id="{6B80CF29-9EA7-48AE-AC52-2875386C1A86}"/>
            </a:ext>
          </a:extLst>
        </xdr:cNvPr>
        <xdr:cNvCxnSpPr/>
      </xdr:nvCxnSpPr>
      <xdr:spPr>
        <a:xfrm rot="5400000">
          <a:off x="8016795" y="171969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839311</xdr:colOff>
      <xdr:row>76</xdr:row>
      <xdr:rowOff>0</xdr:rowOff>
    </xdr:from>
    <xdr:to>
      <xdr:col>3</xdr:col>
      <xdr:colOff>840899</xdr:colOff>
      <xdr:row>76</xdr:row>
      <xdr:rowOff>13494</xdr:rowOff>
    </xdr:to>
    <xdr:cxnSp macro="">
      <xdr:nvCxnSpPr>
        <xdr:cNvPr id="53" name="3 Conector recto">
          <a:extLst>
            <a:ext uri="{FF2B5EF4-FFF2-40B4-BE49-F238E27FC236}">
              <a16:creationId xmlns:a16="http://schemas.microsoft.com/office/drawing/2014/main" id="{C496E746-F126-41F9-A22C-9B24DE2F1B5F}"/>
            </a:ext>
          </a:extLst>
        </xdr:cNvPr>
        <xdr:cNvCxnSpPr/>
      </xdr:nvCxnSpPr>
      <xdr:spPr>
        <a:xfrm rot="5400000">
          <a:off x="8016795" y="171969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839311</xdr:colOff>
      <xdr:row>76</xdr:row>
      <xdr:rowOff>0</xdr:rowOff>
    </xdr:from>
    <xdr:to>
      <xdr:col>3</xdr:col>
      <xdr:colOff>840899</xdr:colOff>
      <xdr:row>76</xdr:row>
      <xdr:rowOff>13494</xdr:rowOff>
    </xdr:to>
    <xdr:cxnSp macro="">
      <xdr:nvCxnSpPr>
        <xdr:cNvPr id="55" name="3 Conector recto">
          <a:extLst>
            <a:ext uri="{FF2B5EF4-FFF2-40B4-BE49-F238E27FC236}">
              <a16:creationId xmlns:a16="http://schemas.microsoft.com/office/drawing/2014/main" id="{114254C0-E377-460E-8AAC-992D2AE32176}"/>
            </a:ext>
          </a:extLst>
        </xdr:cNvPr>
        <xdr:cNvCxnSpPr/>
      </xdr:nvCxnSpPr>
      <xdr:spPr>
        <a:xfrm rot="5400000">
          <a:off x="8016795" y="171969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839311</xdr:colOff>
      <xdr:row>76</xdr:row>
      <xdr:rowOff>0</xdr:rowOff>
    </xdr:from>
    <xdr:to>
      <xdr:col>3</xdr:col>
      <xdr:colOff>840899</xdr:colOff>
      <xdr:row>76</xdr:row>
      <xdr:rowOff>13494</xdr:rowOff>
    </xdr:to>
    <xdr:cxnSp macro="">
      <xdr:nvCxnSpPr>
        <xdr:cNvPr id="56" name="3 Conector recto">
          <a:extLst>
            <a:ext uri="{FF2B5EF4-FFF2-40B4-BE49-F238E27FC236}">
              <a16:creationId xmlns:a16="http://schemas.microsoft.com/office/drawing/2014/main" id="{016D0941-0ABA-4381-95E9-5446114C7C72}"/>
            </a:ext>
          </a:extLst>
        </xdr:cNvPr>
        <xdr:cNvCxnSpPr/>
      </xdr:nvCxnSpPr>
      <xdr:spPr>
        <a:xfrm rot="5400000">
          <a:off x="8016795" y="171969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839311</xdr:colOff>
      <xdr:row>76</xdr:row>
      <xdr:rowOff>0</xdr:rowOff>
    </xdr:from>
    <xdr:to>
      <xdr:col>3</xdr:col>
      <xdr:colOff>840899</xdr:colOff>
      <xdr:row>76</xdr:row>
      <xdr:rowOff>8335</xdr:rowOff>
    </xdr:to>
    <xdr:cxnSp macro="">
      <xdr:nvCxnSpPr>
        <xdr:cNvPr id="58" name="3 Conector recto">
          <a:extLst>
            <a:ext uri="{FF2B5EF4-FFF2-40B4-BE49-F238E27FC236}">
              <a16:creationId xmlns:a16="http://schemas.microsoft.com/office/drawing/2014/main" id="{2DF049D6-4117-44BA-A116-169DFBAD8AE8}"/>
            </a:ext>
          </a:extLst>
        </xdr:cNvPr>
        <xdr:cNvCxnSpPr/>
      </xdr:nvCxnSpPr>
      <xdr:spPr>
        <a:xfrm rot="5400000">
          <a:off x="8019375" y="17194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839311</xdr:colOff>
      <xdr:row>76</xdr:row>
      <xdr:rowOff>0</xdr:rowOff>
    </xdr:from>
    <xdr:to>
      <xdr:col>3</xdr:col>
      <xdr:colOff>840899</xdr:colOff>
      <xdr:row>76</xdr:row>
      <xdr:rowOff>8335</xdr:rowOff>
    </xdr:to>
    <xdr:cxnSp macro="">
      <xdr:nvCxnSpPr>
        <xdr:cNvPr id="59" name="3 Conector recto">
          <a:extLst>
            <a:ext uri="{FF2B5EF4-FFF2-40B4-BE49-F238E27FC236}">
              <a16:creationId xmlns:a16="http://schemas.microsoft.com/office/drawing/2014/main" id="{9ADDCCD3-0B1E-4CD8-A8E9-9408043E6197}"/>
            </a:ext>
          </a:extLst>
        </xdr:cNvPr>
        <xdr:cNvCxnSpPr/>
      </xdr:nvCxnSpPr>
      <xdr:spPr>
        <a:xfrm rot="5400000">
          <a:off x="8019375" y="17194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839311</xdr:colOff>
      <xdr:row>76</xdr:row>
      <xdr:rowOff>0</xdr:rowOff>
    </xdr:from>
    <xdr:to>
      <xdr:col>3</xdr:col>
      <xdr:colOff>840899</xdr:colOff>
      <xdr:row>76</xdr:row>
      <xdr:rowOff>8335</xdr:rowOff>
    </xdr:to>
    <xdr:cxnSp macro="">
      <xdr:nvCxnSpPr>
        <xdr:cNvPr id="61" name="3 Conector recto">
          <a:extLst>
            <a:ext uri="{FF2B5EF4-FFF2-40B4-BE49-F238E27FC236}">
              <a16:creationId xmlns:a16="http://schemas.microsoft.com/office/drawing/2014/main" id="{2E284C67-235E-4900-8D7F-FAA96A0CCBF5}"/>
            </a:ext>
          </a:extLst>
        </xdr:cNvPr>
        <xdr:cNvCxnSpPr/>
      </xdr:nvCxnSpPr>
      <xdr:spPr>
        <a:xfrm rot="5400000">
          <a:off x="8019375" y="17194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839311</xdr:colOff>
      <xdr:row>76</xdr:row>
      <xdr:rowOff>0</xdr:rowOff>
    </xdr:from>
    <xdr:to>
      <xdr:col>3</xdr:col>
      <xdr:colOff>840899</xdr:colOff>
      <xdr:row>76</xdr:row>
      <xdr:rowOff>8335</xdr:rowOff>
    </xdr:to>
    <xdr:cxnSp macro="">
      <xdr:nvCxnSpPr>
        <xdr:cNvPr id="62" name="3 Conector recto">
          <a:extLst>
            <a:ext uri="{FF2B5EF4-FFF2-40B4-BE49-F238E27FC236}">
              <a16:creationId xmlns:a16="http://schemas.microsoft.com/office/drawing/2014/main" id="{D23CCC56-9738-4BBF-A522-8E2A04354258}"/>
            </a:ext>
          </a:extLst>
        </xdr:cNvPr>
        <xdr:cNvCxnSpPr/>
      </xdr:nvCxnSpPr>
      <xdr:spPr>
        <a:xfrm rot="5400000">
          <a:off x="8019375" y="17194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813911</xdr:colOff>
      <xdr:row>76</xdr:row>
      <xdr:rowOff>0</xdr:rowOff>
    </xdr:from>
    <xdr:to>
      <xdr:col>3</xdr:col>
      <xdr:colOff>815499</xdr:colOff>
      <xdr:row>76</xdr:row>
      <xdr:rowOff>8335</xdr:rowOff>
    </xdr:to>
    <xdr:cxnSp macro="">
      <xdr:nvCxnSpPr>
        <xdr:cNvPr id="64" name="3 Conector recto">
          <a:extLst>
            <a:ext uri="{FF2B5EF4-FFF2-40B4-BE49-F238E27FC236}">
              <a16:creationId xmlns:a16="http://schemas.microsoft.com/office/drawing/2014/main" id="{CAABA6C8-D475-478F-ACA1-B2D0AC4BE2BB}"/>
            </a:ext>
          </a:extLst>
        </xdr:cNvPr>
        <xdr:cNvCxnSpPr/>
      </xdr:nvCxnSpPr>
      <xdr:spPr>
        <a:xfrm rot="5400000">
          <a:off x="8009850" y="17194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813911</xdr:colOff>
      <xdr:row>76</xdr:row>
      <xdr:rowOff>0</xdr:rowOff>
    </xdr:from>
    <xdr:to>
      <xdr:col>3</xdr:col>
      <xdr:colOff>815499</xdr:colOff>
      <xdr:row>76</xdr:row>
      <xdr:rowOff>8335</xdr:rowOff>
    </xdr:to>
    <xdr:cxnSp macro="">
      <xdr:nvCxnSpPr>
        <xdr:cNvPr id="65" name="3 Conector recto">
          <a:extLst>
            <a:ext uri="{FF2B5EF4-FFF2-40B4-BE49-F238E27FC236}">
              <a16:creationId xmlns:a16="http://schemas.microsoft.com/office/drawing/2014/main" id="{71948E47-1F1F-4C2D-B0FC-0673C3C8A86A}"/>
            </a:ext>
          </a:extLst>
        </xdr:cNvPr>
        <xdr:cNvCxnSpPr/>
      </xdr:nvCxnSpPr>
      <xdr:spPr>
        <a:xfrm rot="5400000">
          <a:off x="8009850" y="17194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839311</xdr:colOff>
      <xdr:row>76</xdr:row>
      <xdr:rowOff>0</xdr:rowOff>
    </xdr:from>
    <xdr:to>
      <xdr:col>3</xdr:col>
      <xdr:colOff>840899</xdr:colOff>
      <xdr:row>76</xdr:row>
      <xdr:rowOff>8335</xdr:rowOff>
    </xdr:to>
    <xdr:cxnSp macro="">
      <xdr:nvCxnSpPr>
        <xdr:cNvPr id="67" name="3 Conector recto">
          <a:extLst>
            <a:ext uri="{FF2B5EF4-FFF2-40B4-BE49-F238E27FC236}">
              <a16:creationId xmlns:a16="http://schemas.microsoft.com/office/drawing/2014/main" id="{D4FA284E-726A-41A3-8506-96EC3A73091B}"/>
            </a:ext>
          </a:extLst>
        </xdr:cNvPr>
        <xdr:cNvCxnSpPr/>
      </xdr:nvCxnSpPr>
      <xdr:spPr>
        <a:xfrm rot="5400000">
          <a:off x="8019375" y="17194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839311</xdr:colOff>
      <xdr:row>76</xdr:row>
      <xdr:rowOff>0</xdr:rowOff>
    </xdr:from>
    <xdr:to>
      <xdr:col>3</xdr:col>
      <xdr:colOff>840899</xdr:colOff>
      <xdr:row>76</xdr:row>
      <xdr:rowOff>8335</xdr:rowOff>
    </xdr:to>
    <xdr:cxnSp macro="">
      <xdr:nvCxnSpPr>
        <xdr:cNvPr id="68" name="3 Conector recto">
          <a:extLst>
            <a:ext uri="{FF2B5EF4-FFF2-40B4-BE49-F238E27FC236}">
              <a16:creationId xmlns:a16="http://schemas.microsoft.com/office/drawing/2014/main" id="{1D76BC9D-527C-4322-965D-048C569876E7}"/>
            </a:ext>
          </a:extLst>
        </xdr:cNvPr>
        <xdr:cNvCxnSpPr/>
      </xdr:nvCxnSpPr>
      <xdr:spPr>
        <a:xfrm rot="5400000">
          <a:off x="8019375" y="17194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813911</xdr:colOff>
      <xdr:row>76</xdr:row>
      <xdr:rowOff>0</xdr:rowOff>
    </xdr:from>
    <xdr:to>
      <xdr:col>3</xdr:col>
      <xdr:colOff>815499</xdr:colOff>
      <xdr:row>76</xdr:row>
      <xdr:rowOff>8335</xdr:rowOff>
    </xdr:to>
    <xdr:cxnSp macro="">
      <xdr:nvCxnSpPr>
        <xdr:cNvPr id="70" name="3 Conector recto">
          <a:extLst>
            <a:ext uri="{FF2B5EF4-FFF2-40B4-BE49-F238E27FC236}">
              <a16:creationId xmlns:a16="http://schemas.microsoft.com/office/drawing/2014/main" id="{B2C81470-4C47-4ACE-8C1D-11AC51525367}"/>
            </a:ext>
          </a:extLst>
        </xdr:cNvPr>
        <xdr:cNvCxnSpPr/>
      </xdr:nvCxnSpPr>
      <xdr:spPr>
        <a:xfrm rot="5400000">
          <a:off x="8009850" y="17194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813911</xdr:colOff>
      <xdr:row>76</xdr:row>
      <xdr:rowOff>0</xdr:rowOff>
    </xdr:from>
    <xdr:to>
      <xdr:col>3</xdr:col>
      <xdr:colOff>815499</xdr:colOff>
      <xdr:row>76</xdr:row>
      <xdr:rowOff>8335</xdr:rowOff>
    </xdr:to>
    <xdr:cxnSp macro="">
      <xdr:nvCxnSpPr>
        <xdr:cNvPr id="71" name="3 Conector recto">
          <a:extLst>
            <a:ext uri="{FF2B5EF4-FFF2-40B4-BE49-F238E27FC236}">
              <a16:creationId xmlns:a16="http://schemas.microsoft.com/office/drawing/2014/main" id="{B67D206A-03D1-4B10-95A3-92DFA7F0DA65}"/>
            </a:ext>
          </a:extLst>
        </xdr:cNvPr>
        <xdr:cNvCxnSpPr/>
      </xdr:nvCxnSpPr>
      <xdr:spPr>
        <a:xfrm rot="5400000">
          <a:off x="8009850" y="17194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839311</xdr:colOff>
      <xdr:row>76</xdr:row>
      <xdr:rowOff>0</xdr:rowOff>
    </xdr:from>
    <xdr:to>
      <xdr:col>3</xdr:col>
      <xdr:colOff>840899</xdr:colOff>
      <xdr:row>76</xdr:row>
      <xdr:rowOff>8335</xdr:rowOff>
    </xdr:to>
    <xdr:cxnSp macro="">
      <xdr:nvCxnSpPr>
        <xdr:cNvPr id="73" name="3 Conector recto">
          <a:extLst>
            <a:ext uri="{FF2B5EF4-FFF2-40B4-BE49-F238E27FC236}">
              <a16:creationId xmlns:a16="http://schemas.microsoft.com/office/drawing/2014/main" id="{4907E27C-431A-4DA3-9D61-7BF14BC062EB}"/>
            </a:ext>
          </a:extLst>
        </xdr:cNvPr>
        <xdr:cNvCxnSpPr/>
      </xdr:nvCxnSpPr>
      <xdr:spPr>
        <a:xfrm rot="5400000">
          <a:off x="8019375" y="17194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839311</xdr:colOff>
      <xdr:row>76</xdr:row>
      <xdr:rowOff>0</xdr:rowOff>
    </xdr:from>
    <xdr:to>
      <xdr:col>3</xdr:col>
      <xdr:colOff>840899</xdr:colOff>
      <xdr:row>76</xdr:row>
      <xdr:rowOff>8335</xdr:rowOff>
    </xdr:to>
    <xdr:cxnSp macro="">
      <xdr:nvCxnSpPr>
        <xdr:cNvPr id="74" name="3 Conector recto">
          <a:extLst>
            <a:ext uri="{FF2B5EF4-FFF2-40B4-BE49-F238E27FC236}">
              <a16:creationId xmlns:a16="http://schemas.microsoft.com/office/drawing/2014/main" id="{FB4B5C7B-7978-4330-842C-9A27491D7958}"/>
            </a:ext>
          </a:extLst>
        </xdr:cNvPr>
        <xdr:cNvCxnSpPr/>
      </xdr:nvCxnSpPr>
      <xdr:spPr>
        <a:xfrm rot="5400000">
          <a:off x="8019375" y="17194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839311</xdr:colOff>
      <xdr:row>76</xdr:row>
      <xdr:rowOff>0</xdr:rowOff>
    </xdr:from>
    <xdr:to>
      <xdr:col>3</xdr:col>
      <xdr:colOff>840899</xdr:colOff>
      <xdr:row>76</xdr:row>
      <xdr:rowOff>8335</xdr:rowOff>
    </xdr:to>
    <xdr:cxnSp macro="">
      <xdr:nvCxnSpPr>
        <xdr:cNvPr id="76" name="3 Conector recto">
          <a:extLst>
            <a:ext uri="{FF2B5EF4-FFF2-40B4-BE49-F238E27FC236}">
              <a16:creationId xmlns:a16="http://schemas.microsoft.com/office/drawing/2014/main" id="{62BB0648-8B52-4A7F-9788-0B2F415AEF27}"/>
            </a:ext>
          </a:extLst>
        </xdr:cNvPr>
        <xdr:cNvCxnSpPr/>
      </xdr:nvCxnSpPr>
      <xdr:spPr>
        <a:xfrm rot="5400000">
          <a:off x="8019375" y="17194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839311</xdr:colOff>
      <xdr:row>76</xdr:row>
      <xdr:rowOff>0</xdr:rowOff>
    </xdr:from>
    <xdr:to>
      <xdr:col>3</xdr:col>
      <xdr:colOff>840899</xdr:colOff>
      <xdr:row>76</xdr:row>
      <xdr:rowOff>8335</xdr:rowOff>
    </xdr:to>
    <xdr:cxnSp macro="">
      <xdr:nvCxnSpPr>
        <xdr:cNvPr id="77" name="3 Conector recto">
          <a:extLst>
            <a:ext uri="{FF2B5EF4-FFF2-40B4-BE49-F238E27FC236}">
              <a16:creationId xmlns:a16="http://schemas.microsoft.com/office/drawing/2014/main" id="{E3CFAAC5-E00B-44DC-B7D7-311F079021B5}"/>
            </a:ext>
          </a:extLst>
        </xdr:cNvPr>
        <xdr:cNvCxnSpPr/>
      </xdr:nvCxnSpPr>
      <xdr:spPr>
        <a:xfrm rot="5400000">
          <a:off x="8019375" y="17194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813911</xdr:colOff>
      <xdr:row>76</xdr:row>
      <xdr:rowOff>0</xdr:rowOff>
    </xdr:from>
    <xdr:to>
      <xdr:col>3</xdr:col>
      <xdr:colOff>815499</xdr:colOff>
      <xdr:row>76</xdr:row>
      <xdr:rowOff>8335</xdr:rowOff>
    </xdr:to>
    <xdr:cxnSp macro="">
      <xdr:nvCxnSpPr>
        <xdr:cNvPr id="79" name="3 Conector recto">
          <a:extLst>
            <a:ext uri="{FF2B5EF4-FFF2-40B4-BE49-F238E27FC236}">
              <a16:creationId xmlns:a16="http://schemas.microsoft.com/office/drawing/2014/main" id="{DCAAD356-611D-4BE7-B4CE-676A57A1A957}"/>
            </a:ext>
          </a:extLst>
        </xdr:cNvPr>
        <xdr:cNvCxnSpPr/>
      </xdr:nvCxnSpPr>
      <xdr:spPr>
        <a:xfrm rot="5400000">
          <a:off x="8009850" y="17194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813911</xdr:colOff>
      <xdr:row>76</xdr:row>
      <xdr:rowOff>0</xdr:rowOff>
    </xdr:from>
    <xdr:to>
      <xdr:col>3</xdr:col>
      <xdr:colOff>815499</xdr:colOff>
      <xdr:row>76</xdr:row>
      <xdr:rowOff>8335</xdr:rowOff>
    </xdr:to>
    <xdr:cxnSp macro="">
      <xdr:nvCxnSpPr>
        <xdr:cNvPr id="80" name="3 Conector recto">
          <a:extLst>
            <a:ext uri="{FF2B5EF4-FFF2-40B4-BE49-F238E27FC236}">
              <a16:creationId xmlns:a16="http://schemas.microsoft.com/office/drawing/2014/main" id="{76712C61-016C-4311-BD1D-B6C3801287FA}"/>
            </a:ext>
          </a:extLst>
        </xdr:cNvPr>
        <xdr:cNvCxnSpPr/>
      </xdr:nvCxnSpPr>
      <xdr:spPr>
        <a:xfrm rot="5400000">
          <a:off x="8009850" y="17194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839311</xdr:colOff>
      <xdr:row>76</xdr:row>
      <xdr:rowOff>0</xdr:rowOff>
    </xdr:from>
    <xdr:to>
      <xdr:col>3</xdr:col>
      <xdr:colOff>840899</xdr:colOff>
      <xdr:row>76</xdr:row>
      <xdr:rowOff>8335</xdr:rowOff>
    </xdr:to>
    <xdr:cxnSp macro="">
      <xdr:nvCxnSpPr>
        <xdr:cNvPr id="82" name="3 Conector recto">
          <a:extLst>
            <a:ext uri="{FF2B5EF4-FFF2-40B4-BE49-F238E27FC236}">
              <a16:creationId xmlns:a16="http://schemas.microsoft.com/office/drawing/2014/main" id="{C6963560-236E-44E0-9F84-D0462645E222}"/>
            </a:ext>
          </a:extLst>
        </xdr:cNvPr>
        <xdr:cNvCxnSpPr/>
      </xdr:nvCxnSpPr>
      <xdr:spPr>
        <a:xfrm rot="5400000">
          <a:off x="8019375" y="17194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839311</xdr:colOff>
      <xdr:row>76</xdr:row>
      <xdr:rowOff>0</xdr:rowOff>
    </xdr:from>
    <xdr:to>
      <xdr:col>3</xdr:col>
      <xdr:colOff>840899</xdr:colOff>
      <xdr:row>76</xdr:row>
      <xdr:rowOff>8335</xdr:rowOff>
    </xdr:to>
    <xdr:cxnSp macro="">
      <xdr:nvCxnSpPr>
        <xdr:cNvPr id="83" name="3 Conector recto">
          <a:extLst>
            <a:ext uri="{FF2B5EF4-FFF2-40B4-BE49-F238E27FC236}">
              <a16:creationId xmlns:a16="http://schemas.microsoft.com/office/drawing/2014/main" id="{12CF5C1E-FBCE-4DF8-AA79-1EBDF948D09F}"/>
            </a:ext>
          </a:extLst>
        </xdr:cNvPr>
        <xdr:cNvCxnSpPr/>
      </xdr:nvCxnSpPr>
      <xdr:spPr>
        <a:xfrm rot="5400000">
          <a:off x="8019375" y="17194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813911</xdr:colOff>
      <xdr:row>76</xdr:row>
      <xdr:rowOff>0</xdr:rowOff>
    </xdr:from>
    <xdr:to>
      <xdr:col>3</xdr:col>
      <xdr:colOff>815499</xdr:colOff>
      <xdr:row>76</xdr:row>
      <xdr:rowOff>8335</xdr:rowOff>
    </xdr:to>
    <xdr:cxnSp macro="">
      <xdr:nvCxnSpPr>
        <xdr:cNvPr id="85" name="3 Conector recto">
          <a:extLst>
            <a:ext uri="{FF2B5EF4-FFF2-40B4-BE49-F238E27FC236}">
              <a16:creationId xmlns:a16="http://schemas.microsoft.com/office/drawing/2014/main" id="{6D493201-FA9E-49F7-87BD-A9C0F8C25AC1}"/>
            </a:ext>
          </a:extLst>
        </xdr:cNvPr>
        <xdr:cNvCxnSpPr/>
      </xdr:nvCxnSpPr>
      <xdr:spPr>
        <a:xfrm rot="5400000">
          <a:off x="8009850" y="17194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813911</xdr:colOff>
      <xdr:row>76</xdr:row>
      <xdr:rowOff>0</xdr:rowOff>
    </xdr:from>
    <xdr:to>
      <xdr:col>3</xdr:col>
      <xdr:colOff>815499</xdr:colOff>
      <xdr:row>76</xdr:row>
      <xdr:rowOff>8335</xdr:rowOff>
    </xdr:to>
    <xdr:cxnSp macro="">
      <xdr:nvCxnSpPr>
        <xdr:cNvPr id="86" name="3 Conector recto">
          <a:extLst>
            <a:ext uri="{FF2B5EF4-FFF2-40B4-BE49-F238E27FC236}">
              <a16:creationId xmlns:a16="http://schemas.microsoft.com/office/drawing/2014/main" id="{1985DBF6-EECB-4FAE-B799-A27366C9C320}"/>
            </a:ext>
          </a:extLst>
        </xdr:cNvPr>
        <xdr:cNvCxnSpPr/>
      </xdr:nvCxnSpPr>
      <xdr:spPr>
        <a:xfrm rot="5400000">
          <a:off x="8009850" y="17194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553561</xdr:colOff>
      <xdr:row>76</xdr:row>
      <xdr:rowOff>0</xdr:rowOff>
    </xdr:from>
    <xdr:to>
      <xdr:col>6</xdr:col>
      <xdr:colOff>555149</xdr:colOff>
      <xdr:row>76</xdr:row>
      <xdr:rowOff>5160</xdr:rowOff>
    </xdr:to>
    <xdr:cxnSp macro="">
      <xdr:nvCxnSpPr>
        <xdr:cNvPr id="88" name="3 Conector recto">
          <a:extLst>
            <a:ext uri="{FF2B5EF4-FFF2-40B4-BE49-F238E27FC236}">
              <a16:creationId xmlns:a16="http://schemas.microsoft.com/office/drawing/2014/main" id="{62E608F4-B850-4A78-BF22-E9F294DF59E7}"/>
            </a:ext>
          </a:extLst>
        </xdr:cNvPr>
        <xdr:cNvCxnSpPr/>
      </xdr:nvCxnSpPr>
      <xdr:spPr>
        <a:xfrm rot="5400000">
          <a:off x="12105600" y="17194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553561</xdr:colOff>
      <xdr:row>76</xdr:row>
      <xdr:rowOff>0</xdr:rowOff>
    </xdr:from>
    <xdr:to>
      <xdr:col>6</xdr:col>
      <xdr:colOff>555149</xdr:colOff>
      <xdr:row>76</xdr:row>
      <xdr:rowOff>5160</xdr:rowOff>
    </xdr:to>
    <xdr:cxnSp macro="">
      <xdr:nvCxnSpPr>
        <xdr:cNvPr id="89" name="3 Conector recto">
          <a:extLst>
            <a:ext uri="{FF2B5EF4-FFF2-40B4-BE49-F238E27FC236}">
              <a16:creationId xmlns:a16="http://schemas.microsoft.com/office/drawing/2014/main" id="{BC84FA82-93D2-4DAD-AB94-9DAF21692AD9}"/>
            </a:ext>
          </a:extLst>
        </xdr:cNvPr>
        <xdr:cNvCxnSpPr/>
      </xdr:nvCxnSpPr>
      <xdr:spPr>
        <a:xfrm rot="5400000">
          <a:off x="12105600" y="17194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553561</xdr:colOff>
      <xdr:row>77</xdr:row>
      <xdr:rowOff>0</xdr:rowOff>
    </xdr:from>
    <xdr:to>
      <xdr:col>6</xdr:col>
      <xdr:colOff>555149</xdr:colOff>
      <xdr:row>77</xdr:row>
      <xdr:rowOff>10319</xdr:rowOff>
    </xdr:to>
    <xdr:cxnSp macro="">
      <xdr:nvCxnSpPr>
        <xdr:cNvPr id="90" name="3 Conector recto">
          <a:extLst>
            <a:ext uri="{FF2B5EF4-FFF2-40B4-BE49-F238E27FC236}">
              <a16:creationId xmlns:a16="http://schemas.microsoft.com/office/drawing/2014/main" id="{810FEEFE-4741-44A9-8E1D-CE173496F4E1}"/>
            </a:ext>
          </a:extLst>
        </xdr:cNvPr>
        <xdr:cNvCxnSpPr/>
      </xdr:nvCxnSpPr>
      <xdr:spPr>
        <a:xfrm rot="5400000">
          <a:off x="12103020" y="17387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544036</xdr:colOff>
      <xdr:row>76</xdr:row>
      <xdr:rowOff>0</xdr:rowOff>
    </xdr:from>
    <xdr:to>
      <xdr:col>6</xdr:col>
      <xdr:colOff>545624</xdr:colOff>
      <xdr:row>76</xdr:row>
      <xdr:rowOff>5160</xdr:rowOff>
    </xdr:to>
    <xdr:cxnSp macro="">
      <xdr:nvCxnSpPr>
        <xdr:cNvPr id="91" name="3 Conector recto">
          <a:extLst>
            <a:ext uri="{FF2B5EF4-FFF2-40B4-BE49-F238E27FC236}">
              <a16:creationId xmlns:a16="http://schemas.microsoft.com/office/drawing/2014/main" id="{B7FB30D0-0A5E-47DD-A413-61FD6D3F695D}"/>
            </a:ext>
          </a:extLst>
        </xdr:cNvPr>
        <xdr:cNvCxnSpPr/>
      </xdr:nvCxnSpPr>
      <xdr:spPr>
        <a:xfrm rot="5400000">
          <a:off x="12105600" y="17194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544036</xdr:colOff>
      <xdr:row>76</xdr:row>
      <xdr:rowOff>0</xdr:rowOff>
    </xdr:from>
    <xdr:to>
      <xdr:col>6</xdr:col>
      <xdr:colOff>545624</xdr:colOff>
      <xdr:row>76</xdr:row>
      <xdr:rowOff>5160</xdr:rowOff>
    </xdr:to>
    <xdr:cxnSp macro="">
      <xdr:nvCxnSpPr>
        <xdr:cNvPr id="92" name="3 Conector recto">
          <a:extLst>
            <a:ext uri="{FF2B5EF4-FFF2-40B4-BE49-F238E27FC236}">
              <a16:creationId xmlns:a16="http://schemas.microsoft.com/office/drawing/2014/main" id="{6F15E20F-870D-41A5-A5D9-886036A590D4}"/>
            </a:ext>
          </a:extLst>
        </xdr:cNvPr>
        <xdr:cNvCxnSpPr/>
      </xdr:nvCxnSpPr>
      <xdr:spPr>
        <a:xfrm rot="5400000">
          <a:off x="12105600" y="17194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544036</xdr:colOff>
      <xdr:row>77</xdr:row>
      <xdr:rowOff>0</xdr:rowOff>
    </xdr:from>
    <xdr:to>
      <xdr:col>6</xdr:col>
      <xdr:colOff>545624</xdr:colOff>
      <xdr:row>77</xdr:row>
      <xdr:rowOff>10319</xdr:rowOff>
    </xdr:to>
    <xdr:cxnSp macro="">
      <xdr:nvCxnSpPr>
        <xdr:cNvPr id="93" name="3 Conector recto">
          <a:extLst>
            <a:ext uri="{FF2B5EF4-FFF2-40B4-BE49-F238E27FC236}">
              <a16:creationId xmlns:a16="http://schemas.microsoft.com/office/drawing/2014/main" id="{EDE29FC6-0945-4714-9BC1-077FFAF5FB7A}"/>
            </a:ext>
          </a:extLst>
        </xdr:cNvPr>
        <xdr:cNvCxnSpPr/>
      </xdr:nvCxnSpPr>
      <xdr:spPr>
        <a:xfrm rot="5400000">
          <a:off x="12103020" y="17387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829786</xdr:colOff>
      <xdr:row>61</xdr:row>
      <xdr:rowOff>0</xdr:rowOff>
    </xdr:from>
    <xdr:to>
      <xdr:col>0</xdr:col>
      <xdr:colOff>831374</xdr:colOff>
      <xdr:row>61</xdr:row>
      <xdr:rowOff>13494</xdr:rowOff>
    </xdr:to>
    <xdr:cxnSp macro="">
      <xdr:nvCxnSpPr>
        <xdr:cNvPr id="4" name="3 Conector recto">
          <a:extLst>
            <a:ext uri="{FF2B5EF4-FFF2-40B4-BE49-F238E27FC236}">
              <a16:creationId xmlns:a16="http://schemas.microsoft.com/office/drawing/2014/main" id="{45D16D57-44CC-4401-A66D-C04D8B57D83B}"/>
            </a:ext>
          </a:extLst>
        </xdr:cNvPr>
        <xdr:cNvCxnSpPr/>
      </xdr:nvCxnSpPr>
      <xdr:spPr>
        <a:xfrm rot="5400000">
          <a:off x="549195" y="5528866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0</xdr:colOff>
      <xdr:row>0</xdr:row>
      <xdr:rowOff>285750</xdr:rowOff>
    </xdr:from>
    <xdr:to>
      <xdr:col>1</xdr:col>
      <xdr:colOff>809625</xdr:colOff>
      <xdr:row>3</xdr:row>
      <xdr:rowOff>142875</xdr:rowOff>
    </xdr:to>
    <xdr:pic>
      <xdr:nvPicPr>
        <xdr:cNvPr id="2091139" name="Imagen 18">
          <a:extLst>
            <a:ext uri="{FF2B5EF4-FFF2-40B4-BE49-F238E27FC236}">
              <a16:creationId xmlns:a16="http://schemas.microsoft.com/office/drawing/2014/main" id="{C8FC2D31-69CA-4BF6-9F8E-3188968EC1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500"/>
          <a:ext cx="2771775" cy="1247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1000125</xdr:colOff>
      <xdr:row>0</xdr:row>
      <xdr:rowOff>142875</xdr:rowOff>
    </xdr:from>
    <xdr:to>
      <xdr:col>5</xdr:col>
      <xdr:colOff>1448666</xdr:colOff>
      <xdr:row>3</xdr:row>
      <xdr:rowOff>3313</xdr:rowOff>
    </xdr:to>
    <xdr:pic>
      <xdr:nvPicPr>
        <xdr:cNvPr id="2091140" name="Imagen 19">
          <a:extLst>
            <a:ext uri="{FF2B5EF4-FFF2-40B4-BE49-F238E27FC236}">
              <a16:creationId xmlns:a16="http://schemas.microsoft.com/office/drawing/2014/main" id="{97C6D8FC-2587-48C3-8412-DF663A3594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15775" y="142875"/>
          <a:ext cx="1819275" cy="115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829786</xdr:colOff>
      <xdr:row>61</xdr:row>
      <xdr:rowOff>0</xdr:rowOff>
    </xdr:from>
    <xdr:to>
      <xdr:col>0</xdr:col>
      <xdr:colOff>831374</xdr:colOff>
      <xdr:row>61</xdr:row>
      <xdr:rowOff>13494</xdr:rowOff>
    </xdr:to>
    <xdr:cxnSp macro="">
      <xdr:nvCxnSpPr>
        <xdr:cNvPr id="9" name="3 Conector recto">
          <a:extLst>
            <a:ext uri="{FF2B5EF4-FFF2-40B4-BE49-F238E27FC236}">
              <a16:creationId xmlns:a16="http://schemas.microsoft.com/office/drawing/2014/main" id="{2754935F-A80C-4221-8140-ECAED9AC2DFA}"/>
            </a:ext>
          </a:extLst>
        </xdr:cNvPr>
        <xdr:cNvCxnSpPr/>
      </xdr:nvCxnSpPr>
      <xdr:spPr>
        <a:xfrm rot="5400000">
          <a:off x="549195" y="5528866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813911</xdr:colOff>
      <xdr:row>61</xdr:row>
      <xdr:rowOff>0</xdr:rowOff>
    </xdr:from>
    <xdr:to>
      <xdr:col>0</xdr:col>
      <xdr:colOff>815499</xdr:colOff>
      <xdr:row>61</xdr:row>
      <xdr:rowOff>13494</xdr:rowOff>
    </xdr:to>
    <xdr:cxnSp macro="">
      <xdr:nvCxnSpPr>
        <xdr:cNvPr id="12" name="3 Conector recto">
          <a:extLst>
            <a:ext uri="{FF2B5EF4-FFF2-40B4-BE49-F238E27FC236}">
              <a16:creationId xmlns:a16="http://schemas.microsoft.com/office/drawing/2014/main" id="{F69BB983-C95B-4790-9007-138C4EE74D9B}"/>
            </a:ext>
          </a:extLst>
        </xdr:cNvPr>
        <xdr:cNvCxnSpPr/>
      </xdr:nvCxnSpPr>
      <xdr:spPr>
        <a:xfrm rot="5400000">
          <a:off x="539670" y="5528866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61</xdr:row>
      <xdr:rowOff>0</xdr:rowOff>
    </xdr:from>
    <xdr:to>
      <xdr:col>0</xdr:col>
      <xdr:colOff>831374</xdr:colOff>
      <xdr:row>61</xdr:row>
      <xdr:rowOff>13494</xdr:rowOff>
    </xdr:to>
    <xdr:cxnSp macro="">
      <xdr:nvCxnSpPr>
        <xdr:cNvPr id="15" name="3 Conector recto">
          <a:extLst>
            <a:ext uri="{FF2B5EF4-FFF2-40B4-BE49-F238E27FC236}">
              <a16:creationId xmlns:a16="http://schemas.microsoft.com/office/drawing/2014/main" id="{A0611218-5111-42BE-B2F4-F0391892CAE7}"/>
            </a:ext>
          </a:extLst>
        </xdr:cNvPr>
        <xdr:cNvCxnSpPr/>
      </xdr:nvCxnSpPr>
      <xdr:spPr>
        <a:xfrm rot="5400000">
          <a:off x="549195" y="5528866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813911</xdr:colOff>
      <xdr:row>61</xdr:row>
      <xdr:rowOff>0</xdr:rowOff>
    </xdr:from>
    <xdr:to>
      <xdr:col>0</xdr:col>
      <xdr:colOff>815499</xdr:colOff>
      <xdr:row>61</xdr:row>
      <xdr:rowOff>13494</xdr:rowOff>
    </xdr:to>
    <xdr:cxnSp macro="">
      <xdr:nvCxnSpPr>
        <xdr:cNvPr id="18" name="3 Conector recto">
          <a:extLst>
            <a:ext uri="{FF2B5EF4-FFF2-40B4-BE49-F238E27FC236}">
              <a16:creationId xmlns:a16="http://schemas.microsoft.com/office/drawing/2014/main" id="{C7293454-B14D-44EE-95AC-D94A36320EE7}"/>
            </a:ext>
          </a:extLst>
        </xdr:cNvPr>
        <xdr:cNvCxnSpPr/>
      </xdr:nvCxnSpPr>
      <xdr:spPr>
        <a:xfrm rot="5400000">
          <a:off x="539670" y="5528866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829786</xdr:colOff>
      <xdr:row>60</xdr:row>
      <xdr:rowOff>0</xdr:rowOff>
    </xdr:from>
    <xdr:to>
      <xdr:col>3</xdr:col>
      <xdr:colOff>831374</xdr:colOff>
      <xdr:row>60</xdr:row>
      <xdr:rowOff>8335</xdr:rowOff>
    </xdr:to>
    <xdr:cxnSp macro="">
      <xdr:nvCxnSpPr>
        <xdr:cNvPr id="19" name="3 Conector recto">
          <a:extLst>
            <a:ext uri="{FF2B5EF4-FFF2-40B4-BE49-F238E27FC236}">
              <a16:creationId xmlns:a16="http://schemas.microsoft.com/office/drawing/2014/main" id="{C9CC55FB-E3B2-4467-A5B9-19B64E7F4260}"/>
            </a:ext>
          </a:extLst>
        </xdr:cNvPr>
        <xdr:cNvCxnSpPr/>
      </xdr:nvCxnSpPr>
      <xdr:spPr>
        <a:xfrm rot="5400000">
          <a:off x="5609550" y="53453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829786</xdr:colOff>
      <xdr:row>60</xdr:row>
      <xdr:rowOff>0</xdr:rowOff>
    </xdr:from>
    <xdr:to>
      <xdr:col>3</xdr:col>
      <xdr:colOff>831374</xdr:colOff>
      <xdr:row>60</xdr:row>
      <xdr:rowOff>8335</xdr:rowOff>
    </xdr:to>
    <xdr:cxnSp macro="">
      <xdr:nvCxnSpPr>
        <xdr:cNvPr id="20" name="3 Conector recto">
          <a:extLst>
            <a:ext uri="{FF2B5EF4-FFF2-40B4-BE49-F238E27FC236}">
              <a16:creationId xmlns:a16="http://schemas.microsoft.com/office/drawing/2014/main" id="{76C5F42F-1750-48C9-A927-EA65DF59E716}"/>
            </a:ext>
          </a:extLst>
        </xdr:cNvPr>
        <xdr:cNvCxnSpPr/>
      </xdr:nvCxnSpPr>
      <xdr:spPr>
        <a:xfrm rot="5400000">
          <a:off x="5609550" y="53453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829786</xdr:colOff>
      <xdr:row>61</xdr:row>
      <xdr:rowOff>0</xdr:rowOff>
    </xdr:from>
    <xdr:to>
      <xdr:col>3</xdr:col>
      <xdr:colOff>831374</xdr:colOff>
      <xdr:row>61</xdr:row>
      <xdr:rowOff>13494</xdr:rowOff>
    </xdr:to>
    <xdr:cxnSp macro="">
      <xdr:nvCxnSpPr>
        <xdr:cNvPr id="21" name="3 Conector recto">
          <a:extLst>
            <a:ext uri="{FF2B5EF4-FFF2-40B4-BE49-F238E27FC236}">
              <a16:creationId xmlns:a16="http://schemas.microsoft.com/office/drawing/2014/main" id="{6980F50A-8287-48D3-B632-019B14069486}"/>
            </a:ext>
          </a:extLst>
        </xdr:cNvPr>
        <xdr:cNvCxnSpPr/>
      </xdr:nvCxnSpPr>
      <xdr:spPr>
        <a:xfrm rot="5400000">
          <a:off x="5606970" y="5528866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813911</xdr:colOff>
      <xdr:row>60</xdr:row>
      <xdr:rowOff>0</xdr:rowOff>
    </xdr:from>
    <xdr:to>
      <xdr:col>3</xdr:col>
      <xdr:colOff>815499</xdr:colOff>
      <xdr:row>60</xdr:row>
      <xdr:rowOff>8335</xdr:rowOff>
    </xdr:to>
    <xdr:cxnSp macro="">
      <xdr:nvCxnSpPr>
        <xdr:cNvPr id="22" name="3 Conector recto">
          <a:extLst>
            <a:ext uri="{FF2B5EF4-FFF2-40B4-BE49-F238E27FC236}">
              <a16:creationId xmlns:a16="http://schemas.microsoft.com/office/drawing/2014/main" id="{D5BF4C2C-1972-449F-AB59-6C2F0B3BBA6E}"/>
            </a:ext>
          </a:extLst>
        </xdr:cNvPr>
        <xdr:cNvCxnSpPr/>
      </xdr:nvCxnSpPr>
      <xdr:spPr>
        <a:xfrm rot="5400000">
          <a:off x="5600025" y="53453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813911</xdr:colOff>
      <xdr:row>60</xdr:row>
      <xdr:rowOff>0</xdr:rowOff>
    </xdr:from>
    <xdr:to>
      <xdr:col>3</xdr:col>
      <xdr:colOff>815499</xdr:colOff>
      <xdr:row>60</xdr:row>
      <xdr:rowOff>8335</xdr:rowOff>
    </xdr:to>
    <xdr:cxnSp macro="">
      <xdr:nvCxnSpPr>
        <xdr:cNvPr id="23" name="3 Conector recto">
          <a:extLst>
            <a:ext uri="{FF2B5EF4-FFF2-40B4-BE49-F238E27FC236}">
              <a16:creationId xmlns:a16="http://schemas.microsoft.com/office/drawing/2014/main" id="{598533A4-365D-466F-98BD-32B4D1E2554D}"/>
            </a:ext>
          </a:extLst>
        </xdr:cNvPr>
        <xdr:cNvCxnSpPr/>
      </xdr:nvCxnSpPr>
      <xdr:spPr>
        <a:xfrm rot="5400000">
          <a:off x="5600025" y="53453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813911</xdr:colOff>
      <xdr:row>61</xdr:row>
      <xdr:rowOff>0</xdr:rowOff>
    </xdr:from>
    <xdr:to>
      <xdr:col>3</xdr:col>
      <xdr:colOff>815499</xdr:colOff>
      <xdr:row>61</xdr:row>
      <xdr:rowOff>13494</xdr:rowOff>
    </xdr:to>
    <xdr:cxnSp macro="">
      <xdr:nvCxnSpPr>
        <xdr:cNvPr id="24" name="3 Conector recto">
          <a:extLst>
            <a:ext uri="{FF2B5EF4-FFF2-40B4-BE49-F238E27FC236}">
              <a16:creationId xmlns:a16="http://schemas.microsoft.com/office/drawing/2014/main" id="{7D19BFB0-F3FC-48F0-90F5-77B634BA1516}"/>
            </a:ext>
          </a:extLst>
        </xdr:cNvPr>
        <xdr:cNvCxnSpPr/>
      </xdr:nvCxnSpPr>
      <xdr:spPr>
        <a:xfrm rot="5400000">
          <a:off x="5597445" y="5528866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61</xdr:row>
      <xdr:rowOff>0</xdr:rowOff>
    </xdr:from>
    <xdr:to>
      <xdr:col>0</xdr:col>
      <xdr:colOff>831374</xdr:colOff>
      <xdr:row>61</xdr:row>
      <xdr:rowOff>13494</xdr:rowOff>
    </xdr:to>
    <xdr:cxnSp macro="">
      <xdr:nvCxnSpPr>
        <xdr:cNvPr id="27" name="3 Conector recto">
          <a:extLst>
            <a:ext uri="{FF2B5EF4-FFF2-40B4-BE49-F238E27FC236}">
              <a16:creationId xmlns:a16="http://schemas.microsoft.com/office/drawing/2014/main" id="{1162D48A-CA20-4CC7-B71E-F4410927A543}"/>
            </a:ext>
          </a:extLst>
        </xdr:cNvPr>
        <xdr:cNvCxnSpPr/>
      </xdr:nvCxnSpPr>
      <xdr:spPr>
        <a:xfrm rot="5400000">
          <a:off x="549195" y="5528866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61</xdr:row>
      <xdr:rowOff>0</xdr:rowOff>
    </xdr:from>
    <xdr:to>
      <xdr:col>0</xdr:col>
      <xdr:colOff>831374</xdr:colOff>
      <xdr:row>61</xdr:row>
      <xdr:rowOff>13494</xdr:rowOff>
    </xdr:to>
    <xdr:cxnSp macro="">
      <xdr:nvCxnSpPr>
        <xdr:cNvPr id="30" name="3 Conector recto">
          <a:extLst>
            <a:ext uri="{FF2B5EF4-FFF2-40B4-BE49-F238E27FC236}">
              <a16:creationId xmlns:a16="http://schemas.microsoft.com/office/drawing/2014/main" id="{4D1E51FA-307D-4178-991E-5BE5DA19CF86}"/>
            </a:ext>
          </a:extLst>
        </xdr:cNvPr>
        <xdr:cNvCxnSpPr/>
      </xdr:nvCxnSpPr>
      <xdr:spPr>
        <a:xfrm rot="5400000">
          <a:off x="549195" y="5528866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813911</xdr:colOff>
      <xdr:row>61</xdr:row>
      <xdr:rowOff>0</xdr:rowOff>
    </xdr:from>
    <xdr:to>
      <xdr:col>0</xdr:col>
      <xdr:colOff>815499</xdr:colOff>
      <xdr:row>61</xdr:row>
      <xdr:rowOff>13494</xdr:rowOff>
    </xdr:to>
    <xdr:cxnSp macro="">
      <xdr:nvCxnSpPr>
        <xdr:cNvPr id="33" name="3 Conector recto">
          <a:extLst>
            <a:ext uri="{FF2B5EF4-FFF2-40B4-BE49-F238E27FC236}">
              <a16:creationId xmlns:a16="http://schemas.microsoft.com/office/drawing/2014/main" id="{8D4D83D0-CA1C-4973-A866-31441A21391C}"/>
            </a:ext>
          </a:extLst>
        </xdr:cNvPr>
        <xdr:cNvCxnSpPr/>
      </xdr:nvCxnSpPr>
      <xdr:spPr>
        <a:xfrm rot="5400000">
          <a:off x="539670" y="5528866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61</xdr:row>
      <xdr:rowOff>0</xdr:rowOff>
    </xdr:from>
    <xdr:to>
      <xdr:col>0</xdr:col>
      <xdr:colOff>831374</xdr:colOff>
      <xdr:row>61</xdr:row>
      <xdr:rowOff>13494</xdr:rowOff>
    </xdr:to>
    <xdr:cxnSp macro="">
      <xdr:nvCxnSpPr>
        <xdr:cNvPr id="36" name="3 Conector recto">
          <a:extLst>
            <a:ext uri="{FF2B5EF4-FFF2-40B4-BE49-F238E27FC236}">
              <a16:creationId xmlns:a16="http://schemas.microsoft.com/office/drawing/2014/main" id="{B490A946-B40D-44C8-BD45-A562E9E0B146}"/>
            </a:ext>
          </a:extLst>
        </xdr:cNvPr>
        <xdr:cNvCxnSpPr/>
      </xdr:nvCxnSpPr>
      <xdr:spPr>
        <a:xfrm rot="5400000">
          <a:off x="549195" y="5528866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813911</xdr:colOff>
      <xdr:row>61</xdr:row>
      <xdr:rowOff>0</xdr:rowOff>
    </xdr:from>
    <xdr:to>
      <xdr:col>0</xdr:col>
      <xdr:colOff>815499</xdr:colOff>
      <xdr:row>61</xdr:row>
      <xdr:rowOff>13494</xdr:rowOff>
    </xdr:to>
    <xdr:cxnSp macro="">
      <xdr:nvCxnSpPr>
        <xdr:cNvPr id="39" name="3 Conector recto">
          <a:extLst>
            <a:ext uri="{FF2B5EF4-FFF2-40B4-BE49-F238E27FC236}">
              <a16:creationId xmlns:a16="http://schemas.microsoft.com/office/drawing/2014/main" id="{AD4F35FA-727D-45F9-B6B1-6220184D24B1}"/>
            </a:ext>
          </a:extLst>
        </xdr:cNvPr>
        <xdr:cNvCxnSpPr/>
      </xdr:nvCxnSpPr>
      <xdr:spPr>
        <a:xfrm rot="5400000">
          <a:off x="539670" y="5528866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59</xdr:row>
      <xdr:rowOff>0</xdr:rowOff>
    </xdr:from>
    <xdr:to>
      <xdr:col>0</xdr:col>
      <xdr:colOff>831374</xdr:colOff>
      <xdr:row>59</xdr:row>
      <xdr:rowOff>8335</xdr:rowOff>
    </xdr:to>
    <xdr:cxnSp macro="">
      <xdr:nvCxnSpPr>
        <xdr:cNvPr id="40" name="3 Conector recto">
          <a:extLst>
            <a:ext uri="{FF2B5EF4-FFF2-40B4-BE49-F238E27FC236}">
              <a16:creationId xmlns:a16="http://schemas.microsoft.com/office/drawing/2014/main" id="{434EE69E-D6B7-4559-B926-7A58762FE944}"/>
            </a:ext>
          </a:extLst>
        </xdr:cNvPr>
        <xdr:cNvCxnSpPr/>
      </xdr:nvCxnSpPr>
      <xdr:spPr>
        <a:xfrm rot="5400000">
          <a:off x="551775" y="51548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59</xdr:row>
      <xdr:rowOff>0</xdr:rowOff>
    </xdr:from>
    <xdr:to>
      <xdr:col>0</xdr:col>
      <xdr:colOff>831374</xdr:colOff>
      <xdr:row>59</xdr:row>
      <xdr:rowOff>8335</xdr:rowOff>
    </xdr:to>
    <xdr:cxnSp macro="">
      <xdr:nvCxnSpPr>
        <xdr:cNvPr id="41" name="3 Conector recto">
          <a:extLst>
            <a:ext uri="{FF2B5EF4-FFF2-40B4-BE49-F238E27FC236}">
              <a16:creationId xmlns:a16="http://schemas.microsoft.com/office/drawing/2014/main" id="{81212902-DDB8-47E7-87B4-62646BC1CB3D}"/>
            </a:ext>
          </a:extLst>
        </xdr:cNvPr>
        <xdr:cNvCxnSpPr/>
      </xdr:nvCxnSpPr>
      <xdr:spPr>
        <a:xfrm rot="5400000">
          <a:off x="551775" y="51548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0</xdr:colOff>
      <xdr:row>0</xdr:row>
      <xdr:rowOff>285750</xdr:rowOff>
    </xdr:from>
    <xdr:to>
      <xdr:col>1</xdr:col>
      <xdr:colOff>809625</xdr:colOff>
      <xdr:row>3</xdr:row>
      <xdr:rowOff>142875</xdr:rowOff>
    </xdr:to>
    <xdr:pic>
      <xdr:nvPicPr>
        <xdr:cNvPr id="2091165" name="Imagen 18">
          <a:extLst>
            <a:ext uri="{FF2B5EF4-FFF2-40B4-BE49-F238E27FC236}">
              <a16:creationId xmlns:a16="http://schemas.microsoft.com/office/drawing/2014/main" id="{36CCFC67-00E9-47EE-A952-9597F4805A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500"/>
          <a:ext cx="2771775" cy="1247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1000125</xdr:colOff>
      <xdr:row>0</xdr:row>
      <xdr:rowOff>142875</xdr:rowOff>
    </xdr:from>
    <xdr:to>
      <xdr:col>5</xdr:col>
      <xdr:colOff>1448666</xdr:colOff>
      <xdr:row>3</xdr:row>
      <xdr:rowOff>3313</xdr:rowOff>
    </xdr:to>
    <xdr:pic>
      <xdr:nvPicPr>
        <xdr:cNvPr id="2091166" name="Imagen 19">
          <a:extLst>
            <a:ext uri="{FF2B5EF4-FFF2-40B4-BE49-F238E27FC236}">
              <a16:creationId xmlns:a16="http://schemas.microsoft.com/office/drawing/2014/main" id="{52BF8790-FC85-494C-B421-0F128A7676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15775" y="142875"/>
          <a:ext cx="1819275" cy="115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829786</xdr:colOff>
      <xdr:row>59</xdr:row>
      <xdr:rowOff>0</xdr:rowOff>
    </xdr:from>
    <xdr:to>
      <xdr:col>0</xdr:col>
      <xdr:colOff>831374</xdr:colOff>
      <xdr:row>59</xdr:row>
      <xdr:rowOff>8335</xdr:rowOff>
    </xdr:to>
    <xdr:cxnSp macro="">
      <xdr:nvCxnSpPr>
        <xdr:cNvPr id="45" name="3 Conector recto">
          <a:extLst>
            <a:ext uri="{FF2B5EF4-FFF2-40B4-BE49-F238E27FC236}">
              <a16:creationId xmlns:a16="http://schemas.microsoft.com/office/drawing/2014/main" id="{D79B9104-C5A3-4057-9920-1F67C4326168}"/>
            </a:ext>
          </a:extLst>
        </xdr:cNvPr>
        <xdr:cNvCxnSpPr/>
      </xdr:nvCxnSpPr>
      <xdr:spPr>
        <a:xfrm rot="5400000">
          <a:off x="551775" y="51548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59</xdr:row>
      <xdr:rowOff>0</xdr:rowOff>
    </xdr:from>
    <xdr:to>
      <xdr:col>0</xdr:col>
      <xdr:colOff>831374</xdr:colOff>
      <xdr:row>59</xdr:row>
      <xdr:rowOff>8335</xdr:rowOff>
    </xdr:to>
    <xdr:cxnSp macro="">
      <xdr:nvCxnSpPr>
        <xdr:cNvPr id="46" name="3 Conector recto">
          <a:extLst>
            <a:ext uri="{FF2B5EF4-FFF2-40B4-BE49-F238E27FC236}">
              <a16:creationId xmlns:a16="http://schemas.microsoft.com/office/drawing/2014/main" id="{B842E3E0-EA74-4BFB-B3BF-38DD541BD826}"/>
            </a:ext>
          </a:extLst>
        </xdr:cNvPr>
        <xdr:cNvCxnSpPr/>
      </xdr:nvCxnSpPr>
      <xdr:spPr>
        <a:xfrm rot="5400000">
          <a:off x="551775" y="51548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813911</xdr:colOff>
      <xdr:row>59</xdr:row>
      <xdr:rowOff>0</xdr:rowOff>
    </xdr:from>
    <xdr:to>
      <xdr:col>0</xdr:col>
      <xdr:colOff>815499</xdr:colOff>
      <xdr:row>59</xdr:row>
      <xdr:rowOff>8335</xdr:rowOff>
    </xdr:to>
    <xdr:cxnSp macro="">
      <xdr:nvCxnSpPr>
        <xdr:cNvPr id="48" name="3 Conector recto">
          <a:extLst>
            <a:ext uri="{FF2B5EF4-FFF2-40B4-BE49-F238E27FC236}">
              <a16:creationId xmlns:a16="http://schemas.microsoft.com/office/drawing/2014/main" id="{0C371B57-6401-4842-9DB7-EA1D419374BC}"/>
            </a:ext>
          </a:extLst>
        </xdr:cNvPr>
        <xdr:cNvCxnSpPr/>
      </xdr:nvCxnSpPr>
      <xdr:spPr>
        <a:xfrm rot="5400000">
          <a:off x="542250" y="51548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813911</xdr:colOff>
      <xdr:row>59</xdr:row>
      <xdr:rowOff>0</xdr:rowOff>
    </xdr:from>
    <xdr:to>
      <xdr:col>0</xdr:col>
      <xdr:colOff>815499</xdr:colOff>
      <xdr:row>59</xdr:row>
      <xdr:rowOff>8335</xdr:rowOff>
    </xdr:to>
    <xdr:cxnSp macro="">
      <xdr:nvCxnSpPr>
        <xdr:cNvPr id="49" name="3 Conector recto">
          <a:extLst>
            <a:ext uri="{FF2B5EF4-FFF2-40B4-BE49-F238E27FC236}">
              <a16:creationId xmlns:a16="http://schemas.microsoft.com/office/drawing/2014/main" id="{F5A84D08-F7F8-450A-929E-2BB4B5974E3F}"/>
            </a:ext>
          </a:extLst>
        </xdr:cNvPr>
        <xdr:cNvCxnSpPr/>
      </xdr:nvCxnSpPr>
      <xdr:spPr>
        <a:xfrm rot="5400000">
          <a:off x="542250" y="51548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59</xdr:row>
      <xdr:rowOff>0</xdr:rowOff>
    </xdr:from>
    <xdr:to>
      <xdr:col>0</xdr:col>
      <xdr:colOff>831374</xdr:colOff>
      <xdr:row>59</xdr:row>
      <xdr:rowOff>8335</xdr:rowOff>
    </xdr:to>
    <xdr:cxnSp macro="">
      <xdr:nvCxnSpPr>
        <xdr:cNvPr id="51" name="3 Conector recto">
          <a:extLst>
            <a:ext uri="{FF2B5EF4-FFF2-40B4-BE49-F238E27FC236}">
              <a16:creationId xmlns:a16="http://schemas.microsoft.com/office/drawing/2014/main" id="{A4A2E731-F4A4-4521-B7A3-EB7A5E646EF8}"/>
            </a:ext>
          </a:extLst>
        </xdr:cNvPr>
        <xdr:cNvCxnSpPr/>
      </xdr:nvCxnSpPr>
      <xdr:spPr>
        <a:xfrm rot="5400000">
          <a:off x="551775" y="51548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59</xdr:row>
      <xdr:rowOff>0</xdr:rowOff>
    </xdr:from>
    <xdr:to>
      <xdr:col>0</xdr:col>
      <xdr:colOff>831374</xdr:colOff>
      <xdr:row>59</xdr:row>
      <xdr:rowOff>8335</xdr:rowOff>
    </xdr:to>
    <xdr:cxnSp macro="">
      <xdr:nvCxnSpPr>
        <xdr:cNvPr id="52" name="3 Conector recto">
          <a:extLst>
            <a:ext uri="{FF2B5EF4-FFF2-40B4-BE49-F238E27FC236}">
              <a16:creationId xmlns:a16="http://schemas.microsoft.com/office/drawing/2014/main" id="{3B4CC043-2D28-4374-A852-F34A0EC971B8}"/>
            </a:ext>
          </a:extLst>
        </xdr:cNvPr>
        <xdr:cNvCxnSpPr/>
      </xdr:nvCxnSpPr>
      <xdr:spPr>
        <a:xfrm rot="5400000">
          <a:off x="551775" y="51548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813911</xdr:colOff>
      <xdr:row>59</xdr:row>
      <xdr:rowOff>0</xdr:rowOff>
    </xdr:from>
    <xdr:to>
      <xdr:col>0</xdr:col>
      <xdr:colOff>815499</xdr:colOff>
      <xdr:row>59</xdr:row>
      <xdr:rowOff>8335</xdr:rowOff>
    </xdr:to>
    <xdr:cxnSp macro="">
      <xdr:nvCxnSpPr>
        <xdr:cNvPr id="54" name="3 Conector recto">
          <a:extLst>
            <a:ext uri="{FF2B5EF4-FFF2-40B4-BE49-F238E27FC236}">
              <a16:creationId xmlns:a16="http://schemas.microsoft.com/office/drawing/2014/main" id="{2BDF268D-1D96-438B-89D4-55BEACDCBEAD}"/>
            </a:ext>
          </a:extLst>
        </xdr:cNvPr>
        <xdr:cNvCxnSpPr/>
      </xdr:nvCxnSpPr>
      <xdr:spPr>
        <a:xfrm rot="5400000">
          <a:off x="542250" y="51548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813911</xdr:colOff>
      <xdr:row>59</xdr:row>
      <xdr:rowOff>0</xdr:rowOff>
    </xdr:from>
    <xdr:to>
      <xdr:col>0</xdr:col>
      <xdr:colOff>815499</xdr:colOff>
      <xdr:row>59</xdr:row>
      <xdr:rowOff>8335</xdr:rowOff>
    </xdr:to>
    <xdr:cxnSp macro="">
      <xdr:nvCxnSpPr>
        <xdr:cNvPr id="55" name="3 Conector recto">
          <a:extLst>
            <a:ext uri="{FF2B5EF4-FFF2-40B4-BE49-F238E27FC236}">
              <a16:creationId xmlns:a16="http://schemas.microsoft.com/office/drawing/2014/main" id="{EEEEDD53-DDDA-4361-9708-B3162BA1F0DE}"/>
            </a:ext>
          </a:extLst>
        </xdr:cNvPr>
        <xdr:cNvCxnSpPr/>
      </xdr:nvCxnSpPr>
      <xdr:spPr>
        <a:xfrm rot="5400000">
          <a:off x="542250" y="51548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829786</xdr:colOff>
      <xdr:row>59</xdr:row>
      <xdr:rowOff>0</xdr:rowOff>
    </xdr:from>
    <xdr:to>
      <xdr:col>3</xdr:col>
      <xdr:colOff>831374</xdr:colOff>
      <xdr:row>59</xdr:row>
      <xdr:rowOff>8335</xdr:rowOff>
    </xdr:to>
    <xdr:cxnSp macro="">
      <xdr:nvCxnSpPr>
        <xdr:cNvPr id="57" name="3 Conector recto">
          <a:extLst>
            <a:ext uri="{FF2B5EF4-FFF2-40B4-BE49-F238E27FC236}">
              <a16:creationId xmlns:a16="http://schemas.microsoft.com/office/drawing/2014/main" id="{9E8E77C4-C15C-4ABA-8D64-118F9F4D766B}"/>
            </a:ext>
          </a:extLst>
        </xdr:cNvPr>
        <xdr:cNvCxnSpPr/>
      </xdr:nvCxnSpPr>
      <xdr:spPr>
        <a:xfrm rot="5400000">
          <a:off x="5609550" y="51548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829786</xdr:colOff>
      <xdr:row>59</xdr:row>
      <xdr:rowOff>0</xdr:rowOff>
    </xdr:from>
    <xdr:to>
      <xdr:col>3</xdr:col>
      <xdr:colOff>831374</xdr:colOff>
      <xdr:row>59</xdr:row>
      <xdr:rowOff>8335</xdr:rowOff>
    </xdr:to>
    <xdr:cxnSp macro="">
      <xdr:nvCxnSpPr>
        <xdr:cNvPr id="58" name="3 Conector recto">
          <a:extLst>
            <a:ext uri="{FF2B5EF4-FFF2-40B4-BE49-F238E27FC236}">
              <a16:creationId xmlns:a16="http://schemas.microsoft.com/office/drawing/2014/main" id="{F7AFC5DA-22F1-4F85-B9D8-BEE4E8354D88}"/>
            </a:ext>
          </a:extLst>
        </xdr:cNvPr>
        <xdr:cNvCxnSpPr/>
      </xdr:nvCxnSpPr>
      <xdr:spPr>
        <a:xfrm rot="5400000">
          <a:off x="5609550" y="51548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813911</xdr:colOff>
      <xdr:row>59</xdr:row>
      <xdr:rowOff>0</xdr:rowOff>
    </xdr:from>
    <xdr:to>
      <xdr:col>3</xdr:col>
      <xdr:colOff>815499</xdr:colOff>
      <xdr:row>59</xdr:row>
      <xdr:rowOff>8335</xdr:rowOff>
    </xdr:to>
    <xdr:cxnSp macro="">
      <xdr:nvCxnSpPr>
        <xdr:cNvPr id="60" name="3 Conector recto">
          <a:extLst>
            <a:ext uri="{FF2B5EF4-FFF2-40B4-BE49-F238E27FC236}">
              <a16:creationId xmlns:a16="http://schemas.microsoft.com/office/drawing/2014/main" id="{B593AFD4-78F3-4274-AC65-E7B39C05C151}"/>
            </a:ext>
          </a:extLst>
        </xdr:cNvPr>
        <xdr:cNvCxnSpPr/>
      </xdr:nvCxnSpPr>
      <xdr:spPr>
        <a:xfrm rot="5400000">
          <a:off x="5600025" y="51548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813911</xdr:colOff>
      <xdr:row>59</xdr:row>
      <xdr:rowOff>0</xdr:rowOff>
    </xdr:from>
    <xdr:to>
      <xdr:col>3</xdr:col>
      <xdr:colOff>815499</xdr:colOff>
      <xdr:row>59</xdr:row>
      <xdr:rowOff>8335</xdr:rowOff>
    </xdr:to>
    <xdr:cxnSp macro="">
      <xdr:nvCxnSpPr>
        <xdr:cNvPr id="61" name="3 Conector recto">
          <a:extLst>
            <a:ext uri="{FF2B5EF4-FFF2-40B4-BE49-F238E27FC236}">
              <a16:creationId xmlns:a16="http://schemas.microsoft.com/office/drawing/2014/main" id="{A3AD455C-218F-454A-98F6-E785C70DCF24}"/>
            </a:ext>
          </a:extLst>
        </xdr:cNvPr>
        <xdr:cNvCxnSpPr/>
      </xdr:nvCxnSpPr>
      <xdr:spPr>
        <a:xfrm rot="5400000">
          <a:off x="5600025" y="51548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813911</xdr:colOff>
      <xdr:row>60</xdr:row>
      <xdr:rowOff>0</xdr:rowOff>
    </xdr:from>
    <xdr:to>
      <xdr:col>3</xdr:col>
      <xdr:colOff>815499</xdr:colOff>
      <xdr:row>60</xdr:row>
      <xdr:rowOff>13494</xdr:rowOff>
    </xdr:to>
    <xdr:cxnSp macro="">
      <xdr:nvCxnSpPr>
        <xdr:cNvPr id="62" name="3 Conector recto">
          <a:extLst>
            <a:ext uri="{FF2B5EF4-FFF2-40B4-BE49-F238E27FC236}">
              <a16:creationId xmlns:a16="http://schemas.microsoft.com/office/drawing/2014/main" id="{E1ED5D70-9637-409A-8200-DE09E63230BC}"/>
            </a:ext>
          </a:extLst>
        </xdr:cNvPr>
        <xdr:cNvCxnSpPr/>
      </xdr:nvCxnSpPr>
      <xdr:spPr>
        <a:xfrm rot="5400000">
          <a:off x="5597445" y="53478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59</xdr:row>
      <xdr:rowOff>0</xdr:rowOff>
    </xdr:from>
    <xdr:to>
      <xdr:col>0</xdr:col>
      <xdr:colOff>831374</xdr:colOff>
      <xdr:row>59</xdr:row>
      <xdr:rowOff>8335</xdr:rowOff>
    </xdr:to>
    <xdr:cxnSp macro="">
      <xdr:nvCxnSpPr>
        <xdr:cNvPr id="63" name="3 Conector recto">
          <a:extLst>
            <a:ext uri="{FF2B5EF4-FFF2-40B4-BE49-F238E27FC236}">
              <a16:creationId xmlns:a16="http://schemas.microsoft.com/office/drawing/2014/main" id="{63578BDD-8ADC-416E-B056-2A966E2DCCD9}"/>
            </a:ext>
          </a:extLst>
        </xdr:cNvPr>
        <xdr:cNvCxnSpPr/>
      </xdr:nvCxnSpPr>
      <xdr:spPr>
        <a:xfrm rot="5400000">
          <a:off x="551775" y="51548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59</xdr:row>
      <xdr:rowOff>0</xdr:rowOff>
    </xdr:from>
    <xdr:to>
      <xdr:col>0</xdr:col>
      <xdr:colOff>831374</xdr:colOff>
      <xdr:row>59</xdr:row>
      <xdr:rowOff>8335</xdr:rowOff>
    </xdr:to>
    <xdr:cxnSp macro="">
      <xdr:nvCxnSpPr>
        <xdr:cNvPr id="64" name="3 Conector recto">
          <a:extLst>
            <a:ext uri="{FF2B5EF4-FFF2-40B4-BE49-F238E27FC236}">
              <a16:creationId xmlns:a16="http://schemas.microsoft.com/office/drawing/2014/main" id="{F16810C4-1EE5-46EA-960F-8547EB19BA18}"/>
            </a:ext>
          </a:extLst>
        </xdr:cNvPr>
        <xdr:cNvCxnSpPr/>
      </xdr:nvCxnSpPr>
      <xdr:spPr>
        <a:xfrm rot="5400000">
          <a:off x="551775" y="51548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59</xdr:row>
      <xdr:rowOff>0</xdr:rowOff>
    </xdr:from>
    <xdr:to>
      <xdr:col>0</xdr:col>
      <xdr:colOff>831374</xdr:colOff>
      <xdr:row>59</xdr:row>
      <xdr:rowOff>8335</xdr:rowOff>
    </xdr:to>
    <xdr:cxnSp macro="">
      <xdr:nvCxnSpPr>
        <xdr:cNvPr id="66" name="3 Conector recto">
          <a:extLst>
            <a:ext uri="{FF2B5EF4-FFF2-40B4-BE49-F238E27FC236}">
              <a16:creationId xmlns:a16="http://schemas.microsoft.com/office/drawing/2014/main" id="{D596A83B-178D-4AD7-AFFF-0DFDB6DC2C66}"/>
            </a:ext>
          </a:extLst>
        </xdr:cNvPr>
        <xdr:cNvCxnSpPr/>
      </xdr:nvCxnSpPr>
      <xdr:spPr>
        <a:xfrm rot="5400000">
          <a:off x="551775" y="51548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59</xdr:row>
      <xdr:rowOff>0</xdr:rowOff>
    </xdr:from>
    <xdr:to>
      <xdr:col>0</xdr:col>
      <xdr:colOff>831374</xdr:colOff>
      <xdr:row>59</xdr:row>
      <xdr:rowOff>8335</xdr:rowOff>
    </xdr:to>
    <xdr:cxnSp macro="">
      <xdr:nvCxnSpPr>
        <xdr:cNvPr id="67" name="3 Conector recto">
          <a:extLst>
            <a:ext uri="{FF2B5EF4-FFF2-40B4-BE49-F238E27FC236}">
              <a16:creationId xmlns:a16="http://schemas.microsoft.com/office/drawing/2014/main" id="{328526F5-3905-4298-8E62-2EBFE3799871}"/>
            </a:ext>
          </a:extLst>
        </xdr:cNvPr>
        <xdr:cNvCxnSpPr/>
      </xdr:nvCxnSpPr>
      <xdr:spPr>
        <a:xfrm rot="5400000">
          <a:off x="551775" y="51548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813911</xdr:colOff>
      <xdr:row>59</xdr:row>
      <xdr:rowOff>0</xdr:rowOff>
    </xdr:from>
    <xdr:to>
      <xdr:col>0</xdr:col>
      <xdr:colOff>815499</xdr:colOff>
      <xdr:row>59</xdr:row>
      <xdr:rowOff>8335</xdr:rowOff>
    </xdr:to>
    <xdr:cxnSp macro="">
      <xdr:nvCxnSpPr>
        <xdr:cNvPr id="69" name="3 Conector recto">
          <a:extLst>
            <a:ext uri="{FF2B5EF4-FFF2-40B4-BE49-F238E27FC236}">
              <a16:creationId xmlns:a16="http://schemas.microsoft.com/office/drawing/2014/main" id="{0A0EC898-C180-4DC5-A351-C873835FBD4A}"/>
            </a:ext>
          </a:extLst>
        </xdr:cNvPr>
        <xdr:cNvCxnSpPr/>
      </xdr:nvCxnSpPr>
      <xdr:spPr>
        <a:xfrm rot="5400000">
          <a:off x="542250" y="51548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813911</xdr:colOff>
      <xdr:row>59</xdr:row>
      <xdr:rowOff>0</xdr:rowOff>
    </xdr:from>
    <xdr:to>
      <xdr:col>0</xdr:col>
      <xdr:colOff>815499</xdr:colOff>
      <xdr:row>59</xdr:row>
      <xdr:rowOff>8335</xdr:rowOff>
    </xdr:to>
    <xdr:cxnSp macro="">
      <xdr:nvCxnSpPr>
        <xdr:cNvPr id="70" name="3 Conector recto">
          <a:extLst>
            <a:ext uri="{FF2B5EF4-FFF2-40B4-BE49-F238E27FC236}">
              <a16:creationId xmlns:a16="http://schemas.microsoft.com/office/drawing/2014/main" id="{D2EA8860-ADBD-4A5C-B8B1-78FA8A538747}"/>
            </a:ext>
          </a:extLst>
        </xdr:cNvPr>
        <xdr:cNvCxnSpPr/>
      </xdr:nvCxnSpPr>
      <xdr:spPr>
        <a:xfrm rot="5400000">
          <a:off x="542250" y="51548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59</xdr:row>
      <xdr:rowOff>0</xdr:rowOff>
    </xdr:from>
    <xdr:to>
      <xdr:col>0</xdr:col>
      <xdr:colOff>831374</xdr:colOff>
      <xdr:row>59</xdr:row>
      <xdr:rowOff>8335</xdr:rowOff>
    </xdr:to>
    <xdr:cxnSp macro="">
      <xdr:nvCxnSpPr>
        <xdr:cNvPr id="72" name="3 Conector recto">
          <a:extLst>
            <a:ext uri="{FF2B5EF4-FFF2-40B4-BE49-F238E27FC236}">
              <a16:creationId xmlns:a16="http://schemas.microsoft.com/office/drawing/2014/main" id="{617D0069-B598-4568-91F8-19A81E291F79}"/>
            </a:ext>
          </a:extLst>
        </xdr:cNvPr>
        <xdr:cNvCxnSpPr/>
      </xdr:nvCxnSpPr>
      <xdr:spPr>
        <a:xfrm rot="5400000">
          <a:off x="551775" y="51548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59</xdr:row>
      <xdr:rowOff>0</xdr:rowOff>
    </xdr:from>
    <xdr:to>
      <xdr:col>0</xdr:col>
      <xdr:colOff>831374</xdr:colOff>
      <xdr:row>59</xdr:row>
      <xdr:rowOff>8335</xdr:rowOff>
    </xdr:to>
    <xdr:cxnSp macro="">
      <xdr:nvCxnSpPr>
        <xdr:cNvPr id="73" name="3 Conector recto">
          <a:extLst>
            <a:ext uri="{FF2B5EF4-FFF2-40B4-BE49-F238E27FC236}">
              <a16:creationId xmlns:a16="http://schemas.microsoft.com/office/drawing/2014/main" id="{9CAB6948-19B8-411F-A762-EE8041C53575}"/>
            </a:ext>
          </a:extLst>
        </xdr:cNvPr>
        <xdr:cNvCxnSpPr/>
      </xdr:nvCxnSpPr>
      <xdr:spPr>
        <a:xfrm rot="5400000">
          <a:off x="551775" y="51548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813911</xdr:colOff>
      <xdr:row>59</xdr:row>
      <xdr:rowOff>0</xdr:rowOff>
    </xdr:from>
    <xdr:to>
      <xdr:col>0</xdr:col>
      <xdr:colOff>815499</xdr:colOff>
      <xdr:row>59</xdr:row>
      <xdr:rowOff>8335</xdr:rowOff>
    </xdr:to>
    <xdr:cxnSp macro="">
      <xdr:nvCxnSpPr>
        <xdr:cNvPr id="75" name="3 Conector recto">
          <a:extLst>
            <a:ext uri="{FF2B5EF4-FFF2-40B4-BE49-F238E27FC236}">
              <a16:creationId xmlns:a16="http://schemas.microsoft.com/office/drawing/2014/main" id="{C714C53F-312C-43CC-931B-95642E1D77FF}"/>
            </a:ext>
          </a:extLst>
        </xdr:cNvPr>
        <xdr:cNvCxnSpPr/>
      </xdr:nvCxnSpPr>
      <xdr:spPr>
        <a:xfrm rot="5400000">
          <a:off x="542250" y="51548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813911</xdr:colOff>
      <xdr:row>59</xdr:row>
      <xdr:rowOff>0</xdr:rowOff>
    </xdr:from>
    <xdr:to>
      <xdr:col>0</xdr:col>
      <xdr:colOff>815499</xdr:colOff>
      <xdr:row>59</xdr:row>
      <xdr:rowOff>8335</xdr:rowOff>
    </xdr:to>
    <xdr:cxnSp macro="">
      <xdr:nvCxnSpPr>
        <xdr:cNvPr id="76" name="3 Conector recto">
          <a:extLst>
            <a:ext uri="{FF2B5EF4-FFF2-40B4-BE49-F238E27FC236}">
              <a16:creationId xmlns:a16="http://schemas.microsoft.com/office/drawing/2014/main" id="{C92AEFA2-A03C-4F8C-AA0D-436F7DE9DE2A}"/>
            </a:ext>
          </a:extLst>
        </xdr:cNvPr>
        <xdr:cNvCxnSpPr/>
      </xdr:nvCxnSpPr>
      <xdr:spPr>
        <a:xfrm rot="5400000">
          <a:off x="542250" y="51548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3</xdr:col>
      <xdr:colOff>1609494</xdr:colOff>
      <xdr:row>56</xdr:row>
      <xdr:rowOff>58080</xdr:rowOff>
    </xdr:from>
    <xdr:to>
      <xdr:col>3</xdr:col>
      <xdr:colOff>2511674</xdr:colOff>
      <xdr:row>58</xdr:row>
      <xdr:rowOff>127775</xdr:rowOff>
    </xdr:to>
    <xdr:pic>
      <xdr:nvPicPr>
        <xdr:cNvPr id="2091194" name="Imagen 77">
          <a:extLst>
            <a:ext uri="{FF2B5EF4-FFF2-40B4-BE49-F238E27FC236}">
              <a16:creationId xmlns:a16="http://schemas.microsoft.com/office/drawing/2014/main" id="{9C7E8488-2100-4715-B3AD-A36B3781E6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58823" y="9118446"/>
          <a:ext cx="902180" cy="4646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851217</xdr:colOff>
      <xdr:row>111</xdr:row>
      <xdr:rowOff>1495</xdr:rowOff>
    </xdr:from>
    <xdr:to>
      <xdr:col>0</xdr:col>
      <xdr:colOff>852805</xdr:colOff>
      <xdr:row>111</xdr:row>
      <xdr:rowOff>1495</xdr:rowOff>
    </xdr:to>
    <xdr:cxnSp macro="">
      <xdr:nvCxnSpPr>
        <xdr:cNvPr id="2" name="3 Conector recto">
          <a:extLst>
            <a:ext uri="{FF2B5EF4-FFF2-40B4-BE49-F238E27FC236}">
              <a16:creationId xmlns:a16="http://schemas.microsoft.com/office/drawing/2014/main" id="{2B5BE1A8-9E6E-4025-A0FD-61AD435BD4FB}"/>
            </a:ext>
          </a:extLst>
        </xdr:cNvPr>
        <xdr:cNvCxnSpPr/>
      </xdr:nvCxnSpPr>
      <xdr:spPr>
        <a:xfrm rot="5400000">
          <a:off x="557927" y="17343041"/>
          <a:ext cx="10318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851217</xdr:colOff>
      <xdr:row>111</xdr:row>
      <xdr:rowOff>1495</xdr:rowOff>
    </xdr:from>
    <xdr:to>
      <xdr:col>0</xdr:col>
      <xdr:colOff>852805</xdr:colOff>
      <xdr:row>111</xdr:row>
      <xdr:rowOff>1495</xdr:rowOff>
    </xdr:to>
    <xdr:cxnSp macro="">
      <xdr:nvCxnSpPr>
        <xdr:cNvPr id="3" name="3 Conector recto">
          <a:extLst>
            <a:ext uri="{FF2B5EF4-FFF2-40B4-BE49-F238E27FC236}">
              <a16:creationId xmlns:a16="http://schemas.microsoft.com/office/drawing/2014/main" id="{564BB12E-E9CB-4DA4-9925-474140CA99C4}"/>
            </a:ext>
          </a:extLst>
        </xdr:cNvPr>
        <xdr:cNvCxnSpPr/>
      </xdr:nvCxnSpPr>
      <xdr:spPr>
        <a:xfrm rot="5400000">
          <a:off x="557927" y="17343041"/>
          <a:ext cx="10318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833358</xdr:colOff>
      <xdr:row>111</xdr:row>
      <xdr:rowOff>186928</xdr:rowOff>
    </xdr:from>
    <xdr:to>
      <xdr:col>0</xdr:col>
      <xdr:colOff>842884</xdr:colOff>
      <xdr:row>112</xdr:row>
      <xdr:rowOff>1588</xdr:rowOff>
    </xdr:to>
    <xdr:cxnSp macro="">
      <xdr:nvCxnSpPr>
        <xdr:cNvPr id="4" name="3 Conector recto">
          <a:extLst>
            <a:ext uri="{FF2B5EF4-FFF2-40B4-BE49-F238E27FC236}">
              <a16:creationId xmlns:a16="http://schemas.microsoft.com/office/drawing/2014/main" id="{7E5DF1C6-94BF-4A5B-971A-2D44B7862D7C}"/>
            </a:ext>
          </a:extLst>
        </xdr:cNvPr>
        <xdr:cNvCxnSpPr/>
      </xdr:nvCxnSpPr>
      <xdr:spPr>
        <a:xfrm rot="5400000">
          <a:off x="555347" y="17536120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833358</xdr:colOff>
      <xdr:row>103</xdr:row>
      <xdr:rowOff>1564</xdr:rowOff>
    </xdr:from>
    <xdr:to>
      <xdr:col>0</xdr:col>
      <xdr:colOff>842884</xdr:colOff>
      <xdr:row>103</xdr:row>
      <xdr:rowOff>1588</xdr:rowOff>
    </xdr:to>
    <xdr:cxnSp macro="">
      <xdr:nvCxnSpPr>
        <xdr:cNvPr id="5" name="3 Conector recto">
          <a:extLst>
            <a:ext uri="{FF2B5EF4-FFF2-40B4-BE49-F238E27FC236}">
              <a16:creationId xmlns:a16="http://schemas.microsoft.com/office/drawing/2014/main" id="{6D46D05F-64BE-4038-9769-93FA2366F268}"/>
            </a:ext>
          </a:extLst>
        </xdr:cNvPr>
        <xdr:cNvCxnSpPr/>
      </xdr:nvCxnSpPr>
      <xdr:spPr>
        <a:xfrm rot="5400000">
          <a:off x="555347" y="15762089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833358</xdr:colOff>
      <xdr:row>103</xdr:row>
      <xdr:rowOff>1564</xdr:rowOff>
    </xdr:from>
    <xdr:to>
      <xdr:col>0</xdr:col>
      <xdr:colOff>842884</xdr:colOff>
      <xdr:row>103</xdr:row>
      <xdr:rowOff>1588</xdr:rowOff>
    </xdr:to>
    <xdr:cxnSp macro="">
      <xdr:nvCxnSpPr>
        <xdr:cNvPr id="6" name="3 Conector recto">
          <a:extLst>
            <a:ext uri="{FF2B5EF4-FFF2-40B4-BE49-F238E27FC236}">
              <a16:creationId xmlns:a16="http://schemas.microsoft.com/office/drawing/2014/main" id="{56932FF9-0510-405E-8CAF-A06DE63973D4}"/>
            </a:ext>
          </a:extLst>
        </xdr:cNvPr>
        <xdr:cNvCxnSpPr/>
      </xdr:nvCxnSpPr>
      <xdr:spPr>
        <a:xfrm rot="5400000">
          <a:off x="555347" y="15762089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0</xdr:colOff>
      <xdr:row>0</xdr:row>
      <xdr:rowOff>285750</xdr:rowOff>
    </xdr:from>
    <xdr:to>
      <xdr:col>1</xdr:col>
      <xdr:colOff>1228725</xdr:colOff>
      <xdr:row>2</xdr:row>
      <xdr:rowOff>428625</xdr:rowOff>
    </xdr:to>
    <xdr:pic>
      <xdr:nvPicPr>
        <xdr:cNvPr id="2081158" name="Imagen 18">
          <a:extLst>
            <a:ext uri="{FF2B5EF4-FFF2-40B4-BE49-F238E27FC236}">
              <a16:creationId xmlns:a16="http://schemas.microsoft.com/office/drawing/2014/main" id="{CCD658B2-ABCA-43A4-BE42-3CC1D5DE50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0"/>
          <a:ext cx="29146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800100</xdr:colOff>
      <xdr:row>0</xdr:row>
      <xdr:rowOff>390525</xdr:rowOff>
    </xdr:from>
    <xdr:to>
      <xdr:col>6</xdr:col>
      <xdr:colOff>0</xdr:colOff>
      <xdr:row>2</xdr:row>
      <xdr:rowOff>457200</xdr:rowOff>
    </xdr:to>
    <xdr:pic>
      <xdr:nvPicPr>
        <xdr:cNvPr id="2081159" name="Imagen 19">
          <a:extLst>
            <a:ext uri="{FF2B5EF4-FFF2-40B4-BE49-F238E27FC236}">
              <a16:creationId xmlns:a16="http://schemas.microsoft.com/office/drawing/2014/main" id="{73C73CD4-43A3-4028-AD57-4045932A4E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0" y="390525"/>
          <a:ext cx="2171700" cy="923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833358</xdr:colOff>
      <xdr:row>103</xdr:row>
      <xdr:rowOff>1564</xdr:rowOff>
    </xdr:from>
    <xdr:to>
      <xdr:col>0</xdr:col>
      <xdr:colOff>842884</xdr:colOff>
      <xdr:row>103</xdr:row>
      <xdr:rowOff>1588</xdr:rowOff>
    </xdr:to>
    <xdr:cxnSp macro="">
      <xdr:nvCxnSpPr>
        <xdr:cNvPr id="10" name="3 Conector recto">
          <a:extLst>
            <a:ext uri="{FF2B5EF4-FFF2-40B4-BE49-F238E27FC236}">
              <a16:creationId xmlns:a16="http://schemas.microsoft.com/office/drawing/2014/main" id="{3CF5C2B6-AEF6-4E12-A352-D52F6E3D750B}"/>
            </a:ext>
          </a:extLst>
        </xdr:cNvPr>
        <xdr:cNvCxnSpPr/>
      </xdr:nvCxnSpPr>
      <xdr:spPr>
        <a:xfrm rot="5400000">
          <a:off x="555347" y="15762089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833358</xdr:colOff>
      <xdr:row>103</xdr:row>
      <xdr:rowOff>1564</xdr:rowOff>
    </xdr:from>
    <xdr:to>
      <xdr:col>0</xdr:col>
      <xdr:colOff>842884</xdr:colOff>
      <xdr:row>103</xdr:row>
      <xdr:rowOff>1588</xdr:rowOff>
    </xdr:to>
    <xdr:cxnSp macro="">
      <xdr:nvCxnSpPr>
        <xdr:cNvPr id="11" name="3 Conector recto">
          <a:extLst>
            <a:ext uri="{FF2B5EF4-FFF2-40B4-BE49-F238E27FC236}">
              <a16:creationId xmlns:a16="http://schemas.microsoft.com/office/drawing/2014/main" id="{C7E20859-0F91-4D9E-92D6-63EE0CCF714F}"/>
            </a:ext>
          </a:extLst>
        </xdr:cNvPr>
        <xdr:cNvCxnSpPr/>
      </xdr:nvCxnSpPr>
      <xdr:spPr>
        <a:xfrm rot="5400000">
          <a:off x="555347" y="15762089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827008</xdr:colOff>
      <xdr:row>103</xdr:row>
      <xdr:rowOff>1564</xdr:rowOff>
    </xdr:from>
    <xdr:to>
      <xdr:col>0</xdr:col>
      <xdr:colOff>825421</xdr:colOff>
      <xdr:row>103</xdr:row>
      <xdr:rowOff>1588</xdr:rowOff>
    </xdr:to>
    <xdr:cxnSp macro="">
      <xdr:nvCxnSpPr>
        <xdr:cNvPr id="13" name="3 Conector recto">
          <a:extLst>
            <a:ext uri="{FF2B5EF4-FFF2-40B4-BE49-F238E27FC236}">
              <a16:creationId xmlns:a16="http://schemas.microsoft.com/office/drawing/2014/main" id="{CC8B01F8-1300-4AAE-8465-E5F64BF63EEC}"/>
            </a:ext>
          </a:extLst>
        </xdr:cNvPr>
        <xdr:cNvCxnSpPr/>
      </xdr:nvCxnSpPr>
      <xdr:spPr>
        <a:xfrm rot="5400000">
          <a:off x="545822" y="15762089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827008</xdr:colOff>
      <xdr:row>103</xdr:row>
      <xdr:rowOff>1564</xdr:rowOff>
    </xdr:from>
    <xdr:to>
      <xdr:col>0</xdr:col>
      <xdr:colOff>825421</xdr:colOff>
      <xdr:row>103</xdr:row>
      <xdr:rowOff>1588</xdr:rowOff>
    </xdr:to>
    <xdr:cxnSp macro="">
      <xdr:nvCxnSpPr>
        <xdr:cNvPr id="14" name="3 Conector recto">
          <a:extLst>
            <a:ext uri="{FF2B5EF4-FFF2-40B4-BE49-F238E27FC236}">
              <a16:creationId xmlns:a16="http://schemas.microsoft.com/office/drawing/2014/main" id="{D5E9551D-0A09-4F2C-B917-688475901A25}"/>
            </a:ext>
          </a:extLst>
        </xdr:cNvPr>
        <xdr:cNvCxnSpPr/>
      </xdr:nvCxnSpPr>
      <xdr:spPr>
        <a:xfrm rot="5400000">
          <a:off x="545822" y="15762089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833358</xdr:colOff>
      <xdr:row>103</xdr:row>
      <xdr:rowOff>1564</xdr:rowOff>
    </xdr:from>
    <xdr:to>
      <xdr:col>0</xdr:col>
      <xdr:colOff>842884</xdr:colOff>
      <xdr:row>103</xdr:row>
      <xdr:rowOff>1588</xdr:rowOff>
    </xdr:to>
    <xdr:cxnSp macro="">
      <xdr:nvCxnSpPr>
        <xdr:cNvPr id="16" name="3 Conector recto">
          <a:extLst>
            <a:ext uri="{FF2B5EF4-FFF2-40B4-BE49-F238E27FC236}">
              <a16:creationId xmlns:a16="http://schemas.microsoft.com/office/drawing/2014/main" id="{D207B1AD-5B16-46F0-8684-48D5F6D41207}"/>
            </a:ext>
          </a:extLst>
        </xdr:cNvPr>
        <xdr:cNvCxnSpPr/>
      </xdr:nvCxnSpPr>
      <xdr:spPr>
        <a:xfrm rot="5400000">
          <a:off x="555347" y="15762089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833358</xdr:colOff>
      <xdr:row>103</xdr:row>
      <xdr:rowOff>1564</xdr:rowOff>
    </xdr:from>
    <xdr:to>
      <xdr:col>0</xdr:col>
      <xdr:colOff>842884</xdr:colOff>
      <xdr:row>103</xdr:row>
      <xdr:rowOff>1588</xdr:rowOff>
    </xdr:to>
    <xdr:cxnSp macro="">
      <xdr:nvCxnSpPr>
        <xdr:cNvPr id="17" name="3 Conector recto">
          <a:extLst>
            <a:ext uri="{FF2B5EF4-FFF2-40B4-BE49-F238E27FC236}">
              <a16:creationId xmlns:a16="http://schemas.microsoft.com/office/drawing/2014/main" id="{F1096C45-7730-4770-9CF1-699F57F5A1EF}"/>
            </a:ext>
          </a:extLst>
        </xdr:cNvPr>
        <xdr:cNvCxnSpPr/>
      </xdr:nvCxnSpPr>
      <xdr:spPr>
        <a:xfrm rot="5400000">
          <a:off x="555347" y="15762089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827008</xdr:colOff>
      <xdr:row>103</xdr:row>
      <xdr:rowOff>1564</xdr:rowOff>
    </xdr:from>
    <xdr:to>
      <xdr:col>0</xdr:col>
      <xdr:colOff>825421</xdr:colOff>
      <xdr:row>103</xdr:row>
      <xdr:rowOff>1588</xdr:rowOff>
    </xdr:to>
    <xdr:cxnSp macro="">
      <xdr:nvCxnSpPr>
        <xdr:cNvPr id="19" name="3 Conector recto">
          <a:extLst>
            <a:ext uri="{FF2B5EF4-FFF2-40B4-BE49-F238E27FC236}">
              <a16:creationId xmlns:a16="http://schemas.microsoft.com/office/drawing/2014/main" id="{A3AE67A6-9C46-4377-A7FC-3F51CD02EA17}"/>
            </a:ext>
          </a:extLst>
        </xdr:cNvPr>
        <xdr:cNvCxnSpPr/>
      </xdr:nvCxnSpPr>
      <xdr:spPr>
        <a:xfrm rot="5400000">
          <a:off x="545822" y="15762089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827008</xdr:colOff>
      <xdr:row>103</xdr:row>
      <xdr:rowOff>1564</xdr:rowOff>
    </xdr:from>
    <xdr:to>
      <xdr:col>0</xdr:col>
      <xdr:colOff>825421</xdr:colOff>
      <xdr:row>103</xdr:row>
      <xdr:rowOff>1588</xdr:rowOff>
    </xdr:to>
    <xdr:cxnSp macro="">
      <xdr:nvCxnSpPr>
        <xdr:cNvPr id="20" name="3 Conector recto">
          <a:extLst>
            <a:ext uri="{FF2B5EF4-FFF2-40B4-BE49-F238E27FC236}">
              <a16:creationId xmlns:a16="http://schemas.microsoft.com/office/drawing/2014/main" id="{5F428B8D-B63C-43C8-8D7A-3D69D42CE759}"/>
            </a:ext>
          </a:extLst>
        </xdr:cNvPr>
        <xdr:cNvCxnSpPr/>
      </xdr:nvCxnSpPr>
      <xdr:spPr>
        <a:xfrm rot="5400000">
          <a:off x="545822" y="15762089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833358</xdr:colOff>
      <xdr:row>103</xdr:row>
      <xdr:rowOff>1564</xdr:rowOff>
    </xdr:from>
    <xdr:to>
      <xdr:col>3</xdr:col>
      <xdr:colOff>842884</xdr:colOff>
      <xdr:row>103</xdr:row>
      <xdr:rowOff>1588</xdr:rowOff>
    </xdr:to>
    <xdr:cxnSp macro="">
      <xdr:nvCxnSpPr>
        <xdr:cNvPr id="28" name="3 Conector recto">
          <a:extLst>
            <a:ext uri="{FF2B5EF4-FFF2-40B4-BE49-F238E27FC236}">
              <a16:creationId xmlns:a16="http://schemas.microsoft.com/office/drawing/2014/main" id="{A205C7A5-E1BC-4909-8287-86366DEDAF8B}"/>
            </a:ext>
          </a:extLst>
        </xdr:cNvPr>
        <xdr:cNvCxnSpPr/>
      </xdr:nvCxnSpPr>
      <xdr:spPr>
        <a:xfrm rot="5400000">
          <a:off x="5627410" y="15762089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833358</xdr:colOff>
      <xdr:row>103</xdr:row>
      <xdr:rowOff>1564</xdr:rowOff>
    </xdr:from>
    <xdr:to>
      <xdr:col>3</xdr:col>
      <xdr:colOff>842884</xdr:colOff>
      <xdr:row>103</xdr:row>
      <xdr:rowOff>1588</xdr:rowOff>
    </xdr:to>
    <xdr:cxnSp macro="">
      <xdr:nvCxnSpPr>
        <xdr:cNvPr id="29" name="3 Conector recto">
          <a:extLst>
            <a:ext uri="{FF2B5EF4-FFF2-40B4-BE49-F238E27FC236}">
              <a16:creationId xmlns:a16="http://schemas.microsoft.com/office/drawing/2014/main" id="{225CA30D-687B-4188-808E-11D9DD31DDA8}"/>
            </a:ext>
          </a:extLst>
        </xdr:cNvPr>
        <xdr:cNvCxnSpPr/>
      </xdr:nvCxnSpPr>
      <xdr:spPr>
        <a:xfrm rot="5400000">
          <a:off x="5627410" y="15762089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851218</xdr:colOff>
      <xdr:row>104</xdr:row>
      <xdr:rowOff>232</xdr:rowOff>
    </xdr:from>
    <xdr:to>
      <xdr:col>3</xdr:col>
      <xdr:colOff>852806</xdr:colOff>
      <xdr:row>104</xdr:row>
      <xdr:rowOff>5672</xdr:rowOff>
    </xdr:to>
    <xdr:cxnSp macro="">
      <xdr:nvCxnSpPr>
        <xdr:cNvPr id="30" name="3 Conector recto">
          <a:extLst>
            <a:ext uri="{FF2B5EF4-FFF2-40B4-BE49-F238E27FC236}">
              <a16:creationId xmlns:a16="http://schemas.microsoft.com/office/drawing/2014/main" id="{F6254EC5-B515-433C-8DB0-3106F0A3DF4D}"/>
            </a:ext>
          </a:extLst>
        </xdr:cNvPr>
        <xdr:cNvCxnSpPr/>
      </xdr:nvCxnSpPr>
      <xdr:spPr>
        <a:xfrm rot="5400000">
          <a:off x="5629990" y="15950009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827008</xdr:colOff>
      <xdr:row>103</xdr:row>
      <xdr:rowOff>1564</xdr:rowOff>
    </xdr:from>
    <xdr:to>
      <xdr:col>3</xdr:col>
      <xdr:colOff>825421</xdr:colOff>
      <xdr:row>103</xdr:row>
      <xdr:rowOff>1588</xdr:rowOff>
    </xdr:to>
    <xdr:cxnSp macro="">
      <xdr:nvCxnSpPr>
        <xdr:cNvPr id="31" name="3 Conector recto">
          <a:extLst>
            <a:ext uri="{FF2B5EF4-FFF2-40B4-BE49-F238E27FC236}">
              <a16:creationId xmlns:a16="http://schemas.microsoft.com/office/drawing/2014/main" id="{7E92EFF6-EC72-4832-AE86-00312C1298F3}"/>
            </a:ext>
          </a:extLst>
        </xdr:cNvPr>
        <xdr:cNvCxnSpPr/>
      </xdr:nvCxnSpPr>
      <xdr:spPr>
        <a:xfrm rot="5400000">
          <a:off x="5617885" y="15762089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827008</xdr:colOff>
      <xdr:row>103</xdr:row>
      <xdr:rowOff>1564</xdr:rowOff>
    </xdr:from>
    <xdr:to>
      <xdr:col>3</xdr:col>
      <xdr:colOff>825421</xdr:colOff>
      <xdr:row>103</xdr:row>
      <xdr:rowOff>1588</xdr:rowOff>
    </xdr:to>
    <xdr:cxnSp macro="">
      <xdr:nvCxnSpPr>
        <xdr:cNvPr id="32" name="3 Conector recto">
          <a:extLst>
            <a:ext uri="{FF2B5EF4-FFF2-40B4-BE49-F238E27FC236}">
              <a16:creationId xmlns:a16="http://schemas.microsoft.com/office/drawing/2014/main" id="{00BB9CFC-7514-4D75-92F3-FCB74FB8CDD2}"/>
            </a:ext>
          </a:extLst>
        </xdr:cNvPr>
        <xdr:cNvCxnSpPr/>
      </xdr:nvCxnSpPr>
      <xdr:spPr>
        <a:xfrm rot="5400000">
          <a:off x="5617885" y="15762089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833358</xdr:colOff>
      <xdr:row>103</xdr:row>
      <xdr:rowOff>1564</xdr:rowOff>
    </xdr:from>
    <xdr:to>
      <xdr:col>3</xdr:col>
      <xdr:colOff>842884</xdr:colOff>
      <xdr:row>103</xdr:row>
      <xdr:rowOff>1588</xdr:rowOff>
    </xdr:to>
    <xdr:cxnSp macro="">
      <xdr:nvCxnSpPr>
        <xdr:cNvPr id="34" name="3 Conector recto">
          <a:extLst>
            <a:ext uri="{FF2B5EF4-FFF2-40B4-BE49-F238E27FC236}">
              <a16:creationId xmlns:a16="http://schemas.microsoft.com/office/drawing/2014/main" id="{8F6E7607-843F-4DF9-B399-0172A11D130C}"/>
            </a:ext>
          </a:extLst>
        </xdr:cNvPr>
        <xdr:cNvCxnSpPr/>
      </xdr:nvCxnSpPr>
      <xdr:spPr>
        <a:xfrm rot="5400000">
          <a:off x="5627410" y="15762089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833358</xdr:colOff>
      <xdr:row>103</xdr:row>
      <xdr:rowOff>1564</xdr:rowOff>
    </xdr:from>
    <xdr:to>
      <xdr:col>3</xdr:col>
      <xdr:colOff>842884</xdr:colOff>
      <xdr:row>103</xdr:row>
      <xdr:rowOff>1588</xdr:rowOff>
    </xdr:to>
    <xdr:cxnSp macro="">
      <xdr:nvCxnSpPr>
        <xdr:cNvPr id="35" name="3 Conector recto">
          <a:extLst>
            <a:ext uri="{FF2B5EF4-FFF2-40B4-BE49-F238E27FC236}">
              <a16:creationId xmlns:a16="http://schemas.microsoft.com/office/drawing/2014/main" id="{D1CA3ACC-8592-4AEF-905D-6B592D712C8E}"/>
            </a:ext>
          </a:extLst>
        </xdr:cNvPr>
        <xdr:cNvCxnSpPr/>
      </xdr:nvCxnSpPr>
      <xdr:spPr>
        <a:xfrm rot="5400000">
          <a:off x="5627410" y="15762089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851218</xdr:colOff>
      <xdr:row>104</xdr:row>
      <xdr:rowOff>232</xdr:rowOff>
    </xdr:from>
    <xdr:to>
      <xdr:col>3</xdr:col>
      <xdr:colOff>852806</xdr:colOff>
      <xdr:row>104</xdr:row>
      <xdr:rowOff>5672</xdr:rowOff>
    </xdr:to>
    <xdr:cxnSp macro="">
      <xdr:nvCxnSpPr>
        <xdr:cNvPr id="36" name="3 Conector recto">
          <a:extLst>
            <a:ext uri="{FF2B5EF4-FFF2-40B4-BE49-F238E27FC236}">
              <a16:creationId xmlns:a16="http://schemas.microsoft.com/office/drawing/2014/main" id="{FCAF9431-FC24-41EA-A1F7-E89926690423}"/>
            </a:ext>
          </a:extLst>
        </xdr:cNvPr>
        <xdr:cNvCxnSpPr/>
      </xdr:nvCxnSpPr>
      <xdr:spPr>
        <a:xfrm rot="5400000">
          <a:off x="5629990" y="15950009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827008</xdr:colOff>
      <xdr:row>103</xdr:row>
      <xdr:rowOff>1564</xdr:rowOff>
    </xdr:from>
    <xdr:to>
      <xdr:col>3</xdr:col>
      <xdr:colOff>825421</xdr:colOff>
      <xdr:row>103</xdr:row>
      <xdr:rowOff>1588</xdr:rowOff>
    </xdr:to>
    <xdr:cxnSp macro="">
      <xdr:nvCxnSpPr>
        <xdr:cNvPr id="37" name="3 Conector recto">
          <a:extLst>
            <a:ext uri="{FF2B5EF4-FFF2-40B4-BE49-F238E27FC236}">
              <a16:creationId xmlns:a16="http://schemas.microsoft.com/office/drawing/2014/main" id="{CC10A498-0B3A-4069-B706-BF2231AC27AC}"/>
            </a:ext>
          </a:extLst>
        </xdr:cNvPr>
        <xdr:cNvCxnSpPr/>
      </xdr:nvCxnSpPr>
      <xdr:spPr>
        <a:xfrm rot="5400000">
          <a:off x="5617885" y="15762089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827008</xdr:colOff>
      <xdr:row>103</xdr:row>
      <xdr:rowOff>1564</xdr:rowOff>
    </xdr:from>
    <xdr:to>
      <xdr:col>3</xdr:col>
      <xdr:colOff>825421</xdr:colOff>
      <xdr:row>103</xdr:row>
      <xdr:rowOff>1588</xdr:rowOff>
    </xdr:to>
    <xdr:cxnSp macro="">
      <xdr:nvCxnSpPr>
        <xdr:cNvPr id="38" name="3 Conector recto">
          <a:extLst>
            <a:ext uri="{FF2B5EF4-FFF2-40B4-BE49-F238E27FC236}">
              <a16:creationId xmlns:a16="http://schemas.microsoft.com/office/drawing/2014/main" id="{BE97F9EE-4741-4213-83A4-F16AB0E8DC70}"/>
            </a:ext>
          </a:extLst>
        </xdr:cNvPr>
        <xdr:cNvCxnSpPr/>
      </xdr:nvCxnSpPr>
      <xdr:spPr>
        <a:xfrm rot="5400000">
          <a:off x="5617885" y="15762089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3</xdr:col>
      <xdr:colOff>896470</xdr:colOff>
      <xdr:row>99</xdr:row>
      <xdr:rowOff>44824</xdr:rowOff>
    </xdr:from>
    <xdr:to>
      <xdr:col>4</xdr:col>
      <xdr:colOff>806823</xdr:colOff>
      <xdr:row>102</xdr:row>
      <xdr:rowOff>71079</xdr:rowOff>
    </xdr:to>
    <xdr:pic>
      <xdr:nvPicPr>
        <xdr:cNvPr id="41" name="Imagen 77">
          <a:extLst>
            <a:ext uri="{FF2B5EF4-FFF2-40B4-BE49-F238E27FC236}">
              <a16:creationId xmlns:a16="http://schemas.microsoft.com/office/drawing/2014/main" id="{2ED888B6-EBA5-487E-B96E-ADA4CCFFCA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39117" y="20730883"/>
          <a:ext cx="1591235" cy="6313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333375</xdr:colOff>
      <xdr:row>1</xdr:row>
      <xdr:rowOff>0</xdr:rowOff>
    </xdr:to>
    <xdr:pic>
      <xdr:nvPicPr>
        <xdr:cNvPr id="1795850" name="Imagen 18">
          <a:extLst>
            <a:ext uri="{FF2B5EF4-FFF2-40B4-BE49-F238E27FC236}">
              <a16:creationId xmlns:a16="http://schemas.microsoft.com/office/drawing/2014/main" id="{FBF6B815-30BD-4D64-9BAA-89187A5FDA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6479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25</xdr:col>
      <xdr:colOff>0</xdr:colOff>
      <xdr:row>0</xdr:row>
      <xdr:rowOff>238125</xdr:rowOff>
    </xdr:from>
    <xdr:to>
      <xdr:col>26</xdr:col>
      <xdr:colOff>0</xdr:colOff>
      <xdr:row>1</xdr:row>
      <xdr:rowOff>0</xdr:rowOff>
    </xdr:to>
    <xdr:pic>
      <xdr:nvPicPr>
        <xdr:cNvPr id="1795851" name="Imagen 19">
          <a:extLst>
            <a:ext uri="{FF2B5EF4-FFF2-40B4-BE49-F238E27FC236}">
              <a16:creationId xmlns:a16="http://schemas.microsoft.com/office/drawing/2014/main" id="{FAB93F81-DC30-4E80-B290-BDF003F447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45675" y="238125"/>
          <a:ext cx="1114425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846852</xdr:colOff>
      <xdr:row>56</xdr:row>
      <xdr:rowOff>3344</xdr:rowOff>
    </xdr:from>
    <xdr:to>
      <xdr:col>0</xdr:col>
      <xdr:colOff>848440</xdr:colOff>
      <xdr:row>56</xdr:row>
      <xdr:rowOff>14912</xdr:rowOff>
    </xdr:to>
    <xdr:cxnSp macro="">
      <xdr:nvCxnSpPr>
        <xdr:cNvPr id="2" name="3 Conector recto">
          <a:extLst>
            <a:ext uri="{FF2B5EF4-FFF2-40B4-BE49-F238E27FC236}">
              <a16:creationId xmlns:a16="http://schemas.microsoft.com/office/drawing/2014/main" id="{730EC6BC-3D2B-4B1A-AE7B-85F32AF2AE98}"/>
            </a:ext>
          </a:extLst>
        </xdr:cNvPr>
        <xdr:cNvCxnSpPr/>
      </xdr:nvCxnSpPr>
      <xdr:spPr>
        <a:xfrm rot="5400000">
          <a:off x="553561" y="10028464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846852</xdr:colOff>
      <xdr:row>56</xdr:row>
      <xdr:rowOff>3344</xdr:rowOff>
    </xdr:from>
    <xdr:to>
      <xdr:col>0</xdr:col>
      <xdr:colOff>848440</xdr:colOff>
      <xdr:row>56</xdr:row>
      <xdr:rowOff>14912</xdr:rowOff>
    </xdr:to>
    <xdr:cxnSp macro="">
      <xdr:nvCxnSpPr>
        <xdr:cNvPr id="3" name="3 Conector recto">
          <a:extLst>
            <a:ext uri="{FF2B5EF4-FFF2-40B4-BE49-F238E27FC236}">
              <a16:creationId xmlns:a16="http://schemas.microsoft.com/office/drawing/2014/main" id="{06F86A6E-647E-4990-A7CE-2EBCE161110E}"/>
            </a:ext>
          </a:extLst>
        </xdr:cNvPr>
        <xdr:cNvCxnSpPr/>
      </xdr:nvCxnSpPr>
      <xdr:spPr>
        <a:xfrm rot="5400000">
          <a:off x="553561" y="10028464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831572</xdr:colOff>
      <xdr:row>56</xdr:row>
      <xdr:rowOff>188714</xdr:rowOff>
    </xdr:from>
    <xdr:to>
      <xdr:col>0</xdr:col>
      <xdr:colOff>833160</xdr:colOff>
      <xdr:row>57</xdr:row>
      <xdr:rowOff>3374</xdr:rowOff>
    </xdr:to>
    <xdr:cxnSp macro="">
      <xdr:nvCxnSpPr>
        <xdr:cNvPr id="4" name="3 Conector recto">
          <a:extLst>
            <a:ext uri="{FF2B5EF4-FFF2-40B4-BE49-F238E27FC236}">
              <a16:creationId xmlns:a16="http://schemas.microsoft.com/office/drawing/2014/main" id="{647D1CA2-2DE7-4362-9C2C-002A7FC5360D}"/>
            </a:ext>
          </a:extLst>
        </xdr:cNvPr>
        <xdr:cNvCxnSpPr/>
      </xdr:nvCxnSpPr>
      <xdr:spPr>
        <a:xfrm rot="5400000">
          <a:off x="553561" y="10218964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831572</xdr:colOff>
      <xdr:row>47</xdr:row>
      <xdr:rowOff>205497</xdr:rowOff>
    </xdr:from>
    <xdr:to>
      <xdr:col>0</xdr:col>
      <xdr:colOff>833160</xdr:colOff>
      <xdr:row>48</xdr:row>
      <xdr:rowOff>3374</xdr:rowOff>
    </xdr:to>
    <xdr:cxnSp macro="">
      <xdr:nvCxnSpPr>
        <xdr:cNvPr id="5" name="3 Conector recto">
          <a:extLst>
            <a:ext uri="{FF2B5EF4-FFF2-40B4-BE49-F238E27FC236}">
              <a16:creationId xmlns:a16="http://schemas.microsoft.com/office/drawing/2014/main" id="{B28CC58C-01E9-4958-AECD-4597588D664B}"/>
            </a:ext>
          </a:extLst>
        </xdr:cNvPr>
        <xdr:cNvCxnSpPr/>
      </xdr:nvCxnSpPr>
      <xdr:spPr>
        <a:xfrm rot="5400000">
          <a:off x="553561" y="8436429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831572</xdr:colOff>
      <xdr:row>47</xdr:row>
      <xdr:rowOff>205497</xdr:rowOff>
    </xdr:from>
    <xdr:to>
      <xdr:col>0</xdr:col>
      <xdr:colOff>833160</xdr:colOff>
      <xdr:row>48</xdr:row>
      <xdr:rowOff>3374</xdr:rowOff>
    </xdr:to>
    <xdr:cxnSp macro="">
      <xdr:nvCxnSpPr>
        <xdr:cNvPr id="6" name="3 Conector recto">
          <a:extLst>
            <a:ext uri="{FF2B5EF4-FFF2-40B4-BE49-F238E27FC236}">
              <a16:creationId xmlns:a16="http://schemas.microsoft.com/office/drawing/2014/main" id="{BC52228B-13B6-4878-A4D7-7D0304BC7586}"/>
            </a:ext>
          </a:extLst>
        </xdr:cNvPr>
        <xdr:cNvCxnSpPr/>
      </xdr:nvCxnSpPr>
      <xdr:spPr>
        <a:xfrm rot="5400000">
          <a:off x="553561" y="8436429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846852</xdr:colOff>
      <xdr:row>48</xdr:row>
      <xdr:rowOff>186134</xdr:rowOff>
    </xdr:from>
    <xdr:to>
      <xdr:col>0</xdr:col>
      <xdr:colOff>848440</xdr:colOff>
      <xdr:row>49</xdr:row>
      <xdr:rowOff>9128</xdr:rowOff>
    </xdr:to>
    <xdr:cxnSp macro="">
      <xdr:nvCxnSpPr>
        <xdr:cNvPr id="7" name="3 Conector recto">
          <a:extLst>
            <a:ext uri="{FF2B5EF4-FFF2-40B4-BE49-F238E27FC236}">
              <a16:creationId xmlns:a16="http://schemas.microsoft.com/office/drawing/2014/main" id="{A4EF802E-79D8-40D3-8F20-A9BB82635C65}"/>
            </a:ext>
          </a:extLst>
        </xdr:cNvPr>
        <xdr:cNvCxnSpPr/>
      </xdr:nvCxnSpPr>
      <xdr:spPr>
        <a:xfrm rot="5400000">
          <a:off x="553561" y="8626929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0</xdr:colOff>
      <xdr:row>0</xdr:row>
      <xdr:rowOff>166687</xdr:rowOff>
    </xdr:from>
    <xdr:to>
      <xdr:col>1</xdr:col>
      <xdr:colOff>707571</xdr:colOff>
      <xdr:row>4</xdr:row>
      <xdr:rowOff>110557</xdr:rowOff>
    </xdr:to>
    <xdr:pic>
      <xdr:nvPicPr>
        <xdr:cNvPr id="2088326" name="Imagen 18">
          <a:extLst>
            <a:ext uri="{FF2B5EF4-FFF2-40B4-BE49-F238E27FC236}">
              <a16:creationId xmlns:a16="http://schemas.microsoft.com/office/drawing/2014/main" id="{404ACE70-9ACE-4EC4-903A-0B704C28E7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6687"/>
          <a:ext cx="2398259" cy="10392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734786</xdr:colOff>
      <xdr:row>0</xdr:row>
      <xdr:rowOff>142875</xdr:rowOff>
    </xdr:from>
    <xdr:to>
      <xdr:col>6</xdr:col>
      <xdr:colOff>171450</xdr:colOff>
      <xdr:row>4</xdr:row>
      <xdr:rowOff>35719</xdr:rowOff>
    </xdr:to>
    <xdr:pic>
      <xdr:nvPicPr>
        <xdr:cNvPr id="2088327" name="Imagen 19">
          <a:extLst>
            <a:ext uri="{FF2B5EF4-FFF2-40B4-BE49-F238E27FC236}">
              <a16:creationId xmlns:a16="http://schemas.microsoft.com/office/drawing/2014/main" id="{203C2C28-0CBB-4BCF-B2C0-FEF692212C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97536" y="142875"/>
          <a:ext cx="1913164" cy="9882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831572</xdr:colOff>
      <xdr:row>47</xdr:row>
      <xdr:rowOff>205497</xdr:rowOff>
    </xdr:from>
    <xdr:to>
      <xdr:col>0</xdr:col>
      <xdr:colOff>833160</xdr:colOff>
      <xdr:row>48</xdr:row>
      <xdr:rowOff>3374</xdr:rowOff>
    </xdr:to>
    <xdr:cxnSp macro="">
      <xdr:nvCxnSpPr>
        <xdr:cNvPr id="10" name="3 Conector recto">
          <a:extLst>
            <a:ext uri="{FF2B5EF4-FFF2-40B4-BE49-F238E27FC236}">
              <a16:creationId xmlns:a16="http://schemas.microsoft.com/office/drawing/2014/main" id="{5AF83FA2-E50D-4E02-8671-991691664BFA}"/>
            </a:ext>
          </a:extLst>
        </xdr:cNvPr>
        <xdr:cNvCxnSpPr/>
      </xdr:nvCxnSpPr>
      <xdr:spPr>
        <a:xfrm rot="5400000">
          <a:off x="553561" y="8436429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831572</xdr:colOff>
      <xdr:row>47</xdr:row>
      <xdr:rowOff>205497</xdr:rowOff>
    </xdr:from>
    <xdr:to>
      <xdr:col>0</xdr:col>
      <xdr:colOff>833160</xdr:colOff>
      <xdr:row>48</xdr:row>
      <xdr:rowOff>3374</xdr:rowOff>
    </xdr:to>
    <xdr:cxnSp macro="">
      <xdr:nvCxnSpPr>
        <xdr:cNvPr id="11" name="3 Conector recto">
          <a:extLst>
            <a:ext uri="{FF2B5EF4-FFF2-40B4-BE49-F238E27FC236}">
              <a16:creationId xmlns:a16="http://schemas.microsoft.com/office/drawing/2014/main" id="{EEDFAA1E-CCDD-4119-8F7E-DFD2BE2FF6FA}"/>
            </a:ext>
          </a:extLst>
        </xdr:cNvPr>
        <xdr:cNvCxnSpPr/>
      </xdr:nvCxnSpPr>
      <xdr:spPr>
        <a:xfrm rot="5400000">
          <a:off x="553561" y="8436429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846852</xdr:colOff>
      <xdr:row>48</xdr:row>
      <xdr:rowOff>186134</xdr:rowOff>
    </xdr:from>
    <xdr:to>
      <xdr:col>0</xdr:col>
      <xdr:colOff>848440</xdr:colOff>
      <xdr:row>49</xdr:row>
      <xdr:rowOff>9128</xdr:rowOff>
    </xdr:to>
    <xdr:cxnSp macro="">
      <xdr:nvCxnSpPr>
        <xdr:cNvPr id="12" name="3 Conector recto">
          <a:extLst>
            <a:ext uri="{FF2B5EF4-FFF2-40B4-BE49-F238E27FC236}">
              <a16:creationId xmlns:a16="http://schemas.microsoft.com/office/drawing/2014/main" id="{BABF045B-E957-4D96-9DED-62BFA25B9965}"/>
            </a:ext>
          </a:extLst>
        </xdr:cNvPr>
        <xdr:cNvCxnSpPr/>
      </xdr:nvCxnSpPr>
      <xdr:spPr>
        <a:xfrm rot="5400000">
          <a:off x="553561" y="8626929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825222</xdr:colOff>
      <xdr:row>47</xdr:row>
      <xdr:rowOff>205497</xdr:rowOff>
    </xdr:from>
    <xdr:to>
      <xdr:col>0</xdr:col>
      <xdr:colOff>826810</xdr:colOff>
      <xdr:row>48</xdr:row>
      <xdr:rowOff>3374</xdr:rowOff>
    </xdr:to>
    <xdr:cxnSp macro="">
      <xdr:nvCxnSpPr>
        <xdr:cNvPr id="13" name="3 Conector recto">
          <a:extLst>
            <a:ext uri="{FF2B5EF4-FFF2-40B4-BE49-F238E27FC236}">
              <a16:creationId xmlns:a16="http://schemas.microsoft.com/office/drawing/2014/main" id="{3D1AEC40-110B-4C34-9F38-F044E05E588C}"/>
            </a:ext>
          </a:extLst>
        </xdr:cNvPr>
        <xdr:cNvCxnSpPr/>
      </xdr:nvCxnSpPr>
      <xdr:spPr>
        <a:xfrm rot="5400000">
          <a:off x="544036" y="8436429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825222</xdr:colOff>
      <xdr:row>47</xdr:row>
      <xdr:rowOff>205497</xdr:rowOff>
    </xdr:from>
    <xdr:to>
      <xdr:col>0</xdr:col>
      <xdr:colOff>826810</xdr:colOff>
      <xdr:row>48</xdr:row>
      <xdr:rowOff>3374</xdr:rowOff>
    </xdr:to>
    <xdr:cxnSp macro="">
      <xdr:nvCxnSpPr>
        <xdr:cNvPr id="14" name="3 Conector recto">
          <a:extLst>
            <a:ext uri="{FF2B5EF4-FFF2-40B4-BE49-F238E27FC236}">
              <a16:creationId xmlns:a16="http://schemas.microsoft.com/office/drawing/2014/main" id="{95CDC459-C130-45AE-88B0-B0C75B2832E3}"/>
            </a:ext>
          </a:extLst>
        </xdr:cNvPr>
        <xdr:cNvCxnSpPr/>
      </xdr:nvCxnSpPr>
      <xdr:spPr>
        <a:xfrm rot="5400000">
          <a:off x="544036" y="8436429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824627</xdr:colOff>
      <xdr:row>48</xdr:row>
      <xdr:rowOff>186134</xdr:rowOff>
    </xdr:from>
    <xdr:to>
      <xdr:col>0</xdr:col>
      <xdr:colOff>826215</xdr:colOff>
      <xdr:row>49</xdr:row>
      <xdr:rowOff>9128</xdr:rowOff>
    </xdr:to>
    <xdr:cxnSp macro="">
      <xdr:nvCxnSpPr>
        <xdr:cNvPr id="15" name="3 Conector recto">
          <a:extLst>
            <a:ext uri="{FF2B5EF4-FFF2-40B4-BE49-F238E27FC236}">
              <a16:creationId xmlns:a16="http://schemas.microsoft.com/office/drawing/2014/main" id="{1E3079D3-44B9-47F4-AA39-5392F7D2886F}"/>
            </a:ext>
          </a:extLst>
        </xdr:cNvPr>
        <xdr:cNvCxnSpPr/>
      </xdr:nvCxnSpPr>
      <xdr:spPr>
        <a:xfrm rot="5400000">
          <a:off x="544036" y="8626929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831572</xdr:colOff>
      <xdr:row>47</xdr:row>
      <xdr:rowOff>205497</xdr:rowOff>
    </xdr:from>
    <xdr:to>
      <xdr:col>0</xdr:col>
      <xdr:colOff>833160</xdr:colOff>
      <xdr:row>48</xdr:row>
      <xdr:rowOff>3374</xdr:rowOff>
    </xdr:to>
    <xdr:cxnSp macro="">
      <xdr:nvCxnSpPr>
        <xdr:cNvPr id="16" name="3 Conector recto">
          <a:extLst>
            <a:ext uri="{FF2B5EF4-FFF2-40B4-BE49-F238E27FC236}">
              <a16:creationId xmlns:a16="http://schemas.microsoft.com/office/drawing/2014/main" id="{B217FC62-DD6D-4995-867F-50A7E5754243}"/>
            </a:ext>
          </a:extLst>
        </xdr:cNvPr>
        <xdr:cNvCxnSpPr/>
      </xdr:nvCxnSpPr>
      <xdr:spPr>
        <a:xfrm rot="5400000">
          <a:off x="553561" y="8436429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831572</xdr:colOff>
      <xdr:row>47</xdr:row>
      <xdr:rowOff>205497</xdr:rowOff>
    </xdr:from>
    <xdr:to>
      <xdr:col>0</xdr:col>
      <xdr:colOff>833160</xdr:colOff>
      <xdr:row>48</xdr:row>
      <xdr:rowOff>3374</xdr:rowOff>
    </xdr:to>
    <xdr:cxnSp macro="">
      <xdr:nvCxnSpPr>
        <xdr:cNvPr id="17" name="3 Conector recto">
          <a:extLst>
            <a:ext uri="{FF2B5EF4-FFF2-40B4-BE49-F238E27FC236}">
              <a16:creationId xmlns:a16="http://schemas.microsoft.com/office/drawing/2014/main" id="{3B99C827-42C1-4DC8-A280-B788E19337CA}"/>
            </a:ext>
          </a:extLst>
        </xdr:cNvPr>
        <xdr:cNvCxnSpPr/>
      </xdr:nvCxnSpPr>
      <xdr:spPr>
        <a:xfrm rot="5400000">
          <a:off x="553561" y="8436429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846852</xdr:colOff>
      <xdr:row>48</xdr:row>
      <xdr:rowOff>186134</xdr:rowOff>
    </xdr:from>
    <xdr:to>
      <xdr:col>0</xdr:col>
      <xdr:colOff>848440</xdr:colOff>
      <xdr:row>49</xdr:row>
      <xdr:rowOff>9128</xdr:rowOff>
    </xdr:to>
    <xdr:cxnSp macro="">
      <xdr:nvCxnSpPr>
        <xdr:cNvPr id="18" name="3 Conector recto">
          <a:extLst>
            <a:ext uri="{FF2B5EF4-FFF2-40B4-BE49-F238E27FC236}">
              <a16:creationId xmlns:a16="http://schemas.microsoft.com/office/drawing/2014/main" id="{54EED885-DBC5-4056-881C-174E68584B3A}"/>
            </a:ext>
          </a:extLst>
        </xdr:cNvPr>
        <xdr:cNvCxnSpPr/>
      </xdr:nvCxnSpPr>
      <xdr:spPr>
        <a:xfrm rot="5400000">
          <a:off x="553561" y="8626929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825222</xdr:colOff>
      <xdr:row>47</xdr:row>
      <xdr:rowOff>205497</xdr:rowOff>
    </xdr:from>
    <xdr:to>
      <xdr:col>0</xdr:col>
      <xdr:colOff>826810</xdr:colOff>
      <xdr:row>48</xdr:row>
      <xdr:rowOff>3374</xdr:rowOff>
    </xdr:to>
    <xdr:cxnSp macro="">
      <xdr:nvCxnSpPr>
        <xdr:cNvPr id="19" name="3 Conector recto">
          <a:extLst>
            <a:ext uri="{FF2B5EF4-FFF2-40B4-BE49-F238E27FC236}">
              <a16:creationId xmlns:a16="http://schemas.microsoft.com/office/drawing/2014/main" id="{E3CF181F-149D-49F2-860E-B5926CFC1038}"/>
            </a:ext>
          </a:extLst>
        </xdr:cNvPr>
        <xdr:cNvCxnSpPr/>
      </xdr:nvCxnSpPr>
      <xdr:spPr>
        <a:xfrm rot="5400000">
          <a:off x="544036" y="8436429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825222</xdr:colOff>
      <xdr:row>47</xdr:row>
      <xdr:rowOff>205497</xdr:rowOff>
    </xdr:from>
    <xdr:to>
      <xdr:col>0</xdr:col>
      <xdr:colOff>826810</xdr:colOff>
      <xdr:row>48</xdr:row>
      <xdr:rowOff>3374</xdr:rowOff>
    </xdr:to>
    <xdr:cxnSp macro="">
      <xdr:nvCxnSpPr>
        <xdr:cNvPr id="20" name="3 Conector recto">
          <a:extLst>
            <a:ext uri="{FF2B5EF4-FFF2-40B4-BE49-F238E27FC236}">
              <a16:creationId xmlns:a16="http://schemas.microsoft.com/office/drawing/2014/main" id="{E4CB1394-3C6F-4802-9763-5570BEE8E854}"/>
            </a:ext>
          </a:extLst>
        </xdr:cNvPr>
        <xdr:cNvCxnSpPr/>
      </xdr:nvCxnSpPr>
      <xdr:spPr>
        <a:xfrm rot="5400000">
          <a:off x="544036" y="8436429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824627</xdr:colOff>
      <xdr:row>48</xdr:row>
      <xdr:rowOff>186134</xdr:rowOff>
    </xdr:from>
    <xdr:to>
      <xdr:col>0</xdr:col>
      <xdr:colOff>826215</xdr:colOff>
      <xdr:row>49</xdr:row>
      <xdr:rowOff>9128</xdr:rowOff>
    </xdr:to>
    <xdr:cxnSp macro="">
      <xdr:nvCxnSpPr>
        <xdr:cNvPr id="21" name="3 Conector recto">
          <a:extLst>
            <a:ext uri="{FF2B5EF4-FFF2-40B4-BE49-F238E27FC236}">
              <a16:creationId xmlns:a16="http://schemas.microsoft.com/office/drawing/2014/main" id="{7490547F-EAF2-4924-9EF5-5D4C1B708EF4}"/>
            </a:ext>
          </a:extLst>
        </xdr:cNvPr>
        <xdr:cNvCxnSpPr/>
      </xdr:nvCxnSpPr>
      <xdr:spPr>
        <a:xfrm rot="5400000">
          <a:off x="544036" y="8626929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841097</xdr:colOff>
      <xdr:row>47</xdr:row>
      <xdr:rowOff>205497</xdr:rowOff>
    </xdr:from>
    <xdr:to>
      <xdr:col>3</xdr:col>
      <xdr:colOff>842685</xdr:colOff>
      <xdr:row>48</xdr:row>
      <xdr:rowOff>3374</xdr:rowOff>
    </xdr:to>
    <xdr:cxnSp macro="">
      <xdr:nvCxnSpPr>
        <xdr:cNvPr id="22" name="3 Conector recto">
          <a:extLst>
            <a:ext uri="{FF2B5EF4-FFF2-40B4-BE49-F238E27FC236}">
              <a16:creationId xmlns:a16="http://schemas.microsoft.com/office/drawing/2014/main" id="{F17618D8-FD6D-4E35-8070-A4F9BAD5CA38}"/>
            </a:ext>
          </a:extLst>
        </xdr:cNvPr>
        <xdr:cNvCxnSpPr/>
      </xdr:nvCxnSpPr>
      <xdr:spPr>
        <a:xfrm rot="5400000">
          <a:off x="5615418" y="8436429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841097</xdr:colOff>
      <xdr:row>47</xdr:row>
      <xdr:rowOff>205497</xdr:rowOff>
    </xdr:from>
    <xdr:to>
      <xdr:col>3</xdr:col>
      <xdr:colOff>842685</xdr:colOff>
      <xdr:row>48</xdr:row>
      <xdr:rowOff>3374</xdr:rowOff>
    </xdr:to>
    <xdr:cxnSp macro="">
      <xdr:nvCxnSpPr>
        <xdr:cNvPr id="23" name="3 Conector recto">
          <a:extLst>
            <a:ext uri="{FF2B5EF4-FFF2-40B4-BE49-F238E27FC236}">
              <a16:creationId xmlns:a16="http://schemas.microsoft.com/office/drawing/2014/main" id="{E31859BB-533E-4DC9-BBBE-B38AC8B93845}"/>
            </a:ext>
          </a:extLst>
        </xdr:cNvPr>
        <xdr:cNvCxnSpPr/>
      </xdr:nvCxnSpPr>
      <xdr:spPr>
        <a:xfrm rot="5400000">
          <a:off x="5615418" y="8436429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846852</xdr:colOff>
      <xdr:row>48</xdr:row>
      <xdr:rowOff>186134</xdr:rowOff>
    </xdr:from>
    <xdr:to>
      <xdr:col>3</xdr:col>
      <xdr:colOff>848440</xdr:colOff>
      <xdr:row>49</xdr:row>
      <xdr:rowOff>9128</xdr:rowOff>
    </xdr:to>
    <xdr:cxnSp macro="">
      <xdr:nvCxnSpPr>
        <xdr:cNvPr id="24" name="3 Conector recto">
          <a:extLst>
            <a:ext uri="{FF2B5EF4-FFF2-40B4-BE49-F238E27FC236}">
              <a16:creationId xmlns:a16="http://schemas.microsoft.com/office/drawing/2014/main" id="{D649B350-B8BC-490B-B708-E3AEA4484C0F}"/>
            </a:ext>
          </a:extLst>
        </xdr:cNvPr>
        <xdr:cNvCxnSpPr/>
      </xdr:nvCxnSpPr>
      <xdr:spPr>
        <a:xfrm rot="5400000">
          <a:off x="5615418" y="8626929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815697</xdr:colOff>
      <xdr:row>47</xdr:row>
      <xdr:rowOff>205497</xdr:rowOff>
    </xdr:from>
    <xdr:to>
      <xdr:col>3</xdr:col>
      <xdr:colOff>817285</xdr:colOff>
      <xdr:row>48</xdr:row>
      <xdr:rowOff>3374</xdr:rowOff>
    </xdr:to>
    <xdr:cxnSp macro="">
      <xdr:nvCxnSpPr>
        <xdr:cNvPr id="25" name="3 Conector recto">
          <a:extLst>
            <a:ext uri="{FF2B5EF4-FFF2-40B4-BE49-F238E27FC236}">
              <a16:creationId xmlns:a16="http://schemas.microsoft.com/office/drawing/2014/main" id="{22CB4782-2A7B-44A4-8243-C076E724ACA2}"/>
            </a:ext>
          </a:extLst>
        </xdr:cNvPr>
        <xdr:cNvCxnSpPr/>
      </xdr:nvCxnSpPr>
      <xdr:spPr>
        <a:xfrm rot="5400000">
          <a:off x="5605893" y="8436429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815697</xdr:colOff>
      <xdr:row>47</xdr:row>
      <xdr:rowOff>205497</xdr:rowOff>
    </xdr:from>
    <xdr:to>
      <xdr:col>3</xdr:col>
      <xdr:colOff>817285</xdr:colOff>
      <xdr:row>48</xdr:row>
      <xdr:rowOff>3374</xdr:rowOff>
    </xdr:to>
    <xdr:cxnSp macro="">
      <xdr:nvCxnSpPr>
        <xdr:cNvPr id="26" name="3 Conector recto">
          <a:extLst>
            <a:ext uri="{FF2B5EF4-FFF2-40B4-BE49-F238E27FC236}">
              <a16:creationId xmlns:a16="http://schemas.microsoft.com/office/drawing/2014/main" id="{C3A584C9-69B8-491A-B500-70AE1BAD6721}"/>
            </a:ext>
          </a:extLst>
        </xdr:cNvPr>
        <xdr:cNvCxnSpPr/>
      </xdr:nvCxnSpPr>
      <xdr:spPr>
        <a:xfrm rot="5400000">
          <a:off x="5605893" y="8436429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834152</xdr:colOff>
      <xdr:row>48</xdr:row>
      <xdr:rowOff>186134</xdr:rowOff>
    </xdr:from>
    <xdr:to>
      <xdr:col>3</xdr:col>
      <xdr:colOff>835740</xdr:colOff>
      <xdr:row>49</xdr:row>
      <xdr:rowOff>9128</xdr:rowOff>
    </xdr:to>
    <xdr:cxnSp macro="">
      <xdr:nvCxnSpPr>
        <xdr:cNvPr id="27" name="3 Conector recto">
          <a:extLst>
            <a:ext uri="{FF2B5EF4-FFF2-40B4-BE49-F238E27FC236}">
              <a16:creationId xmlns:a16="http://schemas.microsoft.com/office/drawing/2014/main" id="{2A9DF25B-4A8B-471E-8E4D-62C6F52866D0}"/>
            </a:ext>
          </a:extLst>
        </xdr:cNvPr>
        <xdr:cNvCxnSpPr/>
      </xdr:nvCxnSpPr>
      <xdr:spPr>
        <a:xfrm rot="5400000">
          <a:off x="5605893" y="8626929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831572</xdr:colOff>
      <xdr:row>47</xdr:row>
      <xdr:rowOff>205497</xdr:rowOff>
    </xdr:from>
    <xdr:to>
      <xdr:col>0</xdr:col>
      <xdr:colOff>833160</xdr:colOff>
      <xdr:row>48</xdr:row>
      <xdr:rowOff>3374</xdr:rowOff>
    </xdr:to>
    <xdr:cxnSp macro="">
      <xdr:nvCxnSpPr>
        <xdr:cNvPr id="29" name="3 Conector recto">
          <a:extLst>
            <a:ext uri="{FF2B5EF4-FFF2-40B4-BE49-F238E27FC236}">
              <a16:creationId xmlns:a16="http://schemas.microsoft.com/office/drawing/2014/main" id="{37E791C2-6F1B-4BFB-B4F4-09F4EA2A5130}"/>
            </a:ext>
          </a:extLst>
        </xdr:cNvPr>
        <xdr:cNvCxnSpPr/>
      </xdr:nvCxnSpPr>
      <xdr:spPr>
        <a:xfrm rot="5400000">
          <a:off x="553561" y="8436429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831572</xdr:colOff>
      <xdr:row>47</xdr:row>
      <xdr:rowOff>205497</xdr:rowOff>
    </xdr:from>
    <xdr:to>
      <xdr:col>0</xdr:col>
      <xdr:colOff>833160</xdr:colOff>
      <xdr:row>48</xdr:row>
      <xdr:rowOff>3374</xdr:rowOff>
    </xdr:to>
    <xdr:cxnSp macro="">
      <xdr:nvCxnSpPr>
        <xdr:cNvPr id="30" name="3 Conector recto">
          <a:extLst>
            <a:ext uri="{FF2B5EF4-FFF2-40B4-BE49-F238E27FC236}">
              <a16:creationId xmlns:a16="http://schemas.microsoft.com/office/drawing/2014/main" id="{60EFC3AA-115F-4883-A146-3F30FE825148}"/>
            </a:ext>
          </a:extLst>
        </xdr:cNvPr>
        <xdr:cNvCxnSpPr/>
      </xdr:nvCxnSpPr>
      <xdr:spPr>
        <a:xfrm rot="5400000">
          <a:off x="553561" y="8436429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846852</xdr:colOff>
      <xdr:row>48</xdr:row>
      <xdr:rowOff>186134</xdr:rowOff>
    </xdr:from>
    <xdr:to>
      <xdr:col>0</xdr:col>
      <xdr:colOff>848440</xdr:colOff>
      <xdr:row>49</xdr:row>
      <xdr:rowOff>9128</xdr:rowOff>
    </xdr:to>
    <xdr:cxnSp macro="">
      <xdr:nvCxnSpPr>
        <xdr:cNvPr id="31" name="3 Conector recto">
          <a:extLst>
            <a:ext uri="{FF2B5EF4-FFF2-40B4-BE49-F238E27FC236}">
              <a16:creationId xmlns:a16="http://schemas.microsoft.com/office/drawing/2014/main" id="{34292DA3-18AD-4857-A63F-C0249CC845A9}"/>
            </a:ext>
          </a:extLst>
        </xdr:cNvPr>
        <xdr:cNvCxnSpPr/>
      </xdr:nvCxnSpPr>
      <xdr:spPr>
        <a:xfrm rot="5400000">
          <a:off x="553561" y="8626929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831572</xdr:colOff>
      <xdr:row>47</xdr:row>
      <xdr:rowOff>205497</xdr:rowOff>
    </xdr:from>
    <xdr:to>
      <xdr:col>0</xdr:col>
      <xdr:colOff>833160</xdr:colOff>
      <xdr:row>48</xdr:row>
      <xdr:rowOff>3374</xdr:rowOff>
    </xdr:to>
    <xdr:cxnSp macro="">
      <xdr:nvCxnSpPr>
        <xdr:cNvPr id="32" name="3 Conector recto">
          <a:extLst>
            <a:ext uri="{FF2B5EF4-FFF2-40B4-BE49-F238E27FC236}">
              <a16:creationId xmlns:a16="http://schemas.microsoft.com/office/drawing/2014/main" id="{06283CD0-3111-4DED-B95F-83DA2C369299}"/>
            </a:ext>
          </a:extLst>
        </xdr:cNvPr>
        <xdr:cNvCxnSpPr/>
      </xdr:nvCxnSpPr>
      <xdr:spPr>
        <a:xfrm rot="5400000">
          <a:off x="553561" y="8436429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831572</xdr:colOff>
      <xdr:row>47</xdr:row>
      <xdr:rowOff>205497</xdr:rowOff>
    </xdr:from>
    <xdr:to>
      <xdr:col>0</xdr:col>
      <xdr:colOff>833160</xdr:colOff>
      <xdr:row>48</xdr:row>
      <xdr:rowOff>3374</xdr:rowOff>
    </xdr:to>
    <xdr:cxnSp macro="">
      <xdr:nvCxnSpPr>
        <xdr:cNvPr id="33" name="3 Conector recto">
          <a:extLst>
            <a:ext uri="{FF2B5EF4-FFF2-40B4-BE49-F238E27FC236}">
              <a16:creationId xmlns:a16="http://schemas.microsoft.com/office/drawing/2014/main" id="{10757DE3-4383-48F9-B557-19E69348695D}"/>
            </a:ext>
          </a:extLst>
        </xdr:cNvPr>
        <xdr:cNvCxnSpPr/>
      </xdr:nvCxnSpPr>
      <xdr:spPr>
        <a:xfrm rot="5400000">
          <a:off x="553561" y="8436429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846852</xdr:colOff>
      <xdr:row>48</xdr:row>
      <xdr:rowOff>186134</xdr:rowOff>
    </xdr:from>
    <xdr:to>
      <xdr:col>0</xdr:col>
      <xdr:colOff>848440</xdr:colOff>
      <xdr:row>49</xdr:row>
      <xdr:rowOff>9128</xdr:rowOff>
    </xdr:to>
    <xdr:cxnSp macro="">
      <xdr:nvCxnSpPr>
        <xdr:cNvPr id="34" name="3 Conector recto">
          <a:extLst>
            <a:ext uri="{FF2B5EF4-FFF2-40B4-BE49-F238E27FC236}">
              <a16:creationId xmlns:a16="http://schemas.microsoft.com/office/drawing/2014/main" id="{AB52C048-969F-40C6-A6C7-15AE8EC49405}"/>
            </a:ext>
          </a:extLst>
        </xdr:cNvPr>
        <xdr:cNvCxnSpPr/>
      </xdr:nvCxnSpPr>
      <xdr:spPr>
        <a:xfrm rot="5400000">
          <a:off x="553561" y="8626929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825222</xdr:colOff>
      <xdr:row>47</xdr:row>
      <xdr:rowOff>205497</xdr:rowOff>
    </xdr:from>
    <xdr:to>
      <xdr:col>0</xdr:col>
      <xdr:colOff>826810</xdr:colOff>
      <xdr:row>48</xdr:row>
      <xdr:rowOff>3374</xdr:rowOff>
    </xdr:to>
    <xdr:cxnSp macro="">
      <xdr:nvCxnSpPr>
        <xdr:cNvPr id="35" name="3 Conector recto">
          <a:extLst>
            <a:ext uri="{FF2B5EF4-FFF2-40B4-BE49-F238E27FC236}">
              <a16:creationId xmlns:a16="http://schemas.microsoft.com/office/drawing/2014/main" id="{190E6130-938A-4E80-B1C2-8695BDA1B4DE}"/>
            </a:ext>
          </a:extLst>
        </xdr:cNvPr>
        <xdr:cNvCxnSpPr/>
      </xdr:nvCxnSpPr>
      <xdr:spPr>
        <a:xfrm rot="5400000">
          <a:off x="544036" y="8436429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825222</xdr:colOff>
      <xdr:row>47</xdr:row>
      <xdr:rowOff>205497</xdr:rowOff>
    </xdr:from>
    <xdr:to>
      <xdr:col>0</xdr:col>
      <xdr:colOff>826810</xdr:colOff>
      <xdr:row>48</xdr:row>
      <xdr:rowOff>3374</xdr:rowOff>
    </xdr:to>
    <xdr:cxnSp macro="">
      <xdr:nvCxnSpPr>
        <xdr:cNvPr id="36" name="3 Conector recto">
          <a:extLst>
            <a:ext uri="{FF2B5EF4-FFF2-40B4-BE49-F238E27FC236}">
              <a16:creationId xmlns:a16="http://schemas.microsoft.com/office/drawing/2014/main" id="{42B253DE-7354-4A71-96CD-4A421CFEC5CE}"/>
            </a:ext>
          </a:extLst>
        </xdr:cNvPr>
        <xdr:cNvCxnSpPr/>
      </xdr:nvCxnSpPr>
      <xdr:spPr>
        <a:xfrm rot="5400000">
          <a:off x="544036" y="8436429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824627</xdr:colOff>
      <xdr:row>48</xdr:row>
      <xdr:rowOff>186134</xdr:rowOff>
    </xdr:from>
    <xdr:to>
      <xdr:col>0</xdr:col>
      <xdr:colOff>826215</xdr:colOff>
      <xdr:row>49</xdr:row>
      <xdr:rowOff>9128</xdr:rowOff>
    </xdr:to>
    <xdr:cxnSp macro="">
      <xdr:nvCxnSpPr>
        <xdr:cNvPr id="37" name="3 Conector recto">
          <a:extLst>
            <a:ext uri="{FF2B5EF4-FFF2-40B4-BE49-F238E27FC236}">
              <a16:creationId xmlns:a16="http://schemas.microsoft.com/office/drawing/2014/main" id="{7A63FBDA-77D3-4F61-9E5D-B21A757E6798}"/>
            </a:ext>
          </a:extLst>
        </xdr:cNvPr>
        <xdr:cNvCxnSpPr/>
      </xdr:nvCxnSpPr>
      <xdr:spPr>
        <a:xfrm rot="5400000">
          <a:off x="544036" y="8626929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831572</xdr:colOff>
      <xdr:row>47</xdr:row>
      <xdr:rowOff>205497</xdr:rowOff>
    </xdr:from>
    <xdr:to>
      <xdr:col>0</xdr:col>
      <xdr:colOff>833160</xdr:colOff>
      <xdr:row>48</xdr:row>
      <xdr:rowOff>3374</xdr:rowOff>
    </xdr:to>
    <xdr:cxnSp macro="">
      <xdr:nvCxnSpPr>
        <xdr:cNvPr id="38" name="3 Conector recto">
          <a:extLst>
            <a:ext uri="{FF2B5EF4-FFF2-40B4-BE49-F238E27FC236}">
              <a16:creationId xmlns:a16="http://schemas.microsoft.com/office/drawing/2014/main" id="{AEE97616-E74F-456D-B57E-917509E0C7C4}"/>
            </a:ext>
          </a:extLst>
        </xdr:cNvPr>
        <xdr:cNvCxnSpPr/>
      </xdr:nvCxnSpPr>
      <xdr:spPr>
        <a:xfrm rot="5400000">
          <a:off x="553561" y="8436429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831572</xdr:colOff>
      <xdr:row>47</xdr:row>
      <xdr:rowOff>205497</xdr:rowOff>
    </xdr:from>
    <xdr:to>
      <xdr:col>0</xdr:col>
      <xdr:colOff>833160</xdr:colOff>
      <xdr:row>48</xdr:row>
      <xdr:rowOff>3374</xdr:rowOff>
    </xdr:to>
    <xdr:cxnSp macro="">
      <xdr:nvCxnSpPr>
        <xdr:cNvPr id="39" name="3 Conector recto">
          <a:extLst>
            <a:ext uri="{FF2B5EF4-FFF2-40B4-BE49-F238E27FC236}">
              <a16:creationId xmlns:a16="http://schemas.microsoft.com/office/drawing/2014/main" id="{1973BD05-26D2-4711-B52C-2C6FED5049D4}"/>
            </a:ext>
          </a:extLst>
        </xdr:cNvPr>
        <xdr:cNvCxnSpPr/>
      </xdr:nvCxnSpPr>
      <xdr:spPr>
        <a:xfrm rot="5400000">
          <a:off x="553561" y="8436429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846852</xdr:colOff>
      <xdr:row>48</xdr:row>
      <xdr:rowOff>186134</xdr:rowOff>
    </xdr:from>
    <xdr:to>
      <xdr:col>0</xdr:col>
      <xdr:colOff>848440</xdr:colOff>
      <xdr:row>49</xdr:row>
      <xdr:rowOff>9128</xdr:rowOff>
    </xdr:to>
    <xdr:cxnSp macro="">
      <xdr:nvCxnSpPr>
        <xdr:cNvPr id="40" name="3 Conector recto">
          <a:extLst>
            <a:ext uri="{FF2B5EF4-FFF2-40B4-BE49-F238E27FC236}">
              <a16:creationId xmlns:a16="http://schemas.microsoft.com/office/drawing/2014/main" id="{A2718029-941E-4D11-AAD7-96EA8EBB4FB6}"/>
            </a:ext>
          </a:extLst>
        </xdr:cNvPr>
        <xdr:cNvCxnSpPr/>
      </xdr:nvCxnSpPr>
      <xdr:spPr>
        <a:xfrm rot="5400000">
          <a:off x="553561" y="8626929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825222</xdr:colOff>
      <xdr:row>47</xdr:row>
      <xdr:rowOff>205497</xdr:rowOff>
    </xdr:from>
    <xdr:to>
      <xdr:col>0</xdr:col>
      <xdr:colOff>826810</xdr:colOff>
      <xdr:row>48</xdr:row>
      <xdr:rowOff>3374</xdr:rowOff>
    </xdr:to>
    <xdr:cxnSp macro="">
      <xdr:nvCxnSpPr>
        <xdr:cNvPr id="41" name="3 Conector recto">
          <a:extLst>
            <a:ext uri="{FF2B5EF4-FFF2-40B4-BE49-F238E27FC236}">
              <a16:creationId xmlns:a16="http://schemas.microsoft.com/office/drawing/2014/main" id="{5DC83DD0-0F37-4470-BF2D-F28D6605B0B1}"/>
            </a:ext>
          </a:extLst>
        </xdr:cNvPr>
        <xdr:cNvCxnSpPr/>
      </xdr:nvCxnSpPr>
      <xdr:spPr>
        <a:xfrm rot="5400000">
          <a:off x="544036" y="8436429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825222</xdr:colOff>
      <xdr:row>47</xdr:row>
      <xdr:rowOff>205497</xdr:rowOff>
    </xdr:from>
    <xdr:to>
      <xdr:col>0</xdr:col>
      <xdr:colOff>826810</xdr:colOff>
      <xdr:row>48</xdr:row>
      <xdr:rowOff>3374</xdr:rowOff>
    </xdr:to>
    <xdr:cxnSp macro="">
      <xdr:nvCxnSpPr>
        <xdr:cNvPr id="42" name="3 Conector recto">
          <a:extLst>
            <a:ext uri="{FF2B5EF4-FFF2-40B4-BE49-F238E27FC236}">
              <a16:creationId xmlns:a16="http://schemas.microsoft.com/office/drawing/2014/main" id="{910D5430-AE79-495C-BBB4-28F4B91F2138}"/>
            </a:ext>
          </a:extLst>
        </xdr:cNvPr>
        <xdr:cNvCxnSpPr/>
      </xdr:nvCxnSpPr>
      <xdr:spPr>
        <a:xfrm rot="5400000">
          <a:off x="544036" y="8436429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824627</xdr:colOff>
      <xdr:row>48</xdr:row>
      <xdr:rowOff>186134</xdr:rowOff>
    </xdr:from>
    <xdr:to>
      <xdr:col>0</xdr:col>
      <xdr:colOff>826215</xdr:colOff>
      <xdr:row>49</xdr:row>
      <xdr:rowOff>9128</xdr:rowOff>
    </xdr:to>
    <xdr:cxnSp macro="">
      <xdr:nvCxnSpPr>
        <xdr:cNvPr id="43" name="3 Conector recto">
          <a:extLst>
            <a:ext uri="{FF2B5EF4-FFF2-40B4-BE49-F238E27FC236}">
              <a16:creationId xmlns:a16="http://schemas.microsoft.com/office/drawing/2014/main" id="{BF49F1BF-8F14-46E0-B42D-4DBFC05A393B}"/>
            </a:ext>
          </a:extLst>
        </xdr:cNvPr>
        <xdr:cNvCxnSpPr/>
      </xdr:nvCxnSpPr>
      <xdr:spPr>
        <a:xfrm rot="5400000">
          <a:off x="544036" y="8626929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815697</xdr:colOff>
      <xdr:row>54</xdr:row>
      <xdr:rowOff>5925</xdr:rowOff>
    </xdr:from>
    <xdr:to>
      <xdr:col>3</xdr:col>
      <xdr:colOff>817285</xdr:colOff>
      <xdr:row>54</xdr:row>
      <xdr:rowOff>3374</xdr:rowOff>
    </xdr:to>
    <xdr:cxnSp macro="">
      <xdr:nvCxnSpPr>
        <xdr:cNvPr id="47" name="3 Conector recto">
          <a:extLst>
            <a:ext uri="{FF2B5EF4-FFF2-40B4-BE49-F238E27FC236}">
              <a16:creationId xmlns:a16="http://schemas.microsoft.com/office/drawing/2014/main" id="{943092B6-5FE0-476F-AD59-41E478FC498B}"/>
            </a:ext>
          </a:extLst>
        </xdr:cNvPr>
        <xdr:cNvCxnSpPr/>
      </xdr:nvCxnSpPr>
      <xdr:spPr>
        <a:xfrm rot="5400000">
          <a:off x="5605893" y="9620250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815697</xdr:colOff>
      <xdr:row>54</xdr:row>
      <xdr:rowOff>5925</xdr:rowOff>
    </xdr:from>
    <xdr:to>
      <xdr:col>3</xdr:col>
      <xdr:colOff>817285</xdr:colOff>
      <xdr:row>54</xdr:row>
      <xdr:rowOff>3374</xdr:rowOff>
    </xdr:to>
    <xdr:cxnSp macro="">
      <xdr:nvCxnSpPr>
        <xdr:cNvPr id="48" name="3 Conector recto">
          <a:extLst>
            <a:ext uri="{FF2B5EF4-FFF2-40B4-BE49-F238E27FC236}">
              <a16:creationId xmlns:a16="http://schemas.microsoft.com/office/drawing/2014/main" id="{622C84FC-CCD0-4098-9F8C-D5F3C8CBC9A5}"/>
            </a:ext>
          </a:extLst>
        </xdr:cNvPr>
        <xdr:cNvCxnSpPr/>
      </xdr:nvCxnSpPr>
      <xdr:spPr>
        <a:xfrm rot="5400000">
          <a:off x="5605893" y="9620250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3</xdr:col>
      <xdr:colOff>1676400</xdr:colOff>
      <xdr:row>43</xdr:row>
      <xdr:rowOff>180975</xdr:rowOff>
    </xdr:from>
    <xdr:to>
      <xdr:col>4</xdr:col>
      <xdr:colOff>857250</xdr:colOff>
      <xdr:row>46</xdr:row>
      <xdr:rowOff>200026</xdr:rowOff>
    </xdr:to>
    <xdr:pic>
      <xdr:nvPicPr>
        <xdr:cNvPr id="2088368" name="Imagen 77">
          <a:extLst>
            <a:ext uri="{FF2B5EF4-FFF2-40B4-BE49-F238E27FC236}">
              <a16:creationId xmlns:a16="http://schemas.microsoft.com/office/drawing/2014/main" id="{C15C31A5-B103-48AC-9BAD-9082D8FF10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34175" y="9353550"/>
          <a:ext cx="866775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678656</xdr:colOff>
      <xdr:row>2</xdr:row>
      <xdr:rowOff>83343</xdr:rowOff>
    </xdr:from>
    <xdr:to>
      <xdr:col>7</xdr:col>
      <xdr:colOff>1047749</xdr:colOff>
      <xdr:row>4</xdr:row>
      <xdr:rowOff>261937</xdr:rowOff>
    </xdr:to>
    <xdr:sp macro="" textlink="">
      <xdr:nvSpPr>
        <xdr:cNvPr id="8" name="Rectángulo: esquinas redondeadas 7">
          <a:extLst>
            <a:ext uri="{FF2B5EF4-FFF2-40B4-BE49-F238E27FC236}">
              <a16:creationId xmlns:a16="http://schemas.microsoft.com/office/drawing/2014/main" id="{F0A9E9EF-552E-4FEA-8480-F7E7FA864B2D}"/>
            </a:ext>
          </a:extLst>
        </xdr:cNvPr>
        <xdr:cNvSpPr/>
      </xdr:nvSpPr>
      <xdr:spPr>
        <a:xfrm>
          <a:off x="9917906" y="773906"/>
          <a:ext cx="1726406" cy="583406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s-CO" sz="1600" b="1"/>
            <a:t>INSERTAR FILAS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8335</xdr:rowOff>
    </xdr:to>
    <xdr:cxnSp macro="">
      <xdr:nvCxnSpPr>
        <xdr:cNvPr id="5" name="3 Conector recto">
          <a:extLst>
            <a:ext uri="{FF2B5EF4-FFF2-40B4-BE49-F238E27FC236}">
              <a16:creationId xmlns:a16="http://schemas.microsoft.com/office/drawing/2014/main" id="{096A9E31-AE09-43A8-894D-527F39B86A17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8335</xdr:rowOff>
    </xdr:to>
    <xdr:cxnSp macro="">
      <xdr:nvCxnSpPr>
        <xdr:cNvPr id="6" name="3 Conector recto">
          <a:extLst>
            <a:ext uri="{FF2B5EF4-FFF2-40B4-BE49-F238E27FC236}">
              <a16:creationId xmlns:a16="http://schemas.microsoft.com/office/drawing/2014/main" id="{8B536602-F81A-418A-A6C4-AF331811B266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30</xdr:row>
      <xdr:rowOff>0</xdr:rowOff>
    </xdr:from>
    <xdr:to>
      <xdr:col>0</xdr:col>
      <xdr:colOff>831374</xdr:colOff>
      <xdr:row>30</xdr:row>
      <xdr:rowOff>13494</xdr:rowOff>
    </xdr:to>
    <xdr:cxnSp macro="">
      <xdr:nvCxnSpPr>
        <xdr:cNvPr id="7" name="3 Conector recto">
          <a:extLst>
            <a:ext uri="{FF2B5EF4-FFF2-40B4-BE49-F238E27FC236}">
              <a16:creationId xmlns:a16="http://schemas.microsoft.com/office/drawing/2014/main" id="{FDC57511-658C-4652-B6BC-CD5C0A00487A}"/>
            </a:ext>
          </a:extLst>
        </xdr:cNvPr>
        <xdr:cNvCxnSpPr/>
      </xdr:nvCxnSpPr>
      <xdr:spPr>
        <a:xfrm rot="5400000">
          <a:off x="549195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0</xdr:colOff>
      <xdr:row>0</xdr:row>
      <xdr:rowOff>285750</xdr:rowOff>
    </xdr:from>
    <xdr:to>
      <xdr:col>1</xdr:col>
      <xdr:colOff>845343</xdr:colOff>
      <xdr:row>4</xdr:row>
      <xdr:rowOff>23812</xdr:rowOff>
    </xdr:to>
    <xdr:pic>
      <xdr:nvPicPr>
        <xdr:cNvPr id="2082182" name="Imagen 18">
          <a:extLst>
            <a:ext uri="{FF2B5EF4-FFF2-40B4-BE49-F238E27FC236}">
              <a16:creationId xmlns:a16="http://schemas.microsoft.com/office/drawing/2014/main" id="{D13AFF75-2771-4BA4-B07F-6D3C3C9D42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0"/>
          <a:ext cx="2536031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800100</xdr:colOff>
      <xdr:row>0</xdr:row>
      <xdr:rowOff>390525</xdr:rowOff>
    </xdr:from>
    <xdr:to>
      <xdr:col>5</xdr:col>
      <xdr:colOff>1447800</xdr:colOff>
      <xdr:row>4</xdr:row>
      <xdr:rowOff>47625</xdr:rowOff>
    </xdr:to>
    <xdr:pic>
      <xdr:nvPicPr>
        <xdr:cNvPr id="2082183" name="Imagen 19">
          <a:extLst>
            <a:ext uri="{FF2B5EF4-FFF2-40B4-BE49-F238E27FC236}">
              <a16:creationId xmlns:a16="http://schemas.microsoft.com/office/drawing/2014/main" id="{233D170C-6C46-4EBB-94D3-DC6DD6A34D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0" y="390525"/>
          <a:ext cx="1666875" cy="923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8335</xdr:rowOff>
    </xdr:to>
    <xdr:cxnSp macro="">
      <xdr:nvCxnSpPr>
        <xdr:cNvPr id="10" name="3 Conector recto">
          <a:extLst>
            <a:ext uri="{FF2B5EF4-FFF2-40B4-BE49-F238E27FC236}">
              <a16:creationId xmlns:a16="http://schemas.microsoft.com/office/drawing/2014/main" id="{7699ADBA-41A2-4D45-A102-F95290FF602F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8335</xdr:rowOff>
    </xdr:to>
    <xdr:cxnSp macro="">
      <xdr:nvCxnSpPr>
        <xdr:cNvPr id="11" name="3 Conector recto">
          <a:extLst>
            <a:ext uri="{FF2B5EF4-FFF2-40B4-BE49-F238E27FC236}">
              <a16:creationId xmlns:a16="http://schemas.microsoft.com/office/drawing/2014/main" id="{30102244-E925-4ED8-9E21-7F90B8F6E6CD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30</xdr:row>
      <xdr:rowOff>0</xdr:rowOff>
    </xdr:from>
    <xdr:to>
      <xdr:col>0</xdr:col>
      <xdr:colOff>831374</xdr:colOff>
      <xdr:row>30</xdr:row>
      <xdr:rowOff>13494</xdr:rowOff>
    </xdr:to>
    <xdr:cxnSp macro="">
      <xdr:nvCxnSpPr>
        <xdr:cNvPr id="12" name="3 Conector recto">
          <a:extLst>
            <a:ext uri="{FF2B5EF4-FFF2-40B4-BE49-F238E27FC236}">
              <a16:creationId xmlns:a16="http://schemas.microsoft.com/office/drawing/2014/main" id="{0F7829AD-62A4-4FC5-BE3E-D1C8A1FC3C43}"/>
            </a:ext>
          </a:extLst>
        </xdr:cNvPr>
        <xdr:cNvCxnSpPr/>
      </xdr:nvCxnSpPr>
      <xdr:spPr>
        <a:xfrm rot="5400000">
          <a:off x="549195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26</xdr:row>
      <xdr:rowOff>0</xdr:rowOff>
    </xdr:from>
    <xdr:to>
      <xdr:col>0</xdr:col>
      <xdr:colOff>825024</xdr:colOff>
      <xdr:row>26</xdr:row>
      <xdr:rowOff>8335</xdr:rowOff>
    </xdr:to>
    <xdr:cxnSp macro="">
      <xdr:nvCxnSpPr>
        <xdr:cNvPr id="13" name="3 Conector recto">
          <a:extLst>
            <a:ext uri="{FF2B5EF4-FFF2-40B4-BE49-F238E27FC236}">
              <a16:creationId xmlns:a16="http://schemas.microsoft.com/office/drawing/2014/main" id="{F000021C-B839-456D-BD1F-C09A5B458287}"/>
            </a:ext>
          </a:extLst>
        </xdr:cNvPr>
        <xdr:cNvCxnSpPr/>
      </xdr:nvCxnSpPr>
      <xdr:spPr>
        <a:xfrm rot="5400000">
          <a:off x="5422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26</xdr:row>
      <xdr:rowOff>0</xdr:rowOff>
    </xdr:from>
    <xdr:to>
      <xdr:col>0</xdr:col>
      <xdr:colOff>825024</xdr:colOff>
      <xdr:row>26</xdr:row>
      <xdr:rowOff>8335</xdr:rowOff>
    </xdr:to>
    <xdr:cxnSp macro="">
      <xdr:nvCxnSpPr>
        <xdr:cNvPr id="14" name="3 Conector recto">
          <a:extLst>
            <a:ext uri="{FF2B5EF4-FFF2-40B4-BE49-F238E27FC236}">
              <a16:creationId xmlns:a16="http://schemas.microsoft.com/office/drawing/2014/main" id="{2AC3DF9F-2827-4CCA-ADAF-33B1160A04AF}"/>
            </a:ext>
          </a:extLst>
        </xdr:cNvPr>
        <xdr:cNvCxnSpPr/>
      </xdr:nvCxnSpPr>
      <xdr:spPr>
        <a:xfrm rot="5400000">
          <a:off x="5422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30</xdr:row>
      <xdr:rowOff>0</xdr:rowOff>
    </xdr:from>
    <xdr:to>
      <xdr:col>0</xdr:col>
      <xdr:colOff>825024</xdr:colOff>
      <xdr:row>30</xdr:row>
      <xdr:rowOff>13494</xdr:rowOff>
    </xdr:to>
    <xdr:cxnSp macro="">
      <xdr:nvCxnSpPr>
        <xdr:cNvPr id="15" name="3 Conector recto">
          <a:extLst>
            <a:ext uri="{FF2B5EF4-FFF2-40B4-BE49-F238E27FC236}">
              <a16:creationId xmlns:a16="http://schemas.microsoft.com/office/drawing/2014/main" id="{A0B38C66-6DA3-450F-A8A1-DC093EB45AB4}"/>
            </a:ext>
          </a:extLst>
        </xdr:cNvPr>
        <xdr:cNvCxnSpPr/>
      </xdr:nvCxnSpPr>
      <xdr:spPr>
        <a:xfrm rot="5400000">
          <a:off x="539670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8335</xdr:rowOff>
    </xdr:to>
    <xdr:cxnSp macro="">
      <xdr:nvCxnSpPr>
        <xdr:cNvPr id="16" name="3 Conector recto">
          <a:extLst>
            <a:ext uri="{FF2B5EF4-FFF2-40B4-BE49-F238E27FC236}">
              <a16:creationId xmlns:a16="http://schemas.microsoft.com/office/drawing/2014/main" id="{3CE693CE-3F2B-4703-8CC2-266E8094F25E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8335</xdr:rowOff>
    </xdr:to>
    <xdr:cxnSp macro="">
      <xdr:nvCxnSpPr>
        <xdr:cNvPr id="17" name="3 Conector recto">
          <a:extLst>
            <a:ext uri="{FF2B5EF4-FFF2-40B4-BE49-F238E27FC236}">
              <a16:creationId xmlns:a16="http://schemas.microsoft.com/office/drawing/2014/main" id="{7A3BB4C0-9BA8-46DE-854F-98AC6556B3A6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30</xdr:row>
      <xdr:rowOff>0</xdr:rowOff>
    </xdr:from>
    <xdr:to>
      <xdr:col>0</xdr:col>
      <xdr:colOff>831374</xdr:colOff>
      <xdr:row>30</xdr:row>
      <xdr:rowOff>13494</xdr:rowOff>
    </xdr:to>
    <xdr:cxnSp macro="">
      <xdr:nvCxnSpPr>
        <xdr:cNvPr id="18" name="3 Conector recto">
          <a:extLst>
            <a:ext uri="{FF2B5EF4-FFF2-40B4-BE49-F238E27FC236}">
              <a16:creationId xmlns:a16="http://schemas.microsoft.com/office/drawing/2014/main" id="{CFF8710C-B5C8-45DC-A09F-D0BCAA590591}"/>
            </a:ext>
          </a:extLst>
        </xdr:cNvPr>
        <xdr:cNvCxnSpPr/>
      </xdr:nvCxnSpPr>
      <xdr:spPr>
        <a:xfrm rot="5400000">
          <a:off x="549195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26</xdr:row>
      <xdr:rowOff>0</xdr:rowOff>
    </xdr:from>
    <xdr:to>
      <xdr:col>0</xdr:col>
      <xdr:colOff>825024</xdr:colOff>
      <xdr:row>26</xdr:row>
      <xdr:rowOff>8335</xdr:rowOff>
    </xdr:to>
    <xdr:cxnSp macro="">
      <xdr:nvCxnSpPr>
        <xdr:cNvPr id="19" name="3 Conector recto">
          <a:extLst>
            <a:ext uri="{FF2B5EF4-FFF2-40B4-BE49-F238E27FC236}">
              <a16:creationId xmlns:a16="http://schemas.microsoft.com/office/drawing/2014/main" id="{CBF25709-0A80-4833-98F1-EB31D1CD2973}"/>
            </a:ext>
          </a:extLst>
        </xdr:cNvPr>
        <xdr:cNvCxnSpPr/>
      </xdr:nvCxnSpPr>
      <xdr:spPr>
        <a:xfrm rot="5400000">
          <a:off x="5422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26</xdr:row>
      <xdr:rowOff>0</xdr:rowOff>
    </xdr:from>
    <xdr:to>
      <xdr:col>0</xdr:col>
      <xdr:colOff>825024</xdr:colOff>
      <xdr:row>26</xdr:row>
      <xdr:rowOff>8335</xdr:rowOff>
    </xdr:to>
    <xdr:cxnSp macro="">
      <xdr:nvCxnSpPr>
        <xdr:cNvPr id="20" name="3 Conector recto">
          <a:extLst>
            <a:ext uri="{FF2B5EF4-FFF2-40B4-BE49-F238E27FC236}">
              <a16:creationId xmlns:a16="http://schemas.microsoft.com/office/drawing/2014/main" id="{B43F20AF-478F-4117-BA95-26328090E1AE}"/>
            </a:ext>
          </a:extLst>
        </xdr:cNvPr>
        <xdr:cNvCxnSpPr/>
      </xdr:nvCxnSpPr>
      <xdr:spPr>
        <a:xfrm rot="5400000">
          <a:off x="5422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30</xdr:row>
      <xdr:rowOff>0</xdr:rowOff>
    </xdr:from>
    <xdr:to>
      <xdr:col>0</xdr:col>
      <xdr:colOff>825024</xdr:colOff>
      <xdr:row>30</xdr:row>
      <xdr:rowOff>13494</xdr:rowOff>
    </xdr:to>
    <xdr:cxnSp macro="">
      <xdr:nvCxnSpPr>
        <xdr:cNvPr id="21" name="3 Conector recto">
          <a:extLst>
            <a:ext uri="{FF2B5EF4-FFF2-40B4-BE49-F238E27FC236}">
              <a16:creationId xmlns:a16="http://schemas.microsoft.com/office/drawing/2014/main" id="{F190BFA3-E907-4FE4-B433-57B3EFF2B6D7}"/>
            </a:ext>
          </a:extLst>
        </xdr:cNvPr>
        <xdr:cNvCxnSpPr/>
      </xdr:nvCxnSpPr>
      <xdr:spPr>
        <a:xfrm rot="5400000">
          <a:off x="539670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829786</xdr:colOff>
      <xdr:row>26</xdr:row>
      <xdr:rowOff>0</xdr:rowOff>
    </xdr:from>
    <xdr:to>
      <xdr:col>3</xdr:col>
      <xdr:colOff>831374</xdr:colOff>
      <xdr:row>26</xdr:row>
      <xdr:rowOff>8335</xdr:rowOff>
    </xdr:to>
    <xdr:cxnSp macro="">
      <xdr:nvCxnSpPr>
        <xdr:cNvPr id="22" name="3 Conector recto">
          <a:extLst>
            <a:ext uri="{FF2B5EF4-FFF2-40B4-BE49-F238E27FC236}">
              <a16:creationId xmlns:a16="http://schemas.microsoft.com/office/drawing/2014/main" id="{F0D7EC04-647E-4CD5-BE19-C713CDA15925}"/>
            </a:ext>
          </a:extLst>
        </xdr:cNvPr>
        <xdr:cNvCxnSpPr/>
      </xdr:nvCxnSpPr>
      <xdr:spPr>
        <a:xfrm rot="5400000">
          <a:off x="56095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829786</xdr:colOff>
      <xdr:row>26</xdr:row>
      <xdr:rowOff>0</xdr:rowOff>
    </xdr:from>
    <xdr:to>
      <xdr:col>3</xdr:col>
      <xdr:colOff>831374</xdr:colOff>
      <xdr:row>26</xdr:row>
      <xdr:rowOff>8335</xdr:rowOff>
    </xdr:to>
    <xdr:cxnSp macro="">
      <xdr:nvCxnSpPr>
        <xdr:cNvPr id="23" name="3 Conector recto">
          <a:extLst>
            <a:ext uri="{FF2B5EF4-FFF2-40B4-BE49-F238E27FC236}">
              <a16:creationId xmlns:a16="http://schemas.microsoft.com/office/drawing/2014/main" id="{EF57FE0B-0E51-4370-ACC0-62AAE00A1AF6}"/>
            </a:ext>
          </a:extLst>
        </xdr:cNvPr>
        <xdr:cNvCxnSpPr/>
      </xdr:nvCxnSpPr>
      <xdr:spPr>
        <a:xfrm rot="5400000">
          <a:off x="56095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829786</xdr:colOff>
      <xdr:row>30</xdr:row>
      <xdr:rowOff>0</xdr:rowOff>
    </xdr:from>
    <xdr:to>
      <xdr:col>3</xdr:col>
      <xdr:colOff>831374</xdr:colOff>
      <xdr:row>30</xdr:row>
      <xdr:rowOff>13494</xdr:rowOff>
    </xdr:to>
    <xdr:cxnSp macro="">
      <xdr:nvCxnSpPr>
        <xdr:cNvPr id="24" name="3 Conector recto">
          <a:extLst>
            <a:ext uri="{FF2B5EF4-FFF2-40B4-BE49-F238E27FC236}">
              <a16:creationId xmlns:a16="http://schemas.microsoft.com/office/drawing/2014/main" id="{4C1C6C58-79D2-4F0A-B0BD-B0078731D9D5}"/>
            </a:ext>
          </a:extLst>
        </xdr:cNvPr>
        <xdr:cNvCxnSpPr/>
      </xdr:nvCxnSpPr>
      <xdr:spPr>
        <a:xfrm rot="5400000">
          <a:off x="5606970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823436</xdr:colOff>
      <xdr:row>26</xdr:row>
      <xdr:rowOff>0</xdr:rowOff>
    </xdr:from>
    <xdr:to>
      <xdr:col>3</xdr:col>
      <xdr:colOff>825024</xdr:colOff>
      <xdr:row>26</xdr:row>
      <xdr:rowOff>8335</xdr:rowOff>
    </xdr:to>
    <xdr:cxnSp macro="">
      <xdr:nvCxnSpPr>
        <xdr:cNvPr id="25" name="3 Conector recto">
          <a:extLst>
            <a:ext uri="{FF2B5EF4-FFF2-40B4-BE49-F238E27FC236}">
              <a16:creationId xmlns:a16="http://schemas.microsoft.com/office/drawing/2014/main" id="{E0789622-8374-45CF-A333-F4B1E42AA1AA}"/>
            </a:ext>
          </a:extLst>
        </xdr:cNvPr>
        <xdr:cNvCxnSpPr/>
      </xdr:nvCxnSpPr>
      <xdr:spPr>
        <a:xfrm rot="5400000">
          <a:off x="560002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823436</xdr:colOff>
      <xdr:row>26</xdr:row>
      <xdr:rowOff>0</xdr:rowOff>
    </xdr:from>
    <xdr:to>
      <xdr:col>3</xdr:col>
      <xdr:colOff>825024</xdr:colOff>
      <xdr:row>26</xdr:row>
      <xdr:rowOff>8335</xdr:rowOff>
    </xdr:to>
    <xdr:cxnSp macro="">
      <xdr:nvCxnSpPr>
        <xdr:cNvPr id="26" name="3 Conector recto">
          <a:extLst>
            <a:ext uri="{FF2B5EF4-FFF2-40B4-BE49-F238E27FC236}">
              <a16:creationId xmlns:a16="http://schemas.microsoft.com/office/drawing/2014/main" id="{B06B358F-A46B-4DE3-8F10-100D8B361FC0}"/>
            </a:ext>
          </a:extLst>
        </xdr:cNvPr>
        <xdr:cNvCxnSpPr/>
      </xdr:nvCxnSpPr>
      <xdr:spPr>
        <a:xfrm rot="5400000">
          <a:off x="560002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823436</xdr:colOff>
      <xdr:row>30</xdr:row>
      <xdr:rowOff>0</xdr:rowOff>
    </xdr:from>
    <xdr:to>
      <xdr:col>3</xdr:col>
      <xdr:colOff>825024</xdr:colOff>
      <xdr:row>30</xdr:row>
      <xdr:rowOff>13494</xdr:rowOff>
    </xdr:to>
    <xdr:cxnSp macro="">
      <xdr:nvCxnSpPr>
        <xdr:cNvPr id="27" name="3 Conector recto">
          <a:extLst>
            <a:ext uri="{FF2B5EF4-FFF2-40B4-BE49-F238E27FC236}">
              <a16:creationId xmlns:a16="http://schemas.microsoft.com/office/drawing/2014/main" id="{4CE4412B-9ABF-4CDD-905C-86A14CBDA0D9}"/>
            </a:ext>
          </a:extLst>
        </xdr:cNvPr>
        <xdr:cNvCxnSpPr/>
      </xdr:nvCxnSpPr>
      <xdr:spPr>
        <a:xfrm rot="5400000">
          <a:off x="5597445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3</xdr:col>
      <xdr:colOff>1154906</xdr:colOff>
      <xdr:row>44</xdr:row>
      <xdr:rowOff>71437</xdr:rowOff>
    </xdr:from>
    <xdr:to>
      <xdr:col>4</xdr:col>
      <xdr:colOff>345281</xdr:colOff>
      <xdr:row>47</xdr:row>
      <xdr:rowOff>138113</xdr:rowOff>
    </xdr:to>
    <xdr:pic>
      <xdr:nvPicPr>
        <xdr:cNvPr id="2082208" name="Imagen 77">
          <a:extLst>
            <a:ext uri="{FF2B5EF4-FFF2-40B4-BE49-F238E27FC236}">
              <a16:creationId xmlns:a16="http://schemas.microsoft.com/office/drawing/2014/main" id="{383D46A9-745A-4EBF-A9EE-9B14FA6B4C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26969" y="9822656"/>
          <a:ext cx="881062" cy="6738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829786</xdr:colOff>
      <xdr:row>43</xdr:row>
      <xdr:rowOff>0</xdr:rowOff>
    </xdr:from>
    <xdr:to>
      <xdr:col>0</xdr:col>
      <xdr:colOff>831374</xdr:colOff>
      <xdr:row>43</xdr:row>
      <xdr:rowOff>13494</xdr:rowOff>
    </xdr:to>
    <xdr:cxnSp macro="">
      <xdr:nvCxnSpPr>
        <xdr:cNvPr id="2" name="3 Conector recto">
          <a:extLst>
            <a:ext uri="{FF2B5EF4-FFF2-40B4-BE49-F238E27FC236}">
              <a16:creationId xmlns:a16="http://schemas.microsoft.com/office/drawing/2014/main" id="{F5CD587A-9441-44CF-AA17-9781C8FD1CBD}"/>
            </a:ext>
          </a:extLst>
        </xdr:cNvPr>
        <xdr:cNvCxnSpPr/>
      </xdr:nvCxnSpPr>
      <xdr:spPr>
        <a:xfrm rot="5400000">
          <a:off x="549195" y="10386616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43</xdr:row>
      <xdr:rowOff>0</xdr:rowOff>
    </xdr:from>
    <xdr:to>
      <xdr:col>0</xdr:col>
      <xdr:colOff>831374</xdr:colOff>
      <xdr:row>43</xdr:row>
      <xdr:rowOff>13494</xdr:rowOff>
    </xdr:to>
    <xdr:cxnSp macro="">
      <xdr:nvCxnSpPr>
        <xdr:cNvPr id="3" name="3 Conector recto">
          <a:extLst>
            <a:ext uri="{FF2B5EF4-FFF2-40B4-BE49-F238E27FC236}">
              <a16:creationId xmlns:a16="http://schemas.microsoft.com/office/drawing/2014/main" id="{60B8D54C-C206-4119-8007-80FDCCCB4AF9}"/>
            </a:ext>
          </a:extLst>
        </xdr:cNvPr>
        <xdr:cNvCxnSpPr/>
      </xdr:nvCxnSpPr>
      <xdr:spPr>
        <a:xfrm rot="5400000">
          <a:off x="549195" y="10386616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44</xdr:row>
      <xdr:rowOff>0</xdr:rowOff>
    </xdr:from>
    <xdr:to>
      <xdr:col>0</xdr:col>
      <xdr:colOff>831374</xdr:colOff>
      <xdr:row>44</xdr:row>
      <xdr:rowOff>16670</xdr:rowOff>
    </xdr:to>
    <xdr:cxnSp macro="">
      <xdr:nvCxnSpPr>
        <xdr:cNvPr id="4" name="3 Conector recto">
          <a:extLst>
            <a:ext uri="{FF2B5EF4-FFF2-40B4-BE49-F238E27FC236}">
              <a16:creationId xmlns:a16="http://schemas.microsoft.com/office/drawing/2014/main" id="{5B15F3D3-A9D3-4D04-9C0A-9833D221A4DD}"/>
            </a:ext>
          </a:extLst>
        </xdr:cNvPr>
        <xdr:cNvCxnSpPr/>
      </xdr:nvCxnSpPr>
      <xdr:spPr>
        <a:xfrm rot="5400000">
          <a:off x="551775" y="10574536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8335</xdr:rowOff>
    </xdr:to>
    <xdr:cxnSp macro="">
      <xdr:nvCxnSpPr>
        <xdr:cNvPr id="5" name="3 Conector recto">
          <a:extLst>
            <a:ext uri="{FF2B5EF4-FFF2-40B4-BE49-F238E27FC236}">
              <a16:creationId xmlns:a16="http://schemas.microsoft.com/office/drawing/2014/main" id="{7DFE552C-071D-44A7-8D87-BFDCE11402ED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8335</xdr:rowOff>
    </xdr:to>
    <xdr:cxnSp macro="">
      <xdr:nvCxnSpPr>
        <xdr:cNvPr id="6" name="3 Conector recto">
          <a:extLst>
            <a:ext uri="{FF2B5EF4-FFF2-40B4-BE49-F238E27FC236}">
              <a16:creationId xmlns:a16="http://schemas.microsoft.com/office/drawing/2014/main" id="{7D70A2AD-800E-4927-845B-0F785D7824AE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30</xdr:row>
      <xdr:rowOff>0</xdr:rowOff>
    </xdr:from>
    <xdr:to>
      <xdr:col>0</xdr:col>
      <xdr:colOff>831374</xdr:colOff>
      <xdr:row>30</xdr:row>
      <xdr:rowOff>13494</xdr:rowOff>
    </xdr:to>
    <xdr:cxnSp macro="">
      <xdr:nvCxnSpPr>
        <xdr:cNvPr id="7" name="3 Conector recto">
          <a:extLst>
            <a:ext uri="{FF2B5EF4-FFF2-40B4-BE49-F238E27FC236}">
              <a16:creationId xmlns:a16="http://schemas.microsoft.com/office/drawing/2014/main" id="{FA1588A9-7887-4F35-B1F3-433C102C0E90}"/>
            </a:ext>
          </a:extLst>
        </xdr:cNvPr>
        <xdr:cNvCxnSpPr/>
      </xdr:nvCxnSpPr>
      <xdr:spPr>
        <a:xfrm rot="5400000">
          <a:off x="549195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0</xdr:colOff>
      <xdr:row>0</xdr:row>
      <xdr:rowOff>285750</xdr:rowOff>
    </xdr:from>
    <xdr:to>
      <xdr:col>1</xdr:col>
      <xdr:colOff>836341</xdr:colOff>
      <xdr:row>4</xdr:row>
      <xdr:rowOff>33686</xdr:rowOff>
    </xdr:to>
    <xdr:pic>
      <xdr:nvPicPr>
        <xdr:cNvPr id="2089094" name="Imagen 18">
          <a:extLst>
            <a:ext uri="{FF2B5EF4-FFF2-40B4-BE49-F238E27FC236}">
              <a16:creationId xmlns:a16="http://schemas.microsoft.com/office/drawing/2014/main" id="{F873E820-FACC-4B5A-B5D0-4E9E66D21A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0"/>
          <a:ext cx="2520640" cy="10024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800100</xdr:colOff>
      <xdr:row>0</xdr:row>
      <xdr:rowOff>390525</xdr:rowOff>
    </xdr:from>
    <xdr:to>
      <xdr:col>5</xdr:col>
      <xdr:colOff>1447800</xdr:colOff>
      <xdr:row>4</xdr:row>
      <xdr:rowOff>58079</xdr:rowOff>
    </xdr:to>
    <xdr:pic>
      <xdr:nvPicPr>
        <xdr:cNvPr id="2089095" name="Imagen 19">
          <a:extLst>
            <a:ext uri="{FF2B5EF4-FFF2-40B4-BE49-F238E27FC236}">
              <a16:creationId xmlns:a16="http://schemas.microsoft.com/office/drawing/2014/main" id="{85112557-1EFE-4240-A8AB-8A3E260413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0" y="390525"/>
          <a:ext cx="1666875" cy="923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8335</xdr:rowOff>
    </xdr:to>
    <xdr:cxnSp macro="">
      <xdr:nvCxnSpPr>
        <xdr:cNvPr id="10" name="3 Conector recto">
          <a:extLst>
            <a:ext uri="{FF2B5EF4-FFF2-40B4-BE49-F238E27FC236}">
              <a16:creationId xmlns:a16="http://schemas.microsoft.com/office/drawing/2014/main" id="{5CD219D7-84B4-49CC-80C8-B1C5009C20A8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8335</xdr:rowOff>
    </xdr:to>
    <xdr:cxnSp macro="">
      <xdr:nvCxnSpPr>
        <xdr:cNvPr id="11" name="3 Conector recto">
          <a:extLst>
            <a:ext uri="{FF2B5EF4-FFF2-40B4-BE49-F238E27FC236}">
              <a16:creationId xmlns:a16="http://schemas.microsoft.com/office/drawing/2014/main" id="{B6DBEAD6-7126-4EED-A93B-552D1BF96C49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30</xdr:row>
      <xdr:rowOff>0</xdr:rowOff>
    </xdr:from>
    <xdr:to>
      <xdr:col>0</xdr:col>
      <xdr:colOff>831374</xdr:colOff>
      <xdr:row>30</xdr:row>
      <xdr:rowOff>13494</xdr:rowOff>
    </xdr:to>
    <xdr:cxnSp macro="">
      <xdr:nvCxnSpPr>
        <xdr:cNvPr id="12" name="3 Conector recto">
          <a:extLst>
            <a:ext uri="{FF2B5EF4-FFF2-40B4-BE49-F238E27FC236}">
              <a16:creationId xmlns:a16="http://schemas.microsoft.com/office/drawing/2014/main" id="{511EF58A-1B13-49D7-AB26-739684F3F601}"/>
            </a:ext>
          </a:extLst>
        </xdr:cNvPr>
        <xdr:cNvCxnSpPr/>
      </xdr:nvCxnSpPr>
      <xdr:spPr>
        <a:xfrm rot="5400000">
          <a:off x="549195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26</xdr:row>
      <xdr:rowOff>0</xdr:rowOff>
    </xdr:from>
    <xdr:to>
      <xdr:col>0</xdr:col>
      <xdr:colOff>825024</xdr:colOff>
      <xdr:row>26</xdr:row>
      <xdr:rowOff>8335</xdr:rowOff>
    </xdr:to>
    <xdr:cxnSp macro="">
      <xdr:nvCxnSpPr>
        <xdr:cNvPr id="13" name="3 Conector recto">
          <a:extLst>
            <a:ext uri="{FF2B5EF4-FFF2-40B4-BE49-F238E27FC236}">
              <a16:creationId xmlns:a16="http://schemas.microsoft.com/office/drawing/2014/main" id="{E2F8A0B5-C067-4BB3-8DB8-53158E3A7DBB}"/>
            </a:ext>
          </a:extLst>
        </xdr:cNvPr>
        <xdr:cNvCxnSpPr/>
      </xdr:nvCxnSpPr>
      <xdr:spPr>
        <a:xfrm rot="5400000">
          <a:off x="5422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26</xdr:row>
      <xdr:rowOff>0</xdr:rowOff>
    </xdr:from>
    <xdr:to>
      <xdr:col>0</xdr:col>
      <xdr:colOff>825024</xdr:colOff>
      <xdr:row>26</xdr:row>
      <xdr:rowOff>8335</xdr:rowOff>
    </xdr:to>
    <xdr:cxnSp macro="">
      <xdr:nvCxnSpPr>
        <xdr:cNvPr id="14" name="3 Conector recto">
          <a:extLst>
            <a:ext uri="{FF2B5EF4-FFF2-40B4-BE49-F238E27FC236}">
              <a16:creationId xmlns:a16="http://schemas.microsoft.com/office/drawing/2014/main" id="{691C12E1-C56B-4A40-AD3C-B1FEA0125637}"/>
            </a:ext>
          </a:extLst>
        </xdr:cNvPr>
        <xdr:cNvCxnSpPr/>
      </xdr:nvCxnSpPr>
      <xdr:spPr>
        <a:xfrm rot="5400000">
          <a:off x="5422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30</xdr:row>
      <xdr:rowOff>0</xdr:rowOff>
    </xdr:from>
    <xdr:to>
      <xdr:col>0</xdr:col>
      <xdr:colOff>825024</xdr:colOff>
      <xdr:row>30</xdr:row>
      <xdr:rowOff>13494</xdr:rowOff>
    </xdr:to>
    <xdr:cxnSp macro="">
      <xdr:nvCxnSpPr>
        <xdr:cNvPr id="15" name="3 Conector recto">
          <a:extLst>
            <a:ext uri="{FF2B5EF4-FFF2-40B4-BE49-F238E27FC236}">
              <a16:creationId xmlns:a16="http://schemas.microsoft.com/office/drawing/2014/main" id="{471CA8B0-C613-4275-88C3-686385F7309B}"/>
            </a:ext>
          </a:extLst>
        </xdr:cNvPr>
        <xdr:cNvCxnSpPr/>
      </xdr:nvCxnSpPr>
      <xdr:spPr>
        <a:xfrm rot="5400000">
          <a:off x="539670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8335</xdr:rowOff>
    </xdr:to>
    <xdr:cxnSp macro="">
      <xdr:nvCxnSpPr>
        <xdr:cNvPr id="16" name="3 Conector recto">
          <a:extLst>
            <a:ext uri="{FF2B5EF4-FFF2-40B4-BE49-F238E27FC236}">
              <a16:creationId xmlns:a16="http://schemas.microsoft.com/office/drawing/2014/main" id="{6C1CF663-DCA9-4D6B-9060-6F5BA4295A06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8335</xdr:rowOff>
    </xdr:to>
    <xdr:cxnSp macro="">
      <xdr:nvCxnSpPr>
        <xdr:cNvPr id="17" name="3 Conector recto">
          <a:extLst>
            <a:ext uri="{FF2B5EF4-FFF2-40B4-BE49-F238E27FC236}">
              <a16:creationId xmlns:a16="http://schemas.microsoft.com/office/drawing/2014/main" id="{5320A5C5-A799-495F-831F-3741A9C44758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30</xdr:row>
      <xdr:rowOff>0</xdr:rowOff>
    </xdr:from>
    <xdr:to>
      <xdr:col>0</xdr:col>
      <xdr:colOff>831374</xdr:colOff>
      <xdr:row>30</xdr:row>
      <xdr:rowOff>13494</xdr:rowOff>
    </xdr:to>
    <xdr:cxnSp macro="">
      <xdr:nvCxnSpPr>
        <xdr:cNvPr id="18" name="3 Conector recto">
          <a:extLst>
            <a:ext uri="{FF2B5EF4-FFF2-40B4-BE49-F238E27FC236}">
              <a16:creationId xmlns:a16="http://schemas.microsoft.com/office/drawing/2014/main" id="{AE9C64AB-6798-499B-B958-9714462FE9B2}"/>
            </a:ext>
          </a:extLst>
        </xdr:cNvPr>
        <xdr:cNvCxnSpPr/>
      </xdr:nvCxnSpPr>
      <xdr:spPr>
        <a:xfrm rot="5400000">
          <a:off x="549195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26</xdr:row>
      <xdr:rowOff>0</xdr:rowOff>
    </xdr:from>
    <xdr:to>
      <xdr:col>0</xdr:col>
      <xdr:colOff>825024</xdr:colOff>
      <xdr:row>26</xdr:row>
      <xdr:rowOff>8335</xdr:rowOff>
    </xdr:to>
    <xdr:cxnSp macro="">
      <xdr:nvCxnSpPr>
        <xdr:cNvPr id="19" name="3 Conector recto">
          <a:extLst>
            <a:ext uri="{FF2B5EF4-FFF2-40B4-BE49-F238E27FC236}">
              <a16:creationId xmlns:a16="http://schemas.microsoft.com/office/drawing/2014/main" id="{6E65C89B-9043-43D1-B927-52200B86EDA6}"/>
            </a:ext>
          </a:extLst>
        </xdr:cNvPr>
        <xdr:cNvCxnSpPr/>
      </xdr:nvCxnSpPr>
      <xdr:spPr>
        <a:xfrm rot="5400000">
          <a:off x="5422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26</xdr:row>
      <xdr:rowOff>0</xdr:rowOff>
    </xdr:from>
    <xdr:to>
      <xdr:col>0</xdr:col>
      <xdr:colOff>825024</xdr:colOff>
      <xdr:row>26</xdr:row>
      <xdr:rowOff>8335</xdr:rowOff>
    </xdr:to>
    <xdr:cxnSp macro="">
      <xdr:nvCxnSpPr>
        <xdr:cNvPr id="20" name="3 Conector recto">
          <a:extLst>
            <a:ext uri="{FF2B5EF4-FFF2-40B4-BE49-F238E27FC236}">
              <a16:creationId xmlns:a16="http://schemas.microsoft.com/office/drawing/2014/main" id="{EB14F0AB-A4D2-4458-9BCB-5044E21FB3B9}"/>
            </a:ext>
          </a:extLst>
        </xdr:cNvPr>
        <xdr:cNvCxnSpPr/>
      </xdr:nvCxnSpPr>
      <xdr:spPr>
        <a:xfrm rot="5400000">
          <a:off x="5422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30</xdr:row>
      <xdr:rowOff>0</xdr:rowOff>
    </xdr:from>
    <xdr:to>
      <xdr:col>0</xdr:col>
      <xdr:colOff>825024</xdr:colOff>
      <xdr:row>30</xdr:row>
      <xdr:rowOff>13494</xdr:rowOff>
    </xdr:to>
    <xdr:cxnSp macro="">
      <xdr:nvCxnSpPr>
        <xdr:cNvPr id="21" name="3 Conector recto">
          <a:extLst>
            <a:ext uri="{FF2B5EF4-FFF2-40B4-BE49-F238E27FC236}">
              <a16:creationId xmlns:a16="http://schemas.microsoft.com/office/drawing/2014/main" id="{B06656FA-DEA2-46A4-98A1-1281E05DE43C}"/>
            </a:ext>
          </a:extLst>
        </xdr:cNvPr>
        <xdr:cNvCxnSpPr/>
      </xdr:nvCxnSpPr>
      <xdr:spPr>
        <a:xfrm rot="5400000">
          <a:off x="539670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829786</xdr:colOff>
      <xdr:row>26</xdr:row>
      <xdr:rowOff>0</xdr:rowOff>
    </xdr:from>
    <xdr:to>
      <xdr:col>3</xdr:col>
      <xdr:colOff>831374</xdr:colOff>
      <xdr:row>26</xdr:row>
      <xdr:rowOff>8335</xdr:rowOff>
    </xdr:to>
    <xdr:cxnSp macro="">
      <xdr:nvCxnSpPr>
        <xdr:cNvPr id="22" name="3 Conector recto">
          <a:extLst>
            <a:ext uri="{FF2B5EF4-FFF2-40B4-BE49-F238E27FC236}">
              <a16:creationId xmlns:a16="http://schemas.microsoft.com/office/drawing/2014/main" id="{25D32D89-392C-4588-B2FC-51D8A6427E3F}"/>
            </a:ext>
          </a:extLst>
        </xdr:cNvPr>
        <xdr:cNvCxnSpPr/>
      </xdr:nvCxnSpPr>
      <xdr:spPr>
        <a:xfrm rot="5400000">
          <a:off x="56095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829786</xdr:colOff>
      <xdr:row>26</xdr:row>
      <xdr:rowOff>0</xdr:rowOff>
    </xdr:from>
    <xdr:to>
      <xdr:col>3</xdr:col>
      <xdr:colOff>831374</xdr:colOff>
      <xdr:row>26</xdr:row>
      <xdr:rowOff>8335</xdr:rowOff>
    </xdr:to>
    <xdr:cxnSp macro="">
      <xdr:nvCxnSpPr>
        <xdr:cNvPr id="23" name="3 Conector recto">
          <a:extLst>
            <a:ext uri="{FF2B5EF4-FFF2-40B4-BE49-F238E27FC236}">
              <a16:creationId xmlns:a16="http://schemas.microsoft.com/office/drawing/2014/main" id="{5AD2FFF4-05DE-46CB-AFE4-022A3B0B2508}"/>
            </a:ext>
          </a:extLst>
        </xdr:cNvPr>
        <xdr:cNvCxnSpPr/>
      </xdr:nvCxnSpPr>
      <xdr:spPr>
        <a:xfrm rot="5400000">
          <a:off x="56095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829786</xdr:colOff>
      <xdr:row>30</xdr:row>
      <xdr:rowOff>0</xdr:rowOff>
    </xdr:from>
    <xdr:to>
      <xdr:col>3</xdr:col>
      <xdr:colOff>831374</xdr:colOff>
      <xdr:row>30</xdr:row>
      <xdr:rowOff>13494</xdr:rowOff>
    </xdr:to>
    <xdr:cxnSp macro="">
      <xdr:nvCxnSpPr>
        <xdr:cNvPr id="24" name="3 Conector recto">
          <a:extLst>
            <a:ext uri="{FF2B5EF4-FFF2-40B4-BE49-F238E27FC236}">
              <a16:creationId xmlns:a16="http://schemas.microsoft.com/office/drawing/2014/main" id="{804E09E2-D960-4D32-B837-B5D96CC11FD7}"/>
            </a:ext>
          </a:extLst>
        </xdr:cNvPr>
        <xdr:cNvCxnSpPr/>
      </xdr:nvCxnSpPr>
      <xdr:spPr>
        <a:xfrm rot="5400000">
          <a:off x="5606970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823436</xdr:colOff>
      <xdr:row>26</xdr:row>
      <xdr:rowOff>0</xdr:rowOff>
    </xdr:from>
    <xdr:to>
      <xdr:col>3</xdr:col>
      <xdr:colOff>825024</xdr:colOff>
      <xdr:row>26</xdr:row>
      <xdr:rowOff>8335</xdr:rowOff>
    </xdr:to>
    <xdr:cxnSp macro="">
      <xdr:nvCxnSpPr>
        <xdr:cNvPr id="25" name="3 Conector recto">
          <a:extLst>
            <a:ext uri="{FF2B5EF4-FFF2-40B4-BE49-F238E27FC236}">
              <a16:creationId xmlns:a16="http://schemas.microsoft.com/office/drawing/2014/main" id="{D6B8C593-DA30-481C-A0CC-2BEB67EE5217}"/>
            </a:ext>
          </a:extLst>
        </xdr:cNvPr>
        <xdr:cNvCxnSpPr/>
      </xdr:nvCxnSpPr>
      <xdr:spPr>
        <a:xfrm rot="5400000">
          <a:off x="560002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823436</xdr:colOff>
      <xdr:row>26</xdr:row>
      <xdr:rowOff>0</xdr:rowOff>
    </xdr:from>
    <xdr:to>
      <xdr:col>3</xdr:col>
      <xdr:colOff>825024</xdr:colOff>
      <xdr:row>26</xdr:row>
      <xdr:rowOff>8335</xdr:rowOff>
    </xdr:to>
    <xdr:cxnSp macro="">
      <xdr:nvCxnSpPr>
        <xdr:cNvPr id="26" name="3 Conector recto">
          <a:extLst>
            <a:ext uri="{FF2B5EF4-FFF2-40B4-BE49-F238E27FC236}">
              <a16:creationId xmlns:a16="http://schemas.microsoft.com/office/drawing/2014/main" id="{38B9A918-C6AC-4261-B890-7CAA3A043538}"/>
            </a:ext>
          </a:extLst>
        </xdr:cNvPr>
        <xdr:cNvCxnSpPr/>
      </xdr:nvCxnSpPr>
      <xdr:spPr>
        <a:xfrm rot="5400000">
          <a:off x="560002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823436</xdr:colOff>
      <xdr:row>30</xdr:row>
      <xdr:rowOff>0</xdr:rowOff>
    </xdr:from>
    <xdr:to>
      <xdr:col>3</xdr:col>
      <xdr:colOff>825024</xdr:colOff>
      <xdr:row>30</xdr:row>
      <xdr:rowOff>13494</xdr:rowOff>
    </xdr:to>
    <xdr:cxnSp macro="">
      <xdr:nvCxnSpPr>
        <xdr:cNvPr id="27" name="3 Conector recto">
          <a:extLst>
            <a:ext uri="{FF2B5EF4-FFF2-40B4-BE49-F238E27FC236}">
              <a16:creationId xmlns:a16="http://schemas.microsoft.com/office/drawing/2014/main" id="{C7D92A52-EFC0-4662-A102-C8C02A3195FD}"/>
            </a:ext>
          </a:extLst>
        </xdr:cNvPr>
        <xdr:cNvCxnSpPr/>
      </xdr:nvCxnSpPr>
      <xdr:spPr>
        <a:xfrm rot="5400000">
          <a:off x="5597445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3</xdr:col>
      <xdr:colOff>1296794</xdr:colOff>
      <xdr:row>44</xdr:row>
      <xdr:rowOff>40190</xdr:rowOff>
    </xdr:from>
    <xdr:to>
      <xdr:col>4</xdr:col>
      <xdr:colOff>487169</xdr:colOff>
      <xdr:row>47</xdr:row>
      <xdr:rowOff>154491</xdr:rowOff>
    </xdr:to>
    <xdr:pic>
      <xdr:nvPicPr>
        <xdr:cNvPr id="2089114" name="Imagen 77">
          <a:extLst>
            <a:ext uri="{FF2B5EF4-FFF2-40B4-BE49-F238E27FC236}">
              <a16:creationId xmlns:a16="http://schemas.microsoft.com/office/drawing/2014/main" id="{7800A278-EB3A-4181-A3AA-971EFA7DDD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49690" y="9751044"/>
          <a:ext cx="874674" cy="70670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829786</xdr:colOff>
      <xdr:row>43</xdr:row>
      <xdr:rowOff>0</xdr:rowOff>
    </xdr:from>
    <xdr:to>
      <xdr:col>0</xdr:col>
      <xdr:colOff>831374</xdr:colOff>
      <xdr:row>43</xdr:row>
      <xdr:rowOff>13494</xdr:rowOff>
    </xdr:to>
    <xdr:cxnSp macro="">
      <xdr:nvCxnSpPr>
        <xdr:cNvPr id="2" name="3 Conector recto">
          <a:extLst>
            <a:ext uri="{FF2B5EF4-FFF2-40B4-BE49-F238E27FC236}">
              <a16:creationId xmlns:a16="http://schemas.microsoft.com/office/drawing/2014/main" id="{7B0EC653-2D69-4AFF-BB38-0FD6B5707192}"/>
            </a:ext>
          </a:extLst>
        </xdr:cNvPr>
        <xdr:cNvCxnSpPr/>
      </xdr:nvCxnSpPr>
      <xdr:spPr>
        <a:xfrm rot="5400000">
          <a:off x="549195" y="10386616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43</xdr:row>
      <xdr:rowOff>0</xdr:rowOff>
    </xdr:from>
    <xdr:to>
      <xdr:col>0</xdr:col>
      <xdr:colOff>831374</xdr:colOff>
      <xdr:row>43</xdr:row>
      <xdr:rowOff>13494</xdr:rowOff>
    </xdr:to>
    <xdr:cxnSp macro="">
      <xdr:nvCxnSpPr>
        <xdr:cNvPr id="3" name="3 Conector recto">
          <a:extLst>
            <a:ext uri="{FF2B5EF4-FFF2-40B4-BE49-F238E27FC236}">
              <a16:creationId xmlns:a16="http://schemas.microsoft.com/office/drawing/2014/main" id="{1CB38210-6A31-4F70-A045-D849948763CE}"/>
            </a:ext>
          </a:extLst>
        </xdr:cNvPr>
        <xdr:cNvCxnSpPr/>
      </xdr:nvCxnSpPr>
      <xdr:spPr>
        <a:xfrm rot="5400000">
          <a:off x="549195" y="10386616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44</xdr:row>
      <xdr:rowOff>0</xdr:rowOff>
    </xdr:from>
    <xdr:to>
      <xdr:col>0</xdr:col>
      <xdr:colOff>831374</xdr:colOff>
      <xdr:row>44</xdr:row>
      <xdr:rowOff>16670</xdr:rowOff>
    </xdr:to>
    <xdr:cxnSp macro="">
      <xdr:nvCxnSpPr>
        <xdr:cNvPr id="4" name="3 Conector recto">
          <a:extLst>
            <a:ext uri="{FF2B5EF4-FFF2-40B4-BE49-F238E27FC236}">
              <a16:creationId xmlns:a16="http://schemas.microsoft.com/office/drawing/2014/main" id="{97BB9AB8-5A86-458A-B66E-3C31C090EA5F}"/>
            </a:ext>
          </a:extLst>
        </xdr:cNvPr>
        <xdr:cNvCxnSpPr/>
      </xdr:nvCxnSpPr>
      <xdr:spPr>
        <a:xfrm rot="5400000">
          <a:off x="551775" y="10574536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8335</xdr:rowOff>
    </xdr:to>
    <xdr:cxnSp macro="">
      <xdr:nvCxnSpPr>
        <xdr:cNvPr id="5" name="3 Conector recto">
          <a:extLst>
            <a:ext uri="{FF2B5EF4-FFF2-40B4-BE49-F238E27FC236}">
              <a16:creationId xmlns:a16="http://schemas.microsoft.com/office/drawing/2014/main" id="{5675CB58-B7F7-4E29-A468-C81E7EA532A6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8335</xdr:rowOff>
    </xdr:to>
    <xdr:cxnSp macro="">
      <xdr:nvCxnSpPr>
        <xdr:cNvPr id="6" name="3 Conector recto">
          <a:extLst>
            <a:ext uri="{FF2B5EF4-FFF2-40B4-BE49-F238E27FC236}">
              <a16:creationId xmlns:a16="http://schemas.microsoft.com/office/drawing/2014/main" id="{2C63826B-8670-4AB5-81E1-80E9F4C38B14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30</xdr:row>
      <xdr:rowOff>0</xdr:rowOff>
    </xdr:from>
    <xdr:to>
      <xdr:col>0</xdr:col>
      <xdr:colOff>831374</xdr:colOff>
      <xdr:row>30</xdr:row>
      <xdr:rowOff>13494</xdr:rowOff>
    </xdr:to>
    <xdr:cxnSp macro="">
      <xdr:nvCxnSpPr>
        <xdr:cNvPr id="7" name="3 Conector recto">
          <a:extLst>
            <a:ext uri="{FF2B5EF4-FFF2-40B4-BE49-F238E27FC236}">
              <a16:creationId xmlns:a16="http://schemas.microsoft.com/office/drawing/2014/main" id="{AE7A3B2C-622F-48D9-9C10-47900C9B7D36}"/>
            </a:ext>
          </a:extLst>
        </xdr:cNvPr>
        <xdr:cNvCxnSpPr/>
      </xdr:nvCxnSpPr>
      <xdr:spPr>
        <a:xfrm rot="5400000">
          <a:off x="549195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1</xdr:colOff>
      <xdr:row>0</xdr:row>
      <xdr:rowOff>285750</xdr:rowOff>
    </xdr:from>
    <xdr:to>
      <xdr:col>1</xdr:col>
      <xdr:colOff>690563</xdr:colOff>
      <xdr:row>4</xdr:row>
      <xdr:rowOff>23812</xdr:rowOff>
    </xdr:to>
    <xdr:pic>
      <xdr:nvPicPr>
        <xdr:cNvPr id="2083206" name="Imagen 18">
          <a:extLst>
            <a:ext uri="{FF2B5EF4-FFF2-40B4-BE49-F238E27FC236}">
              <a16:creationId xmlns:a16="http://schemas.microsoft.com/office/drawing/2014/main" id="{5D80D76C-F63D-48A0-95ED-D687D80717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285750"/>
          <a:ext cx="23812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800100</xdr:colOff>
      <xdr:row>0</xdr:row>
      <xdr:rowOff>390525</xdr:rowOff>
    </xdr:from>
    <xdr:to>
      <xdr:col>5</xdr:col>
      <xdr:colOff>1447800</xdr:colOff>
      <xdr:row>4</xdr:row>
      <xdr:rowOff>47625</xdr:rowOff>
    </xdr:to>
    <xdr:pic>
      <xdr:nvPicPr>
        <xdr:cNvPr id="2083207" name="Imagen 19">
          <a:extLst>
            <a:ext uri="{FF2B5EF4-FFF2-40B4-BE49-F238E27FC236}">
              <a16:creationId xmlns:a16="http://schemas.microsoft.com/office/drawing/2014/main" id="{111CA7AC-829C-4807-9118-974BE03E67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72400" y="390525"/>
          <a:ext cx="1666875" cy="923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8335</xdr:rowOff>
    </xdr:to>
    <xdr:cxnSp macro="">
      <xdr:nvCxnSpPr>
        <xdr:cNvPr id="10" name="3 Conector recto">
          <a:extLst>
            <a:ext uri="{FF2B5EF4-FFF2-40B4-BE49-F238E27FC236}">
              <a16:creationId xmlns:a16="http://schemas.microsoft.com/office/drawing/2014/main" id="{B4836501-02DC-4723-8EE1-14FA57E60083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8335</xdr:rowOff>
    </xdr:to>
    <xdr:cxnSp macro="">
      <xdr:nvCxnSpPr>
        <xdr:cNvPr id="11" name="3 Conector recto">
          <a:extLst>
            <a:ext uri="{FF2B5EF4-FFF2-40B4-BE49-F238E27FC236}">
              <a16:creationId xmlns:a16="http://schemas.microsoft.com/office/drawing/2014/main" id="{26AB1159-0858-4762-B51D-71DB7562EC52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30</xdr:row>
      <xdr:rowOff>0</xdr:rowOff>
    </xdr:from>
    <xdr:to>
      <xdr:col>0</xdr:col>
      <xdr:colOff>831374</xdr:colOff>
      <xdr:row>30</xdr:row>
      <xdr:rowOff>13494</xdr:rowOff>
    </xdr:to>
    <xdr:cxnSp macro="">
      <xdr:nvCxnSpPr>
        <xdr:cNvPr id="12" name="3 Conector recto">
          <a:extLst>
            <a:ext uri="{FF2B5EF4-FFF2-40B4-BE49-F238E27FC236}">
              <a16:creationId xmlns:a16="http://schemas.microsoft.com/office/drawing/2014/main" id="{22E82F52-E64F-44A4-88F9-3799F49FB752}"/>
            </a:ext>
          </a:extLst>
        </xdr:cNvPr>
        <xdr:cNvCxnSpPr/>
      </xdr:nvCxnSpPr>
      <xdr:spPr>
        <a:xfrm rot="5400000">
          <a:off x="549195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26</xdr:row>
      <xdr:rowOff>0</xdr:rowOff>
    </xdr:from>
    <xdr:to>
      <xdr:col>0</xdr:col>
      <xdr:colOff>825024</xdr:colOff>
      <xdr:row>26</xdr:row>
      <xdr:rowOff>8335</xdr:rowOff>
    </xdr:to>
    <xdr:cxnSp macro="">
      <xdr:nvCxnSpPr>
        <xdr:cNvPr id="13" name="3 Conector recto">
          <a:extLst>
            <a:ext uri="{FF2B5EF4-FFF2-40B4-BE49-F238E27FC236}">
              <a16:creationId xmlns:a16="http://schemas.microsoft.com/office/drawing/2014/main" id="{07C75153-0906-4586-AC8A-4A8D846398D0}"/>
            </a:ext>
          </a:extLst>
        </xdr:cNvPr>
        <xdr:cNvCxnSpPr/>
      </xdr:nvCxnSpPr>
      <xdr:spPr>
        <a:xfrm rot="5400000">
          <a:off x="5422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26</xdr:row>
      <xdr:rowOff>0</xdr:rowOff>
    </xdr:from>
    <xdr:to>
      <xdr:col>0</xdr:col>
      <xdr:colOff>825024</xdr:colOff>
      <xdr:row>26</xdr:row>
      <xdr:rowOff>8335</xdr:rowOff>
    </xdr:to>
    <xdr:cxnSp macro="">
      <xdr:nvCxnSpPr>
        <xdr:cNvPr id="14" name="3 Conector recto">
          <a:extLst>
            <a:ext uri="{FF2B5EF4-FFF2-40B4-BE49-F238E27FC236}">
              <a16:creationId xmlns:a16="http://schemas.microsoft.com/office/drawing/2014/main" id="{1D22F94F-E1D2-4A9A-80B6-44CFFDAAAB6A}"/>
            </a:ext>
          </a:extLst>
        </xdr:cNvPr>
        <xdr:cNvCxnSpPr/>
      </xdr:nvCxnSpPr>
      <xdr:spPr>
        <a:xfrm rot="5400000">
          <a:off x="5422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30</xdr:row>
      <xdr:rowOff>0</xdr:rowOff>
    </xdr:from>
    <xdr:to>
      <xdr:col>0</xdr:col>
      <xdr:colOff>825024</xdr:colOff>
      <xdr:row>30</xdr:row>
      <xdr:rowOff>13494</xdr:rowOff>
    </xdr:to>
    <xdr:cxnSp macro="">
      <xdr:nvCxnSpPr>
        <xdr:cNvPr id="15" name="3 Conector recto">
          <a:extLst>
            <a:ext uri="{FF2B5EF4-FFF2-40B4-BE49-F238E27FC236}">
              <a16:creationId xmlns:a16="http://schemas.microsoft.com/office/drawing/2014/main" id="{87EF56A2-6A38-4FDF-9E3E-497D15C3F2D1}"/>
            </a:ext>
          </a:extLst>
        </xdr:cNvPr>
        <xdr:cNvCxnSpPr/>
      </xdr:nvCxnSpPr>
      <xdr:spPr>
        <a:xfrm rot="5400000">
          <a:off x="539670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8335</xdr:rowOff>
    </xdr:to>
    <xdr:cxnSp macro="">
      <xdr:nvCxnSpPr>
        <xdr:cNvPr id="16" name="3 Conector recto">
          <a:extLst>
            <a:ext uri="{FF2B5EF4-FFF2-40B4-BE49-F238E27FC236}">
              <a16:creationId xmlns:a16="http://schemas.microsoft.com/office/drawing/2014/main" id="{09D0BFB2-D2FA-4791-A80D-96CEEF9D1331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8335</xdr:rowOff>
    </xdr:to>
    <xdr:cxnSp macro="">
      <xdr:nvCxnSpPr>
        <xdr:cNvPr id="17" name="3 Conector recto">
          <a:extLst>
            <a:ext uri="{FF2B5EF4-FFF2-40B4-BE49-F238E27FC236}">
              <a16:creationId xmlns:a16="http://schemas.microsoft.com/office/drawing/2014/main" id="{BF3889CF-7765-402E-92D0-6371A0638C1C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30</xdr:row>
      <xdr:rowOff>0</xdr:rowOff>
    </xdr:from>
    <xdr:to>
      <xdr:col>0</xdr:col>
      <xdr:colOff>831374</xdr:colOff>
      <xdr:row>30</xdr:row>
      <xdr:rowOff>13494</xdr:rowOff>
    </xdr:to>
    <xdr:cxnSp macro="">
      <xdr:nvCxnSpPr>
        <xdr:cNvPr id="18" name="3 Conector recto">
          <a:extLst>
            <a:ext uri="{FF2B5EF4-FFF2-40B4-BE49-F238E27FC236}">
              <a16:creationId xmlns:a16="http://schemas.microsoft.com/office/drawing/2014/main" id="{54AE8D81-BF5C-48F7-B036-F45527CD71DB}"/>
            </a:ext>
          </a:extLst>
        </xdr:cNvPr>
        <xdr:cNvCxnSpPr/>
      </xdr:nvCxnSpPr>
      <xdr:spPr>
        <a:xfrm rot="5400000">
          <a:off x="549195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26</xdr:row>
      <xdr:rowOff>0</xdr:rowOff>
    </xdr:from>
    <xdr:to>
      <xdr:col>0</xdr:col>
      <xdr:colOff>825024</xdr:colOff>
      <xdr:row>26</xdr:row>
      <xdr:rowOff>8335</xdr:rowOff>
    </xdr:to>
    <xdr:cxnSp macro="">
      <xdr:nvCxnSpPr>
        <xdr:cNvPr id="19" name="3 Conector recto">
          <a:extLst>
            <a:ext uri="{FF2B5EF4-FFF2-40B4-BE49-F238E27FC236}">
              <a16:creationId xmlns:a16="http://schemas.microsoft.com/office/drawing/2014/main" id="{817D6FCC-717F-497E-85F5-1B2D359F9D9E}"/>
            </a:ext>
          </a:extLst>
        </xdr:cNvPr>
        <xdr:cNvCxnSpPr/>
      </xdr:nvCxnSpPr>
      <xdr:spPr>
        <a:xfrm rot="5400000">
          <a:off x="5422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26</xdr:row>
      <xdr:rowOff>0</xdr:rowOff>
    </xdr:from>
    <xdr:to>
      <xdr:col>0</xdr:col>
      <xdr:colOff>825024</xdr:colOff>
      <xdr:row>26</xdr:row>
      <xdr:rowOff>8335</xdr:rowOff>
    </xdr:to>
    <xdr:cxnSp macro="">
      <xdr:nvCxnSpPr>
        <xdr:cNvPr id="20" name="3 Conector recto">
          <a:extLst>
            <a:ext uri="{FF2B5EF4-FFF2-40B4-BE49-F238E27FC236}">
              <a16:creationId xmlns:a16="http://schemas.microsoft.com/office/drawing/2014/main" id="{C1AF7BC9-24E8-4DC1-BC83-3EE6816C6A9E}"/>
            </a:ext>
          </a:extLst>
        </xdr:cNvPr>
        <xdr:cNvCxnSpPr/>
      </xdr:nvCxnSpPr>
      <xdr:spPr>
        <a:xfrm rot="5400000">
          <a:off x="5422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30</xdr:row>
      <xdr:rowOff>0</xdr:rowOff>
    </xdr:from>
    <xdr:to>
      <xdr:col>0</xdr:col>
      <xdr:colOff>825024</xdr:colOff>
      <xdr:row>30</xdr:row>
      <xdr:rowOff>13494</xdr:rowOff>
    </xdr:to>
    <xdr:cxnSp macro="">
      <xdr:nvCxnSpPr>
        <xdr:cNvPr id="21" name="3 Conector recto">
          <a:extLst>
            <a:ext uri="{FF2B5EF4-FFF2-40B4-BE49-F238E27FC236}">
              <a16:creationId xmlns:a16="http://schemas.microsoft.com/office/drawing/2014/main" id="{E8A32F51-F858-4341-9D3B-88D6766014C9}"/>
            </a:ext>
          </a:extLst>
        </xdr:cNvPr>
        <xdr:cNvCxnSpPr/>
      </xdr:nvCxnSpPr>
      <xdr:spPr>
        <a:xfrm rot="5400000">
          <a:off x="539670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839311</xdr:colOff>
      <xdr:row>26</xdr:row>
      <xdr:rowOff>0</xdr:rowOff>
    </xdr:from>
    <xdr:to>
      <xdr:col>3</xdr:col>
      <xdr:colOff>840899</xdr:colOff>
      <xdr:row>26</xdr:row>
      <xdr:rowOff>8335</xdr:rowOff>
    </xdr:to>
    <xdr:cxnSp macro="">
      <xdr:nvCxnSpPr>
        <xdr:cNvPr id="22" name="3 Conector recto">
          <a:extLst>
            <a:ext uri="{FF2B5EF4-FFF2-40B4-BE49-F238E27FC236}">
              <a16:creationId xmlns:a16="http://schemas.microsoft.com/office/drawing/2014/main" id="{F00CA164-02B8-49DF-B2BC-831904023BFD}"/>
            </a:ext>
          </a:extLst>
        </xdr:cNvPr>
        <xdr:cNvCxnSpPr/>
      </xdr:nvCxnSpPr>
      <xdr:spPr>
        <a:xfrm rot="5400000">
          <a:off x="56095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839311</xdr:colOff>
      <xdr:row>26</xdr:row>
      <xdr:rowOff>0</xdr:rowOff>
    </xdr:from>
    <xdr:to>
      <xdr:col>3</xdr:col>
      <xdr:colOff>840899</xdr:colOff>
      <xdr:row>26</xdr:row>
      <xdr:rowOff>8335</xdr:rowOff>
    </xdr:to>
    <xdr:cxnSp macro="">
      <xdr:nvCxnSpPr>
        <xdr:cNvPr id="23" name="3 Conector recto">
          <a:extLst>
            <a:ext uri="{FF2B5EF4-FFF2-40B4-BE49-F238E27FC236}">
              <a16:creationId xmlns:a16="http://schemas.microsoft.com/office/drawing/2014/main" id="{7DEE90DC-BEC8-492F-B6A8-84A22B6E3469}"/>
            </a:ext>
          </a:extLst>
        </xdr:cNvPr>
        <xdr:cNvCxnSpPr/>
      </xdr:nvCxnSpPr>
      <xdr:spPr>
        <a:xfrm rot="5400000">
          <a:off x="56095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839311</xdr:colOff>
      <xdr:row>30</xdr:row>
      <xdr:rowOff>0</xdr:rowOff>
    </xdr:from>
    <xdr:to>
      <xdr:col>3</xdr:col>
      <xdr:colOff>840899</xdr:colOff>
      <xdr:row>30</xdr:row>
      <xdr:rowOff>13494</xdr:rowOff>
    </xdr:to>
    <xdr:cxnSp macro="">
      <xdr:nvCxnSpPr>
        <xdr:cNvPr id="24" name="3 Conector recto">
          <a:extLst>
            <a:ext uri="{FF2B5EF4-FFF2-40B4-BE49-F238E27FC236}">
              <a16:creationId xmlns:a16="http://schemas.microsoft.com/office/drawing/2014/main" id="{BA158836-DD48-4FC0-BE23-D7A3FFDEBCF9}"/>
            </a:ext>
          </a:extLst>
        </xdr:cNvPr>
        <xdr:cNvCxnSpPr/>
      </xdr:nvCxnSpPr>
      <xdr:spPr>
        <a:xfrm rot="5400000">
          <a:off x="5606970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813911</xdr:colOff>
      <xdr:row>26</xdr:row>
      <xdr:rowOff>0</xdr:rowOff>
    </xdr:from>
    <xdr:to>
      <xdr:col>3</xdr:col>
      <xdr:colOff>815499</xdr:colOff>
      <xdr:row>26</xdr:row>
      <xdr:rowOff>8335</xdr:rowOff>
    </xdr:to>
    <xdr:cxnSp macro="">
      <xdr:nvCxnSpPr>
        <xdr:cNvPr id="25" name="3 Conector recto">
          <a:extLst>
            <a:ext uri="{FF2B5EF4-FFF2-40B4-BE49-F238E27FC236}">
              <a16:creationId xmlns:a16="http://schemas.microsoft.com/office/drawing/2014/main" id="{629829D9-76E4-4B64-BE41-E73371EB167E}"/>
            </a:ext>
          </a:extLst>
        </xdr:cNvPr>
        <xdr:cNvCxnSpPr/>
      </xdr:nvCxnSpPr>
      <xdr:spPr>
        <a:xfrm rot="5400000">
          <a:off x="560002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813911</xdr:colOff>
      <xdr:row>26</xdr:row>
      <xdr:rowOff>0</xdr:rowOff>
    </xdr:from>
    <xdr:to>
      <xdr:col>3</xdr:col>
      <xdr:colOff>815499</xdr:colOff>
      <xdr:row>26</xdr:row>
      <xdr:rowOff>8335</xdr:rowOff>
    </xdr:to>
    <xdr:cxnSp macro="">
      <xdr:nvCxnSpPr>
        <xdr:cNvPr id="26" name="3 Conector recto">
          <a:extLst>
            <a:ext uri="{FF2B5EF4-FFF2-40B4-BE49-F238E27FC236}">
              <a16:creationId xmlns:a16="http://schemas.microsoft.com/office/drawing/2014/main" id="{48E3216E-8337-4098-BF52-A3CBD30E83A1}"/>
            </a:ext>
          </a:extLst>
        </xdr:cNvPr>
        <xdr:cNvCxnSpPr/>
      </xdr:nvCxnSpPr>
      <xdr:spPr>
        <a:xfrm rot="5400000">
          <a:off x="560002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813911</xdr:colOff>
      <xdr:row>30</xdr:row>
      <xdr:rowOff>0</xdr:rowOff>
    </xdr:from>
    <xdr:to>
      <xdr:col>3</xdr:col>
      <xdr:colOff>815499</xdr:colOff>
      <xdr:row>30</xdr:row>
      <xdr:rowOff>13494</xdr:rowOff>
    </xdr:to>
    <xdr:cxnSp macro="">
      <xdr:nvCxnSpPr>
        <xdr:cNvPr id="27" name="3 Conector recto">
          <a:extLst>
            <a:ext uri="{FF2B5EF4-FFF2-40B4-BE49-F238E27FC236}">
              <a16:creationId xmlns:a16="http://schemas.microsoft.com/office/drawing/2014/main" id="{385A0952-7160-4994-B990-2B081E4DDF94}"/>
            </a:ext>
          </a:extLst>
        </xdr:cNvPr>
        <xdr:cNvCxnSpPr/>
      </xdr:nvCxnSpPr>
      <xdr:spPr>
        <a:xfrm rot="5400000">
          <a:off x="5597445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839311</xdr:colOff>
      <xdr:row>41</xdr:row>
      <xdr:rowOff>0</xdr:rowOff>
    </xdr:from>
    <xdr:to>
      <xdr:col>3</xdr:col>
      <xdr:colOff>840899</xdr:colOff>
      <xdr:row>41</xdr:row>
      <xdr:rowOff>8335</xdr:rowOff>
    </xdr:to>
    <xdr:cxnSp macro="">
      <xdr:nvCxnSpPr>
        <xdr:cNvPr id="28" name="3 Conector recto">
          <a:extLst>
            <a:ext uri="{FF2B5EF4-FFF2-40B4-BE49-F238E27FC236}">
              <a16:creationId xmlns:a16="http://schemas.microsoft.com/office/drawing/2014/main" id="{EDD20B1A-928F-4CCE-BB0E-89383138DC13}"/>
            </a:ext>
          </a:extLst>
        </xdr:cNvPr>
        <xdr:cNvCxnSpPr/>
      </xdr:nvCxnSpPr>
      <xdr:spPr>
        <a:xfrm rot="5400000">
          <a:off x="5609550" y="81266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839311</xdr:colOff>
      <xdr:row>41</xdr:row>
      <xdr:rowOff>0</xdr:rowOff>
    </xdr:from>
    <xdr:to>
      <xdr:col>3</xdr:col>
      <xdr:colOff>840899</xdr:colOff>
      <xdr:row>41</xdr:row>
      <xdr:rowOff>8335</xdr:rowOff>
    </xdr:to>
    <xdr:cxnSp macro="">
      <xdr:nvCxnSpPr>
        <xdr:cNvPr id="29" name="3 Conector recto">
          <a:extLst>
            <a:ext uri="{FF2B5EF4-FFF2-40B4-BE49-F238E27FC236}">
              <a16:creationId xmlns:a16="http://schemas.microsoft.com/office/drawing/2014/main" id="{EC923152-2FE0-4C1E-A802-D74FD97EF923}"/>
            </a:ext>
          </a:extLst>
        </xdr:cNvPr>
        <xdr:cNvCxnSpPr/>
      </xdr:nvCxnSpPr>
      <xdr:spPr>
        <a:xfrm rot="5400000">
          <a:off x="5609550" y="81266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839311</xdr:colOff>
      <xdr:row>42</xdr:row>
      <xdr:rowOff>0</xdr:rowOff>
    </xdr:from>
    <xdr:to>
      <xdr:col>3</xdr:col>
      <xdr:colOff>840899</xdr:colOff>
      <xdr:row>42</xdr:row>
      <xdr:rowOff>13494</xdr:rowOff>
    </xdr:to>
    <xdr:cxnSp macro="">
      <xdr:nvCxnSpPr>
        <xdr:cNvPr id="30" name="3 Conector recto">
          <a:extLst>
            <a:ext uri="{FF2B5EF4-FFF2-40B4-BE49-F238E27FC236}">
              <a16:creationId xmlns:a16="http://schemas.microsoft.com/office/drawing/2014/main" id="{37DEA258-CC80-4CCF-B8E7-BA32E786059C}"/>
            </a:ext>
          </a:extLst>
        </xdr:cNvPr>
        <xdr:cNvCxnSpPr/>
      </xdr:nvCxnSpPr>
      <xdr:spPr>
        <a:xfrm rot="5400000">
          <a:off x="5606970" y="83196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813911</xdr:colOff>
      <xdr:row>41</xdr:row>
      <xdr:rowOff>0</xdr:rowOff>
    </xdr:from>
    <xdr:to>
      <xdr:col>3</xdr:col>
      <xdr:colOff>815499</xdr:colOff>
      <xdr:row>41</xdr:row>
      <xdr:rowOff>8335</xdr:rowOff>
    </xdr:to>
    <xdr:cxnSp macro="">
      <xdr:nvCxnSpPr>
        <xdr:cNvPr id="31" name="3 Conector recto">
          <a:extLst>
            <a:ext uri="{FF2B5EF4-FFF2-40B4-BE49-F238E27FC236}">
              <a16:creationId xmlns:a16="http://schemas.microsoft.com/office/drawing/2014/main" id="{5D054FC3-8EB2-4EA3-8B61-43CC418CFE6F}"/>
            </a:ext>
          </a:extLst>
        </xdr:cNvPr>
        <xdr:cNvCxnSpPr/>
      </xdr:nvCxnSpPr>
      <xdr:spPr>
        <a:xfrm rot="5400000">
          <a:off x="5600025" y="81266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813911</xdr:colOff>
      <xdr:row>41</xdr:row>
      <xdr:rowOff>0</xdr:rowOff>
    </xdr:from>
    <xdr:to>
      <xdr:col>3</xdr:col>
      <xdr:colOff>815499</xdr:colOff>
      <xdr:row>41</xdr:row>
      <xdr:rowOff>8335</xdr:rowOff>
    </xdr:to>
    <xdr:cxnSp macro="">
      <xdr:nvCxnSpPr>
        <xdr:cNvPr id="32" name="3 Conector recto">
          <a:extLst>
            <a:ext uri="{FF2B5EF4-FFF2-40B4-BE49-F238E27FC236}">
              <a16:creationId xmlns:a16="http://schemas.microsoft.com/office/drawing/2014/main" id="{F35FBFDD-7C58-41C5-88E7-68FAF95DBB0B}"/>
            </a:ext>
          </a:extLst>
        </xdr:cNvPr>
        <xdr:cNvCxnSpPr/>
      </xdr:nvCxnSpPr>
      <xdr:spPr>
        <a:xfrm rot="5400000">
          <a:off x="5600025" y="81266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813911</xdr:colOff>
      <xdr:row>42</xdr:row>
      <xdr:rowOff>0</xdr:rowOff>
    </xdr:from>
    <xdr:to>
      <xdr:col>3</xdr:col>
      <xdr:colOff>815499</xdr:colOff>
      <xdr:row>42</xdr:row>
      <xdr:rowOff>13494</xdr:rowOff>
    </xdr:to>
    <xdr:cxnSp macro="">
      <xdr:nvCxnSpPr>
        <xdr:cNvPr id="33" name="3 Conector recto">
          <a:extLst>
            <a:ext uri="{FF2B5EF4-FFF2-40B4-BE49-F238E27FC236}">
              <a16:creationId xmlns:a16="http://schemas.microsoft.com/office/drawing/2014/main" id="{2BAF4F12-FEB8-4B23-949A-A0B2ECF37813}"/>
            </a:ext>
          </a:extLst>
        </xdr:cNvPr>
        <xdr:cNvCxnSpPr/>
      </xdr:nvCxnSpPr>
      <xdr:spPr>
        <a:xfrm rot="5400000">
          <a:off x="5597445" y="83196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3</xdr:col>
      <xdr:colOff>1550194</xdr:colOff>
      <xdr:row>43</xdr:row>
      <xdr:rowOff>190499</xdr:rowOff>
    </xdr:from>
    <xdr:to>
      <xdr:col>4</xdr:col>
      <xdr:colOff>645319</xdr:colOff>
      <xdr:row>47</xdr:row>
      <xdr:rowOff>83343</xdr:rowOff>
    </xdr:to>
    <xdr:pic>
      <xdr:nvPicPr>
        <xdr:cNvPr id="2083232" name="Imagen 77">
          <a:extLst>
            <a:ext uri="{FF2B5EF4-FFF2-40B4-BE49-F238E27FC236}">
              <a16:creationId xmlns:a16="http://schemas.microsoft.com/office/drawing/2014/main" id="{51FDB200-9776-43C5-9502-8938F6074A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77038" y="9513093"/>
          <a:ext cx="845344" cy="7024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829786</xdr:colOff>
      <xdr:row>43</xdr:row>
      <xdr:rowOff>0</xdr:rowOff>
    </xdr:from>
    <xdr:to>
      <xdr:col>0</xdr:col>
      <xdr:colOff>831374</xdr:colOff>
      <xdr:row>43</xdr:row>
      <xdr:rowOff>13494</xdr:rowOff>
    </xdr:to>
    <xdr:cxnSp macro="">
      <xdr:nvCxnSpPr>
        <xdr:cNvPr id="2" name="3 Conector recto">
          <a:extLst>
            <a:ext uri="{FF2B5EF4-FFF2-40B4-BE49-F238E27FC236}">
              <a16:creationId xmlns:a16="http://schemas.microsoft.com/office/drawing/2014/main" id="{C7F6B80C-4063-4E57-8B33-4D8B766C0DE2}"/>
            </a:ext>
          </a:extLst>
        </xdr:cNvPr>
        <xdr:cNvCxnSpPr/>
      </xdr:nvCxnSpPr>
      <xdr:spPr>
        <a:xfrm rot="5400000">
          <a:off x="549195" y="10386616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43</xdr:row>
      <xdr:rowOff>0</xdr:rowOff>
    </xdr:from>
    <xdr:to>
      <xdr:col>0</xdr:col>
      <xdr:colOff>831374</xdr:colOff>
      <xdr:row>43</xdr:row>
      <xdr:rowOff>13494</xdr:rowOff>
    </xdr:to>
    <xdr:cxnSp macro="">
      <xdr:nvCxnSpPr>
        <xdr:cNvPr id="3" name="3 Conector recto">
          <a:extLst>
            <a:ext uri="{FF2B5EF4-FFF2-40B4-BE49-F238E27FC236}">
              <a16:creationId xmlns:a16="http://schemas.microsoft.com/office/drawing/2014/main" id="{6551B6E2-35C0-42DF-A43B-6D294F874A94}"/>
            </a:ext>
          </a:extLst>
        </xdr:cNvPr>
        <xdr:cNvCxnSpPr/>
      </xdr:nvCxnSpPr>
      <xdr:spPr>
        <a:xfrm rot="5400000">
          <a:off x="549195" y="10386616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44</xdr:row>
      <xdr:rowOff>0</xdr:rowOff>
    </xdr:from>
    <xdr:to>
      <xdr:col>0</xdr:col>
      <xdr:colOff>831374</xdr:colOff>
      <xdr:row>44</xdr:row>
      <xdr:rowOff>8335</xdr:rowOff>
    </xdr:to>
    <xdr:cxnSp macro="">
      <xdr:nvCxnSpPr>
        <xdr:cNvPr id="4" name="3 Conector recto">
          <a:extLst>
            <a:ext uri="{FF2B5EF4-FFF2-40B4-BE49-F238E27FC236}">
              <a16:creationId xmlns:a16="http://schemas.microsoft.com/office/drawing/2014/main" id="{26D6AAF4-17EE-497D-9F78-22BE3206C0DA}"/>
            </a:ext>
          </a:extLst>
        </xdr:cNvPr>
        <xdr:cNvCxnSpPr/>
      </xdr:nvCxnSpPr>
      <xdr:spPr>
        <a:xfrm rot="5400000">
          <a:off x="551775" y="10574536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8335</xdr:rowOff>
    </xdr:to>
    <xdr:cxnSp macro="">
      <xdr:nvCxnSpPr>
        <xdr:cNvPr id="5" name="3 Conector recto">
          <a:extLst>
            <a:ext uri="{FF2B5EF4-FFF2-40B4-BE49-F238E27FC236}">
              <a16:creationId xmlns:a16="http://schemas.microsoft.com/office/drawing/2014/main" id="{32CEF566-DA61-4FB5-AA6B-B64970F5A6D7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8335</xdr:rowOff>
    </xdr:to>
    <xdr:cxnSp macro="">
      <xdr:nvCxnSpPr>
        <xdr:cNvPr id="6" name="3 Conector recto">
          <a:extLst>
            <a:ext uri="{FF2B5EF4-FFF2-40B4-BE49-F238E27FC236}">
              <a16:creationId xmlns:a16="http://schemas.microsoft.com/office/drawing/2014/main" id="{6FCDA6B3-D79A-4CCF-ADB0-1611B81444C0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30</xdr:row>
      <xdr:rowOff>0</xdr:rowOff>
    </xdr:from>
    <xdr:to>
      <xdr:col>0</xdr:col>
      <xdr:colOff>831374</xdr:colOff>
      <xdr:row>30</xdr:row>
      <xdr:rowOff>13494</xdr:rowOff>
    </xdr:to>
    <xdr:cxnSp macro="">
      <xdr:nvCxnSpPr>
        <xdr:cNvPr id="7" name="3 Conector recto">
          <a:extLst>
            <a:ext uri="{FF2B5EF4-FFF2-40B4-BE49-F238E27FC236}">
              <a16:creationId xmlns:a16="http://schemas.microsoft.com/office/drawing/2014/main" id="{D44B3E99-FA0B-41AE-B9DE-B171156D4948}"/>
            </a:ext>
          </a:extLst>
        </xdr:cNvPr>
        <xdr:cNvCxnSpPr/>
      </xdr:nvCxnSpPr>
      <xdr:spPr>
        <a:xfrm rot="5400000">
          <a:off x="549195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1</xdr:colOff>
      <xdr:row>0</xdr:row>
      <xdr:rowOff>285750</xdr:rowOff>
    </xdr:from>
    <xdr:to>
      <xdr:col>1</xdr:col>
      <xdr:colOff>869157</xdr:colOff>
      <xdr:row>4</xdr:row>
      <xdr:rowOff>23812</xdr:rowOff>
    </xdr:to>
    <xdr:pic>
      <xdr:nvPicPr>
        <xdr:cNvPr id="2084230" name="Imagen 18">
          <a:extLst>
            <a:ext uri="{FF2B5EF4-FFF2-40B4-BE49-F238E27FC236}">
              <a16:creationId xmlns:a16="http://schemas.microsoft.com/office/drawing/2014/main" id="{0E0B84E1-3AAA-43B7-9527-D535CCF347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285750"/>
          <a:ext cx="2559844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800100</xdr:colOff>
      <xdr:row>0</xdr:row>
      <xdr:rowOff>390525</xdr:rowOff>
    </xdr:from>
    <xdr:to>
      <xdr:col>5</xdr:col>
      <xdr:colOff>1447800</xdr:colOff>
      <xdr:row>4</xdr:row>
      <xdr:rowOff>47625</xdr:rowOff>
    </xdr:to>
    <xdr:pic>
      <xdr:nvPicPr>
        <xdr:cNvPr id="2084231" name="Imagen 19">
          <a:extLst>
            <a:ext uri="{FF2B5EF4-FFF2-40B4-BE49-F238E27FC236}">
              <a16:creationId xmlns:a16="http://schemas.microsoft.com/office/drawing/2014/main" id="{FA8B23B5-40D2-4646-B207-AEBD2ACF67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0" y="390525"/>
          <a:ext cx="1666875" cy="923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8335</xdr:rowOff>
    </xdr:to>
    <xdr:cxnSp macro="">
      <xdr:nvCxnSpPr>
        <xdr:cNvPr id="10" name="3 Conector recto">
          <a:extLst>
            <a:ext uri="{FF2B5EF4-FFF2-40B4-BE49-F238E27FC236}">
              <a16:creationId xmlns:a16="http://schemas.microsoft.com/office/drawing/2014/main" id="{8900CEA6-2706-44BD-B5B9-6CFADFA79392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8335</xdr:rowOff>
    </xdr:to>
    <xdr:cxnSp macro="">
      <xdr:nvCxnSpPr>
        <xdr:cNvPr id="11" name="3 Conector recto">
          <a:extLst>
            <a:ext uri="{FF2B5EF4-FFF2-40B4-BE49-F238E27FC236}">
              <a16:creationId xmlns:a16="http://schemas.microsoft.com/office/drawing/2014/main" id="{385A2DE0-2DD4-4C50-BB6A-F0AE52E1ACE2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30</xdr:row>
      <xdr:rowOff>0</xdr:rowOff>
    </xdr:from>
    <xdr:to>
      <xdr:col>0</xdr:col>
      <xdr:colOff>831374</xdr:colOff>
      <xdr:row>30</xdr:row>
      <xdr:rowOff>13494</xdr:rowOff>
    </xdr:to>
    <xdr:cxnSp macro="">
      <xdr:nvCxnSpPr>
        <xdr:cNvPr id="12" name="3 Conector recto">
          <a:extLst>
            <a:ext uri="{FF2B5EF4-FFF2-40B4-BE49-F238E27FC236}">
              <a16:creationId xmlns:a16="http://schemas.microsoft.com/office/drawing/2014/main" id="{16F03DBC-2CC6-4D87-862B-B27419071086}"/>
            </a:ext>
          </a:extLst>
        </xdr:cNvPr>
        <xdr:cNvCxnSpPr/>
      </xdr:nvCxnSpPr>
      <xdr:spPr>
        <a:xfrm rot="5400000">
          <a:off x="549195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26</xdr:row>
      <xdr:rowOff>0</xdr:rowOff>
    </xdr:from>
    <xdr:to>
      <xdr:col>0</xdr:col>
      <xdr:colOff>825024</xdr:colOff>
      <xdr:row>26</xdr:row>
      <xdr:rowOff>8335</xdr:rowOff>
    </xdr:to>
    <xdr:cxnSp macro="">
      <xdr:nvCxnSpPr>
        <xdr:cNvPr id="13" name="3 Conector recto">
          <a:extLst>
            <a:ext uri="{FF2B5EF4-FFF2-40B4-BE49-F238E27FC236}">
              <a16:creationId xmlns:a16="http://schemas.microsoft.com/office/drawing/2014/main" id="{EF5E7A60-F4C6-410B-BF2E-36454A287EF2}"/>
            </a:ext>
          </a:extLst>
        </xdr:cNvPr>
        <xdr:cNvCxnSpPr/>
      </xdr:nvCxnSpPr>
      <xdr:spPr>
        <a:xfrm rot="5400000">
          <a:off x="5422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26</xdr:row>
      <xdr:rowOff>0</xdr:rowOff>
    </xdr:from>
    <xdr:to>
      <xdr:col>0</xdr:col>
      <xdr:colOff>825024</xdr:colOff>
      <xdr:row>26</xdr:row>
      <xdr:rowOff>8335</xdr:rowOff>
    </xdr:to>
    <xdr:cxnSp macro="">
      <xdr:nvCxnSpPr>
        <xdr:cNvPr id="14" name="3 Conector recto">
          <a:extLst>
            <a:ext uri="{FF2B5EF4-FFF2-40B4-BE49-F238E27FC236}">
              <a16:creationId xmlns:a16="http://schemas.microsoft.com/office/drawing/2014/main" id="{4C1E0817-15BA-42AE-A225-D6D3C055675E}"/>
            </a:ext>
          </a:extLst>
        </xdr:cNvPr>
        <xdr:cNvCxnSpPr/>
      </xdr:nvCxnSpPr>
      <xdr:spPr>
        <a:xfrm rot="5400000">
          <a:off x="5422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30</xdr:row>
      <xdr:rowOff>0</xdr:rowOff>
    </xdr:from>
    <xdr:to>
      <xdr:col>0</xdr:col>
      <xdr:colOff>825024</xdr:colOff>
      <xdr:row>30</xdr:row>
      <xdr:rowOff>13494</xdr:rowOff>
    </xdr:to>
    <xdr:cxnSp macro="">
      <xdr:nvCxnSpPr>
        <xdr:cNvPr id="15" name="3 Conector recto">
          <a:extLst>
            <a:ext uri="{FF2B5EF4-FFF2-40B4-BE49-F238E27FC236}">
              <a16:creationId xmlns:a16="http://schemas.microsoft.com/office/drawing/2014/main" id="{D97D97DA-14B0-4F9D-B62C-42BF04E6444E}"/>
            </a:ext>
          </a:extLst>
        </xdr:cNvPr>
        <xdr:cNvCxnSpPr/>
      </xdr:nvCxnSpPr>
      <xdr:spPr>
        <a:xfrm rot="5400000">
          <a:off x="539670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8335</xdr:rowOff>
    </xdr:to>
    <xdr:cxnSp macro="">
      <xdr:nvCxnSpPr>
        <xdr:cNvPr id="16" name="3 Conector recto">
          <a:extLst>
            <a:ext uri="{FF2B5EF4-FFF2-40B4-BE49-F238E27FC236}">
              <a16:creationId xmlns:a16="http://schemas.microsoft.com/office/drawing/2014/main" id="{E9CDAFBB-B1AB-4965-B458-F221CDA89D78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8335</xdr:rowOff>
    </xdr:to>
    <xdr:cxnSp macro="">
      <xdr:nvCxnSpPr>
        <xdr:cNvPr id="17" name="3 Conector recto">
          <a:extLst>
            <a:ext uri="{FF2B5EF4-FFF2-40B4-BE49-F238E27FC236}">
              <a16:creationId xmlns:a16="http://schemas.microsoft.com/office/drawing/2014/main" id="{61EE1241-7EA9-4493-89B8-C147DBD6FADD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30</xdr:row>
      <xdr:rowOff>0</xdr:rowOff>
    </xdr:from>
    <xdr:to>
      <xdr:col>0</xdr:col>
      <xdr:colOff>831374</xdr:colOff>
      <xdr:row>30</xdr:row>
      <xdr:rowOff>13494</xdr:rowOff>
    </xdr:to>
    <xdr:cxnSp macro="">
      <xdr:nvCxnSpPr>
        <xdr:cNvPr id="18" name="3 Conector recto">
          <a:extLst>
            <a:ext uri="{FF2B5EF4-FFF2-40B4-BE49-F238E27FC236}">
              <a16:creationId xmlns:a16="http://schemas.microsoft.com/office/drawing/2014/main" id="{C8A4298C-7CA9-4CC8-AE9C-E37AFCDDA39B}"/>
            </a:ext>
          </a:extLst>
        </xdr:cNvPr>
        <xdr:cNvCxnSpPr/>
      </xdr:nvCxnSpPr>
      <xdr:spPr>
        <a:xfrm rot="5400000">
          <a:off x="549195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26</xdr:row>
      <xdr:rowOff>0</xdr:rowOff>
    </xdr:from>
    <xdr:to>
      <xdr:col>0</xdr:col>
      <xdr:colOff>825024</xdr:colOff>
      <xdr:row>26</xdr:row>
      <xdr:rowOff>8335</xdr:rowOff>
    </xdr:to>
    <xdr:cxnSp macro="">
      <xdr:nvCxnSpPr>
        <xdr:cNvPr id="19" name="3 Conector recto">
          <a:extLst>
            <a:ext uri="{FF2B5EF4-FFF2-40B4-BE49-F238E27FC236}">
              <a16:creationId xmlns:a16="http://schemas.microsoft.com/office/drawing/2014/main" id="{101AED65-ECCA-45E9-931E-8D53CE496252}"/>
            </a:ext>
          </a:extLst>
        </xdr:cNvPr>
        <xdr:cNvCxnSpPr/>
      </xdr:nvCxnSpPr>
      <xdr:spPr>
        <a:xfrm rot="5400000">
          <a:off x="5422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26</xdr:row>
      <xdr:rowOff>0</xdr:rowOff>
    </xdr:from>
    <xdr:to>
      <xdr:col>0</xdr:col>
      <xdr:colOff>825024</xdr:colOff>
      <xdr:row>26</xdr:row>
      <xdr:rowOff>8335</xdr:rowOff>
    </xdr:to>
    <xdr:cxnSp macro="">
      <xdr:nvCxnSpPr>
        <xdr:cNvPr id="20" name="3 Conector recto">
          <a:extLst>
            <a:ext uri="{FF2B5EF4-FFF2-40B4-BE49-F238E27FC236}">
              <a16:creationId xmlns:a16="http://schemas.microsoft.com/office/drawing/2014/main" id="{53A857BA-650D-4C85-BCD9-F4F1549E1123}"/>
            </a:ext>
          </a:extLst>
        </xdr:cNvPr>
        <xdr:cNvCxnSpPr/>
      </xdr:nvCxnSpPr>
      <xdr:spPr>
        <a:xfrm rot="5400000">
          <a:off x="5422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30</xdr:row>
      <xdr:rowOff>0</xdr:rowOff>
    </xdr:from>
    <xdr:to>
      <xdr:col>0</xdr:col>
      <xdr:colOff>825024</xdr:colOff>
      <xdr:row>30</xdr:row>
      <xdr:rowOff>13494</xdr:rowOff>
    </xdr:to>
    <xdr:cxnSp macro="">
      <xdr:nvCxnSpPr>
        <xdr:cNvPr id="21" name="3 Conector recto">
          <a:extLst>
            <a:ext uri="{FF2B5EF4-FFF2-40B4-BE49-F238E27FC236}">
              <a16:creationId xmlns:a16="http://schemas.microsoft.com/office/drawing/2014/main" id="{E1C6FA2B-4947-48AF-83D5-D193549C0349}"/>
            </a:ext>
          </a:extLst>
        </xdr:cNvPr>
        <xdr:cNvCxnSpPr/>
      </xdr:nvCxnSpPr>
      <xdr:spPr>
        <a:xfrm rot="5400000">
          <a:off x="539670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829786</xdr:colOff>
      <xdr:row>26</xdr:row>
      <xdr:rowOff>0</xdr:rowOff>
    </xdr:from>
    <xdr:to>
      <xdr:col>3</xdr:col>
      <xdr:colOff>831374</xdr:colOff>
      <xdr:row>26</xdr:row>
      <xdr:rowOff>8335</xdr:rowOff>
    </xdr:to>
    <xdr:cxnSp macro="">
      <xdr:nvCxnSpPr>
        <xdr:cNvPr id="22" name="3 Conector recto">
          <a:extLst>
            <a:ext uri="{FF2B5EF4-FFF2-40B4-BE49-F238E27FC236}">
              <a16:creationId xmlns:a16="http://schemas.microsoft.com/office/drawing/2014/main" id="{CC2B0AC2-1807-4994-BF24-E56A2CD4D56C}"/>
            </a:ext>
          </a:extLst>
        </xdr:cNvPr>
        <xdr:cNvCxnSpPr/>
      </xdr:nvCxnSpPr>
      <xdr:spPr>
        <a:xfrm rot="5400000">
          <a:off x="56095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829786</xdr:colOff>
      <xdr:row>26</xdr:row>
      <xdr:rowOff>0</xdr:rowOff>
    </xdr:from>
    <xdr:to>
      <xdr:col>3</xdr:col>
      <xdr:colOff>831374</xdr:colOff>
      <xdr:row>26</xdr:row>
      <xdr:rowOff>8335</xdr:rowOff>
    </xdr:to>
    <xdr:cxnSp macro="">
      <xdr:nvCxnSpPr>
        <xdr:cNvPr id="23" name="3 Conector recto">
          <a:extLst>
            <a:ext uri="{FF2B5EF4-FFF2-40B4-BE49-F238E27FC236}">
              <a16:creationId xmlns:a16="http://schemas.microsoft.com/office/drawing/2014/main" id="{294CC2E8-AC34-458F-BBAF-60B2CC78D119}"/>
            </a:ext>
          </a:extLst>
        </xdr:cNvPr>
        <xdr:cNvCxnSpPr/>
      </xdr:nvCxnSpPr>
      <xdr:spPr>
        <a:xfrm rot="5400000">
          <a:off x="56095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829786</xdr:colOff>
      <xdr:row>30</xdr:row>
      <xdr:rowOff>0</xdr:rowOff>
    </xdr:from>
    <xdr:to>
      <xdr:col>3</xdr:col>
      <xdr:colOff>831374</xdr:colOff>
      <xdr:row>30</xdr:row>
      <xdr:rowOff>13494</xdr:rowOff>
    </xdr:to>
    <xdr:cxnSp macro="">
      <xdr:nvCxnSpPr>
        <xdr:cNvPr id="24" name="3 Conector recto">
          <a:extLst>
            <a:ext uri="{FF2B5EF4-FFF2-40B4-BE49-F238E27FC236}">
              <a16:creationId xmlns:a16="http://schemas.microsoft.com/office/drawing/2014/main" id="{9A7227B7-D94D-4ABE-B16B-BAB691CBBEB1}"/>
            </a:ext>
          </a:extLst>
        </xdr:cNvPr>
        <xdr:cNvCxnSpPr/>
      </xdr:nvCxnSpPr>
      <xdr:spPr>
        <a:xfrm rot="5400000">
          <a:off x="5606970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823436</xdr:colOff>
      <xdr:row>26</xdr:row>
      <xdr:rowOff>0</xdr:rowOff>
    </xdr:from>
    <xdr:to>
      <xdr:col>3</xdr:col>
      <xdr:colOff>825024</xdr:colOff>
      <xdr:row>26</xdr:row>
      <xdr:rowOff>8335</xdr:rowOff>
    </xdr:to>
    <xdr:cxnSp macro="">
      <xdr:nvCxnSpPr>
        <xdr:cNvPr id="25" name="3 Conector recto">
          <a:extLst>
            <a:ext uri="{FF2B5EF4-FFF2-40B4-BE49-F238E27FC236}">
              <a16:creationId xmlns:a16="http://schemas.microsoft.com/office/drawing/2014/main" id="{D1758499-15CB-4E89-9EA9-CFDE1EADC6CF}"/>
            </a:ext>
          </a:extLst>
        </xdr:cNvPr>
        <xdr:cNvCxnSpPr/>
      </xdr:nvCxnSpPr>
      <xdr:spPr>
        <a:xfrm rot="5400000">
          <a:off x="560002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823436</xdr:colOff>
      <xdr:row>26</xdr:row>
      <xdr:rowOff>0</xdr:rowOff>
    </xdr:from>
    <xdr:to>
      <xdr:col>3</xdr:col>
      <xdr:colOff>825024</xdr:colOff>
      <xdr:row>26</xdr:row>
      <xdr:rowOff>8335</xdr:rowOff>
    </xdr:to>
    <xdr:cxnSp macro="">
      <xdr:nvCxnSpPr>
        <xdr:cNvPr id="26" name="3 Conector recto">
          <a:extLst>
            <a:ext uri="{FF2B5EF4-FFF2-40B4-BE49-F238E27FC236}">
              <a16:creationId xmlns:a16="http://schemas.microsoft.com/office/drawing/2014/main" id="{C65D51E6-4E27-49A0-AF49-0496A9E1E094}"/>
            </a:ext>
          </a:extLst>
        </xdr:cNvPr>
        <xdr:cNvCxnSpPr/>
      </xdr:nvCxnSpPr>
      <xdr:spPr>
        <a:xfrm rot="5400000">
          <a:off x="560002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823436</xdr:colOff>
      <xdr:row>30</xdr:row>
      <xdr:rowOff>0</xdr:rowOff>
    </xdr:from>
    <xdr:to>
      <xdr:col>3</xdr:col>
      <xdr:colOff>825024</xdr:colOff>
      <xdr:row>30</xdr:row>
      <xdr:rowOff>13494</xdr:rowOff>
    </xdr:to>
    <xdr:cxnSp macro="">
      <xdr:nvCxnSpPr>
        <xdr:cNvPr id="27" name="3 Conector recto">
          <a:extLst>
            <a:ext uri="{FF2B5EF4-FFF2-40B4-BE49-F238E27FC236}">
              <a16:creationId xmlns:a16="http://schemas.microsoft.com/office/drawing/2014/main" id="{494AD9F2-6453-418A-8E73-244F4039E2A1}"/>
            </a:ext>
          </a:extLst>
        </xdr:cNvPr>
        <xdr:cNvCxnSpPr/>
      </xdr:nvCxnSpPr>
      <xdr:spPr>
        <a:xfrm rot="5400000">
          <a:off x="5597445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829786</xdr:colOff>
      <xdr:row>41</xdr:row>
      <xdr:rowOff>0</xdr:rowOff>
    </xdr:from>
    <xdr:to>
      <xdr:col>3</xdr:col>
      <xdr:colOff>831374</xdr:colOff>
      <xdr:row>41</xdr:row>
      <xdr:rowOff>8335</xdr:rowOff>
    </xdr:to>
    <xdr:cxnSp macro="">
      <xdr:nvCxnSpPr>
        <xdr:cNvPr id="28" name="3 Conector recto">
          <a:extLst>
            <a:ext uri="{FF2B5EF4-FFF2-40B4-BE49-F238E27FC236}">
              <a16:creationId xmlns:a16="http://schemas.microsoft.com/office/drawing/2014/main" id="{6C1E0666-233A-436B-AEF3-0DF3FFE4CFB7}"/>
            </a:ext>
          </a:extLst>
        </xdr:cNvPr>
        <xdr:cNvCxnSpPr/>
      </xdr:nvCxnSpPr>
      <xdr:spPr>
        <a:xfrm rot="5400000">
          <a:off x="5609550" y="81266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829786</xdr:colOff>
      <xdr:row>41</xdr:row>
      <xdr:rowOff>0</xdr:rowOff>
    </xdr:from>
    <xdr:to>
      <xdr:col>3</xdr:col>
      <xdr:colOff>831374</xdr:colOff>
      <xdr:row>41</xdr:row>
      <xdr:rowOff>8335</xdr:rowOff>
    </xdr:to>
    <xdr:cxnSp macro="">
      <xdr:nvCxnSpPr>
        <xdr:cNvPr id="29" name="3 Conector recto">
          <a:extLst>
            <a:ext uri="{FF2B5EF4-FFF2-40B4-BE49-F238E27FC236}">
              <a16:creationId xmlns:a16="http://schemas.microsoft.com/office/drawing/2014/main" id="{D0CCCE86-7450-4591-A6DD-0AF962D03873}"/>
            </a:ext>
          </a:extLst>
        </xdr:cNvPr>
        <xdr:cNvCxnSpPr/>
      </xdr:nvCxnSpPr>
      <xdr:spPr>
        <a:xfrm rot="5400000">
          <a:off x="5609550" y="81266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829786</xdr:colOff>
      <xdr:row>42</xdr:row>
      <xdr:rowOff>0</xdr:rowOff>
    </xdr:from>
    <xdr:to>
      <xdr:col>3</xdr:col>
      <xdr:colOff>831374</xdr:colOff>
      <xdr:row>42</xdr:row>
      <xdr:rowOff>13494</xdr:rowOff>
    </xdr:to>
    <xdr:cxnSp macro="">
      <xdr:nvCxnSpPr>
        <xdr:cNvPr id="30" name="3 Conector recto">
          <a:extLst>
            <a:ext uri="{FF2B5EF4-FFF2-40B4-BE49-F238E27FC236}">
              <a16:creationId xmlns:a16="http://schemas.microsoft.com/office/drawing/2014/main" id="{79938665-0F78-4E65-961E-BB529B5FC2A3}"/>
            </a:ext>
          </a:extLst>
        </xdr:cNvPr>
        <xdr:cNvCxnSpPr/>
      </xdr:nvCxnSpPr>
      <xdr:spPr>
        <a:xfrm rot="5400000">
          <a:off x="5606970" y="83196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823436</xdr:colOff>
      <xdr:row>41</xdr:row>
      <xdr:rowOff>0</xdr:rowOff>
    </xdr:from>
    <xdr:to>
      <xdr:col>3</xdr:col>
      <xdr:colOff>825024</xdr:colOff>
      <xdr:row>41</xdr:row>
      <xdr:rowOff>8335</xdr:rowOff>
    </xdr:to>
    <xdr:cxnSp macro="">
      <xdr:nvCxnSpPr>
        <xdr:cNvPr id="31" name="3 Conector recto">
          <a:extLst>
            <a:ext uri="{FF2B5EF4-FFF2-40B4-BE49-F238E27FC236}">
              <a16:creationId xmlns:a16="http://schemas.microsoft.com/office/drawing/2014/main" id="{BD9AF2AC-E0D3-4896-8E35-940B2928258F}"/>
            </a:ext>
          </a:extLst>
        </xdr:cNvPr>
        <xdr:cNvCxnSpPr/>
      </xdr:nvCxnSpPr>
      <xdr:spPr>
        <a:xfrm rot="5400000">
          <a:off x="5600025" y="81266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823436</xdr:colOff>
      <xdr:row>41</xdr:row>
      <xdr:rowOff>0</xdr:rowOff>
    </xdr:from>
    <xdr:to>
      <xdr:col>3</xdr:col>
      <xdr:colOff>825024</xdr:colOff>
      <xdr:row>41</xdr:row>
      <xdr:rowOff>8335</xdr:rowOff>
    </xdr:to>
    <xdr:cxnSp macro="">
      <xdr:nvCxnSpPr>
        <xdr:cNvPr id="32" name="3 Conector recto">
          <a:extLst>
            <a:ext uri="{FF2B5EF4-FFF2-40B4-BE49-F238E27FC236}">
              <a16:creationId xmlns:a16="http://schemas.microsoft.com/office/drawing/2014/main" id="{2059B9BB-D91C-42A0-8AA1-9E5746264670}"/>
            </a:ext>
          </a:extLst>
        </xdr:cNvPr>
        <xdr:cNvCxnSpPr/>
      </xdr:nvCxnSpPr>
      <xdr:spPr>
        <a:xfrm rot="5400000">
          <a:off x="5600025" y="81266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823436</xdr:colOff>
      <xdr:row>42</xdr:row>
      <xdr:rowOff>0</xdr:rowOff>
    </xdr:from>
    <xdr:to>
      <xdr:col>3</xdr:col>
      <xdr:colOff>825024</xdr:colOff>
      <xdr:row>42</xdr:row>
      <xdr:rowOff>13494</xdr:rowOff>
    </xdr:to>
    <xdr:cxnSp macro="">
      <xdr:nvCxnSpPr>
        <xdr:cNvPr id="33" name="3 Conector recto">
          <a:extLst>
            <a:ext uri="{FF2B5EF4-FFF2-40B4-BE49-F238E27FC236}">
              <a16:creationId xmlns:a16="http://schemas.microsoft.com/office/drawing/2014/main" id="{BFC56374-D082-45DF-B5BC-878F3D6B98AE}"/>
            </a:ext>
          </a:extLst>
        </xdr:cNvPr>
        <xdr:cNvCxnSpPr/>
      </xdr:nvCxnSpPr>
      <xdr:spPr>
        <a:xfrm rot="5400000">
          <a:off x="5597445" y="83196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3</xdr:col>
      <xdr:colOff>1471612</xdr:colOff>
      <xdr:row>44</xdr:row>
      <xdr:rowOff>100012</xdr:rowOff>
    </xdr:from>
    <xdr:to>
      <xdr:col>4</xdr:col>
      <xdr:colOff>804862</xdr:colOff>
      <xdr:row>47</xdr:row>
      <xdr:rowOff>157161</xdr:rowOff>
    </xdr:to>
    <xdr:pic>
      <xdr:nvPicPr>
        <xdr:cNvPr id="2084256" name="Imagen 77">
          <a:extLst>
            <a:ext uri="{FF2B5EF4-FFF2-40B4-BE49-F238E27FC236}">
              <a16:creationId xmlns:a16="http://schemas.microsoft.com/office/drawing/2014/main" id="{BC9E8074-80F3-4B94-8C9C-60C508A863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43675" y="9601200"/>
          <a:ext cx="1023937" cy="6643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829786</xdr:colOff>
      <xdr:row>43</xdr:row>
      <xdr:rowOff>0</xdr:rowOff>
    </xdr:from>
    <xdr:to>
      <xdr:col>0</xdr:col>
      <xdr:colOff>831374</xdr:colOff>
      <xdr:row>43</xdr:row>
      <xdr:rowOff>13494</xdr:rowOff>
    </xdr:to>
    <xdr:cxnSp macro="">
      <xdr:nvCxnSpPr>
        <xdr:cNvPr id="2" name="3 Conector recto">
          <a:extLst>
            <a:ext uri="{FF2B5EF4-FFF2-40B4-BE49-F238E27FC236}">
              <a16:creationId xmlns:a16="http://schemas.microsoft.com/office/drawing/2014/main" id="{502197B9-3EE3-4BA5-8DE7-77CAD105F66F}"/>
            </a:ext>
          </a:extLst>
        </xdr:cNvPr>
        <xdr:cNvCxnSpPr/>
      </xdr:nvCxnSpPr>
      <xdr:spPr>
        <a:xfrm rot="5400000">
          <a:off x="549195" y="10386616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43</xdr:row>
      <xdr:rowOff>0</xdr:rowOff>
    </xdr:from>
    <xdr:to>
      <xdr:col>0</xdr:col>
      <xdr:colOff>831374</xdr:colOff>
      <xdr:row>43</xdr:row>
      <xdr:rowOff>13494</xdr:rowOff>
    </xdr:to>
    <xdr:cxnSp macro="">
      <xdr:nvCxnSpPr>
        <xdr:cNvPr id="3" name="3 Conector recto">
          <a:extLst>
            <a:ext uri="{FF2B5EF4-FFF2-40B4-BE49-F238E27FC236}">
              <a16:creationId xmlns:a16="http://schemas.microsoft.com/office/drawing/2014/main" id="{451AF86D-4E57-4224-A8A3-79425698A26A}"/>
            </a:ext>
          </a:extLst>
        </xdr:cNvPr>
        <xdr:cNvCxnSpPr/>
      </xdr:nvCxnSpPr>
      <xdr:spPr>
        <a:xfrm rot="5400000">
          <a:off x="549195" y="10386616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44</xdr:row>
      <xdr:rowOff>0</xdr:rowOff>
    </xdr:from>
    <xdr:to>
      <xdr:col>0</xdr:col>
      <xdr:colOff>831374</xdr:colOff>
      <xdr:row>44</xdr:row>
      <xdr:rowOff>8335</xdr:rowOff>
    </xdr:to>
    <xdr:cxnSp macro="">
      <xdr:nvCxnSpPr>
        <xdr:cNvPr id="4" name="3 Conector recto">
          <a:extLst>
            <a:ext uri="{FF2B5EF4-FFF2-40B4-BE49-F238E27FC236}">
              <a16:creationId xmlns:a16="http://schemas.microsoft.com/office/drawing/2014/main" id="{B827037B-C477-46F5-88D9-3452BBBFABD1}"/>
            </a:ext>
          </a:extLst>
        </xdr:cNvPr>
        <xdr:cNvCxnSpPr/>
      </xdr:nvCxnSpPr>
      <xdr:spPr>
        <a:xfrm rot="5400000">
          <a:off x="551775" y="10574536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8335</xdr:rowOff>
    </xdr:to>
    <xdr:cxnSp macro="">
      <xdr:nvCxnSpPr>
        <xdr:cNvPr id="5" name="3 Conector recto">
          <a:extLst>
            <a:ext uri="{FF2B5EF4-FFF2-40B4-BE49-F238E27FC236}">
              <a16:creationId xmlns:a16="http://schemas.microsoft.com/office/drawing/2014/main" id="{0A2AC9DB-38C5-42C5-8E5F-1870A98F2480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8335</xdr:rowOff>
    </xdr:to>
    <xdr:cxnSp macro="">
      <xdr:nvCxnSpPr>
        <xdr:cNvPr id="6" name="3 Conector recto">
          <a:extLst>
            <a:ext uri="{FF2B5EF4-FFF2-40B4-BE49-F238E27FC236}">
              <a16:creationId xmlns:a16="http://schemas.microsoft.com/office/drawing/2014/main" id="{D8B093DA-0FF2-4BDC-800E-AEA8108DBE77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30</xdr:row>
      <xdr:rowOff>0</xdr:rowOff>
    </xdr:from>
    <xdr:to>
      <xdr:col>0</xdr:col>
      <xdr:colOff>831374</xdr:colOff>
      <xdr:row>30</xdr:row>
      <xdr:rowOff>13494</xdr:rowOff>
    </xdr:to>
    <xdr:cxnSp macro="">
      <xdr:nvCxnSpPr>
        <xdr:cNvPr id="7" name="3 Conector recto">
          <a:extLst>
            <a:ext uri="{FF2B5EF4-FFF2-40B4-BE49-F238E27FC236}">
              <a16:creationId xmlns:a16="http://schemas.microsoft.com/office/drawing/2014/main" id="{A675E076-1650-48B4-ACBC-C5DDDE941061}"/>
            </a:ext>
          </a:extLst>
        </xdr:cNvPr>
        <xdr:cNvCxnSpPr/>
      </xdr:nvCxnSpPr>
      <xdr:spPr>
        <a:xfrm rot="5400000">
          <a:off x="549195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0</xdr:colOff>
      <xdr:row>0</xdr:row>
      <xdr:rowOff>285750</xdr:rowOff>
    </xdr:from>
    <xdr:to>
      <xdr:col>1</xdr:col>
      <xdr:colOff>928687</xdr:colOff>
      <xdr:row>4</xdr:row>
      <xdr:rowOff>23812</xdr:rowOff>
    </xdr:to>
    <xdr:pic>
      <xdr:nvPicPr>
        <xdr:cNvPr id="2085254" name="Imagen 18">
          <a:extLst>
            <a:ext uri="{FF2B5EF4-FFF2-40B4-BE49-F238E27FC236}">
              <a16:creationId xmlns:a16="http://schemas.microsoft.com/office/drawing/2014/main" id="{35F6AE31-B936-4915-BDD1-65749C37B3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0"/>
          <a:ext cx="2619375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800100</xdr:colOff>
      <xdr:row>0</xdr:row>
      <xdr:rowOff>390525</xdr:rowOff>
    </xdr:from>
    <xdr:to>
      <xdr:col>5</xdr:col>
      <xdr:colOff>1447800</xdr:colOff>
      <xdr:row>4</xdr:row>
      <xdr:rowOff>47625</xdr:rowOff>
    </xdr:to>
    <xdr:pic>
      <xdr:nvPicPr>
        <xdr:cNvPr id="2085255" name="Imagen 19">
          <a:extLst>
            <a:ext uri="{FF2B5EF4-FFF2-40B4-BE49-F238E27FC236}">
              <a16:creationId xmlns:a16="http://schemas.microsoft.com/office/drawing/2014/main" id="{49B5A4D8-7833-42AB-A4B5-06C3D0B8EB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0" y="390525"/>
          <a:ext cx="1666875" cy="923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8335</xdr:rowOff>
    </xdr:to>
    <xdr:cxnSp macro="">
      <xdr:nvCxnSpPr>
        <xdr:cNvPr id="10" name="3 Conector recto">
          <a:extLst>
            <a:ext uri="{FF2B5EF4-FFF2-40B4-BE49-F238E27FC236}">
              <a16:creationId xmlns:a16="http://schemas.microsoft.com/office/drawing/2014/main" id="{9F03202F-2A95-487F-908C-6C0B0AF6B2CD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8335</xdr:rowOff>
    </xdr:to>
    <xdr:cxnSp macro="">
      <xdr:nvCxnSpPr>
        <xdr:cNvPr id="11" name="3 Conector recto">
          <a:extLst>
            <a:ext uri="{FF2B5EF4-FFF2-40B4-BE49-F238E27FC236}">
              <a16:creationId xmlns:a16="http://schemas.microsoft.com/office/drawing/2014/main" id="{FEE90BFB-5023-4374-9C10-08AD54AFD658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30</xdr:row>
      <xdr:rowOff>0</xdr:rowOff>
    </xdr:from>
    <xdr:to>
      <xdr:col>0</xdr:col>
      <xdr:colOff>831374</xdr:colOff>
      <xdr:row>30</xdr:row>
      <xdr:rowOff>13494</xdr:rowOff>
    </xdr:to>
    <xdr:cxnSp macro="">
      <xdr:nvCxnSpPr>
        <xdr:cNvPr id="12" name="3 Conector recto">
          <a:extLst>
            <a:ext uri="{FF2B5EF4-FFF2-40B4-BE49-F238E27FC236}">
              <a16:creationId xmlns:a16="http://schemas.microsoft.com/office/drawing/2014/main" id="{019FCADE-680D-41CC-B5D2-C82F7D861719}"/>
            </a:ext>
          </a:extLst>
        </xdr:cNvPr>
        <xdr:cNvCxnSpPr/>
      </xdr:nvCxnSpPr>
      <xdr:spPr>
        <a:xfrm rot="5400000">
          <a:off x="549195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26</xdr:row>
      <xdr:rowOff>0</xdr:rowOff>
    </xdr:from>
    <xdr:to>
      <xdr:col>0</xdr:col>
      <xdr:colOff>825024</xdr:colOff>
      <xdr:row>26</xdr:row>
      <xdr:rowOff>8335</xdr:rowOff>
    </xdr:to>
    <xdr:cxnSp macro="">
      <xdr:nvCxnSpPr>
        <xdr:cNvPr id="13" name="3 Conector recto">
          <a:extLst>
            <a:ext uri="{FF2B5EF4-FFF2-40B4-BE49-F238E27FC236}">
              <a16:creationId xmlns:a16="http://schemas.microsoft.com/office/drawing/2014/main" id="{3D727170-D68D-413F-97AD-FF4964DB98FC}"/>
            </a:ext>
          </a:extLst>
        </xdr:cNvPr>
        <xdr:cNvCxnSpPr/>
      </xdr:nvCxnSpPr>
      <xdr:spPr>
        <a:xfrm rot="5400000">
          <a:off x="5422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26</xdr:row>
      <xdr:rowOff>0</xdr:rowOff>
    </xdr:from>
    <xdr:to>
      <xdr:col>0</xdr:col>
      <xdr:colOff>825024</xdr:colOff>
      <xdr:row>26</xdr:row>
      <xdr:rowOff>8335</xdr:rowOff>
    </xdr:to>
    <xdr:cxnSp macro="">
      <xdr:nvCxnSpPr>
        <xdr:cNvPr id="14" name="3 Conector recto">
          <a:extLst>
            <a:ext uri="{FF2B5EF4-FFF2-40B4-BE49-F238E27FC236}">
              <a16:creationId xmlns:a16="http://schemas.microsoft.com/office/drawing/2014/main" id="{44423513-D54A-4A44-91F2-71D335CF4075}"/>
            </a:ext>
          </a:extLst>
        </xdr:cNvPr>
        <xdr:cNvCxnSpPr/>
      </xdr:nvCxnSpPr>
      <xdr:spPr>
        <a:xfrm rot="5400000">
          <a:off x="5422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30</xdr:row>
      <xdr:rowOff>0</xdr:rowOff>
    </xdr:from>
    <xdr:to>
      <xdr:col>0</xdr:col>
      <xdr:colOff>825024</xdr:colOff>
      <xdr:row>30</xdr:row>
      <xdr:rowOff>13494</xdr:rowOff>
    </xdr:to>
    <xdr:cxnSp macro="">
      <xdr:nvCxnSpPr>
        <xdr:cNvPr id="15" name="3 Conector recto">
          <a:extLst>
            <a:ext uri="{FF2B5EF4-FFF2-40B4-BE49-F238E27FC236}">
              <a16:creationId xmlns:a16="http://schemas.microsoft.com/office/drawing/2014/main" id="{AB3EF2BF-8BE9-41CB-8415-695BF15DE171}"/>
            </a:ext>
          </a:extLst>
        </xdr:cNvPr>
        <xdr:cNvCxnSpPr/>
      </xdr:nvCxnSpPr>
      <xdr:spPr>
        <a:xfrm rot="5400000">
          <a:off x="539670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8335</xdr:rowOff>
    </xdr:to>
    <xdr:cxnSp macro="">
      <xdr:nvCxnSpPr>
        <xdr:cNvPr id="16" name="3 Conector recto">
          <a:extLst>
            <a:ext uri="{FF2B5EF4-FFF2-40B4-BE49-F238E27FC236}">
              <a16:creationId xmlns:a16="http://schemas.microsoft.com/office/drawing/2014/main" id="{3D5EE96E-6853-498C-A6C7-F5695F53EB65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8335</xdr:rowOff>
    </xdr:to>
    <xdr:cxnSp macro="">
      <xdr:nvCxnSpPr>
        <xdr:cNvPr id="17" name="3 Conector recto">
          <a:extLst>
            <a:ext uri="{FF2B5EF4-FFF2-40B4-BE49-F238E27FC236}">
              <a16:creationId xmlns:a16="http://schemas.microsoft.com/office/drawing/2014/main" id="{A0D593E5-E53B-45D5-BFE1-8BC6BAFAFEE4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30</xdr:row>
      <xdr:rowOff>0</xdr:rowOff>
    </xdr:from>
    <xdr:to>
      <xdr:col>0</xdr:col>
      <xdr:colOff>831374</xdr:colOff>
      <xdr:row>30</xdr:row>
      <xdr:rowOff>13494</xdr:rowOff>
    </xdr:to>
    <xdr:cxnSp macro="">
      <xdr:nvCxnSpPr>
        <xdr:cNvPr id="18" name="3 Conector recto">
          <a:extLst>
            <a:ext uri="{FF2B5EF4-FFF2-40B4-BE49-F238E27FC236}">
              <a16:creationId xmlns:a16="http://schemas.microsoft.com/office/drawing/2014/main" id="{4A148B83-E289-49DE-9D04-A612DD5F8072}"/>
            </a:ext>
          </a:extLst>
        </xdr:cNvPr>
        <xdr:cNvCxnSpPr/>
      </xdr:nvCxnSpPr>
      <xdr:spPr>
        <a:xfrm rot="5400000">
          <a:off x="549195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26</xdr:row>
      <xdr:rowOff>0</xdr:rowOff>
    </xdr:from>
    <xdr:to>
      <xdr:col>0</xdr:col>
      <xdr:colOff>825024</xdr:colOff>
      <xdr:row>26</xdr:row>
      <xdr:rowOff>8335</xdr:rowOff>
    </xdr:to>
    <xdr:cxnSp macro="">
      <xdr:nvCxnSpPr>
        <xdr:cNvPr id="19" name="3 Conector recto">
          <a:extLst>
            <a:ext uri="{FF2B5EF4-FFF2-40B4-BE49-F238E27FC236}">
              <a16:creationId xmlns:a16="http://schemas.microsoft.com/office/drawing/2014/main" id="{CBA11D22-8085-4A80-98F2-F9798CCC0A61}"/>
            </a:ext>
          </a:extLst>
        </xdr:cNvPr>
        <xdr:cNvCxnSpPr/>
      </xdr:nvCxnSpPr>
      <xdr:spPr>
        <a:xfrm rot="5400000">
          <a:off x="5422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26</xdr:row>
      <xdr:rowOff>0</xdr:rowOff>
    </xdr:from>
    <xdr:to>
      <xdr:col>0</xdr:col>
      <xdr:colOff>825024</xdr:colOff>
      <xdr:row>26</xdr:row>
      <xdr:rowOff>8335</xdr:rowOff>
    </xdr:to>
    <xdr:cxnSp macro="">
      <xdr:nvCxnSpPr>
        <xdr:cNvPr id="20" name="3 Conector recto">
          <a:extLst>
            <a:ext uri="{FF2B5EF4-FFF2-40B4-BE49-F238E27FC236}">
              <a16:creationId xmlns:a16="http://schemas.microsoft.com/office/drawing/2014/main" id="{B04AA986-DC9B-4B97-B0B0-33EA1C0E5636}"/>
            </a:ext>
          </a:extLst>
        </xdr:cNvPr>
        <xdr:cNvCxnSpPr/>
      </xdr:nvCxnSpPr>
      <xdr:spPr>
        <a:xfrm rot="5400000">
          <a:off x="5422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30</xdr:row>
      <xdr:rowOff>0</xdr:rowOff>
    </xdr:from>
    <xdr:to>
      <xdr:col>0</xdr:col>
      <xdr:colOff>825024</xdr:colOff>
      <xdr:row>30</xdr:row>
      <xdr:rowOff>13494</xdr:rowOff>
    </xdr:to>
    <xdr:cxnSp macro="">
      <xdr:nvCxnSpPr>
        <xdr:cNvPr id="21" name="3 Conector recto">
          <a:extLst>
            <a:ext uri="{FF2B5EF4-FFF2-40B4-BE49-F238E27FC236}">
              <a16:creationId xmlns:a16="http://schemas.microsoft.com/office/drawing/2014/main" id="{36CB471E-C7A4-428D-84AB-EA640A931FC0}"/>
            </a:ext>
          </a:extLst>
        </xdr:cNvPr>
        <xdr:cNvCxnSpPr/>
      </xdr:nvCxnSpPr>
      <xdr:spPr>
        <a:xfrm rot="5400000">
          <a:off x="539670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829786</xdr:colOff>
      <xdr:row>26</xdr:row>
      <xdr:rowOff>0</xdr:rowOff>
    </xdr:from>
    <xdr:to>
      <xdr:col>3</xdr:col>
      <xdr:colOff>831374</xdr:colOff>
      <xdr:row>26</xdr:row>
      <xdr:rowOff>8335</xdr:rowOff>
    </xdr:to>
    <xdr:cxnSp macro="">
      <xdr:nvCxnSpPr>
        <xdr:cNvPr id="22" name="3 Conector recto">
          <a:extLst>
            <a:ext uri="{FF2B5EF4-FFF2-40B4-BE49-F238E27FC236}">
              <a16:creationId xmlns:a16="http://schemas.microsoft.com/office/drawing/2014/main" id="{AF9E3FE2-1B11-4781-8568-ADCB537CCFE2}"/>
            </a:ext>
          </a:extLst>
        </xdr:cNvPr>
        <xdr:cNvCxnSpPr/>
      </xdr:nvCxnSpPr>
      <xdr:spPr>
        <a:xfrm rot="5400000">
          <a:off x="56095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829786</xdr:colOff>
      <xdr:row>26</xdr:row>
      <xdr:rowOff>0</xdr:rowOff>
    </xdr:from>
    <xdr:to>
      <xdr:col>3</xdr:col>
      <xdr:colOff>831374</xdr:colOff>
      <xdr:row>26</xdr:row>
      <xdr:rowOff>8335</xdr:rowOff>
    </xdr:to>
    <xdr:cxnSp macro="">
      <xdr:nvCxnSpPr>
        <xdr:cNvPr id="23" name="3 Conector recto">
          <a:extLst>
            <a:ext uri="{FF2B5EF4-FFF2-40B4-BE49-F238E27FC236}">
              <a16:creationId xmlns:a16="http://schemas.microsoft.com/office/drawing/2014/main" id="{E9377A04-165E-475B-A016-0A2D0E83ABDE}"/>
            </a:ext>
          </a:extLst>
        </xdr:cNvPr>
        <xdr:cNvCxnSpPr/>
      </xdr:nvCxnSpPr>
      <xdr:spPr>
        <a:xfrm rot="5400000">
          <a:off x="56095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829786</xdr:colOff>
      <xdr:row>30</xdr:row>
      <xdr:rowOff>0</xdr:rowOff>
    </xdr:from>
    <xdr:to>
      <xdr:col>3</xdr:col>
      <xdr:colOff>831374</xdr:colOff>
      <xdr:row>30</xdr:row>
      <xdr:rowOff>13494</xdr:rowOff>
    </xdr:to>
    <xdr:cxnSp macro="">
      <xdr:nvCxnSpPr>
        <xdr:cNvPr id="24" name="3 Conector recto">
          <a:extLst>
            <a:ext uri="{FF2B5EF4-FFF2-40B4-BE49-F238E27FC236}">
              <a16:creationId xmlns:a16="http://schemas.microsoft.com/office/drawing/2014/main" id="{E6E522AB-F2F2-40E1-AD45-E876E8444AD0}"/>
            </a:ext>
          </a:extLst>
        </xdr:cNvPr>
        <xdr:cNvCxnSpPr/>
      </xdr:nvCxnSpPr>
      <xdr:spPr>
        <a:xfrm rot="5400000">
          <a:off x="5606970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823436</xdr:colOff>
      <xdr:row>26</xdr:row>
      <xdr:rowOff>0</xdr:rowOff>
    </xdr:from>
    <xdr:to>
      <xdr:col>3</xdr:col>
      <xdr:colOff>825024</xdr:colOff>
      <xdr:row>26</xdr:row>
      <xdr:rowOff>8335</xdr:rowOff>
    </xdr:to>
    <xdr:cxnSp macro="">
      <xdr:nvCxnSpPr>
        <xdr:cNvPr id="25" name="3 Conector recto">
          <a:extLst>
            <a:ext uri="{FF2B5EF4-FFF2-40B4-BE49-F238E27FC236}">
              <a16:creationId xmlns:a16="http://schemas.microsoft.com/office/drawing/2014/main" id="{F2931A3A-FC3A-4485-BB4D-0845B042D403}"/>
            </a:ext>
          </a:extLst>
        </xdr:cNvPr>
        <xdr:cNvCxnSpPr/>
      </xdr:nvCxnSpPr>
      <xdr:spPr>
        <a:xfrm rot="5400000">
          <a:off x="560002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823436</xdr:colOff>
      <xdr:row>26</xdr:row>
      <xdr:rowOff>0</xdr:rowOff>
    </xdr:from>
    <xdr:to>
      <xdr:col>3</xdr:col>
      <xdr:colOff>825024</xdr:colOff>
      <xdr:row>26</xdr:row>
      <xdr:rowOff>8335</xdr:rowOff>
    </xdr:to>
    <xdr:cxnSp macro="">
      <xdr:nvCxnSpPr>
        <xdr:cNvPr id="26" name="3 Conector recto">
          <a:extLst>
            <a:ext uri="{FF2B5EF4-FFF2-40B4-BE49-F238E27FC236}">
              <a16:creationId xmlns:a16="http://schemas.microsoft.com/office/drawing/2014/main" id="{D10C3824-CFD8-4BBB-B67B-45B652EFD664}"/>
            </a:ext>
          </a:extLst>
        </xdr:cNvPr>
        <xdr:cNvCxnSpPr/>
      </xdr:nvCxnSpPr>
      <xdr:spPr>
        <a:xfrm rot="5400000">
          <a:off x="560002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823436</xdr:colOff>
      <xdr:row>30</xdr:row>
      <xdr:rowOff>0</xdr:rowOff>
    </xdr:from>
    <xdr:to>
      <xdr:col>3</xdr:col>
      <xdr:colOff>825024</xdr:colOff>
      <xdr:row>30</xdr:row>
      <xdr:rowOff>13494</xdr:rowOff>
    </xdr:to>
    <xdr:cxnSp macro="">
      <xdr:nvCxnSpPr>
        <xdr:cNvPr id="27" name="3 Conector recto">
          <a:extLst>
            <a:ext uri="{FF2B5EF4-FFF2-40B4-BE49-F238E27FC236}">
              <a16:creationId xmlns:a16="http://schemas.microsoft.com/office/drawing/2014/main" id="{7C294117-EA51-4F88-8C6B-6477FFEEDDAA}"/>
            </a:ext>
          </a:extLst>
        </xdr:cNvPr>
        <xdr:cNvCxnSpPr/>
      </xdr:nvCxnSpPr>
      <xdr:spPr>
        <a:xfrm rot="5400000">
          <a:off x="5597445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829786</xdr:colOff>
      <xdr:row>41</xdr:row>
      <xdr:rowOff>0</xdr:rowOff>
    </xdr:from>
    <xdr:to>
      <xdr:col>3</xdr:col>
      <xdr:colOff>831374</xdr:colOff>
      <xdr:row>41</xdr:row>
      <xdr:rowOff>8335</xdr:rowOff>
    </xdr:to>
    <xdr:cxnSp macro="">
      <xdr:nvCxnSpPr>
        <xdr:cNvPr id="28" name="3 Conector recto">
          <a:extLst>
            <a:ext uri="{FF2B5EF4-FFF2-40B4-BE49-F238E27FC236}">
              <a16:creationId xmlns:a16="http://schemas.microsoft.com/office/drawing/2014/main" id="{FCAFB760-CD0D-459B-B76C-B6FECA6284CC}"/>
            </a:ext>
          </a:extLst>
        </xdr:cNvPr>
        <xdr:cNvCxnSpPr/>
      </xdr:nvCxnSpPr>
      <xdr:spPr>
        <a:xfrm rot="5400000">
          <a:off x="5609550" y="8098036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829786</xdr:colOff>
      <xdr:row>41</xdr:row>
      <xdr:rowOff>0</xdr:rowOff>
    </xdr:from>
    <xdr:to>
      <xdr:col>3</xdr:col>
      <xdr:colOff>831374</xdr:colOff>
      <xdr:row>41</xdr:row>
      <xdr:rowOff>8335</xdr:rowOff>
    </xdr:to>
    <xdr:cxnSp macro="">
      <xdr:nvCxnSpPr>
        <xdr:cNvPr id="29" name="3 Conector recto">
          <a:extLst>
            <a:ext uri="{FF2B5EF4-FFF2-40B4-BE49-F238E27FC236}">
              <a16:creationId xmlns:a16="http://schemas.microsoft.com/office/drawing/2014/main" id="{9517AC8F-96F1-4065-B66D-9A50E92C2623}"/>
            </a:ext>
          </a:extLst>
        </xdr:cNvPr>
        <xdr:cNvCxnSpPr/>
      </xdr:nvCxnSpPr>
      <xdr:spPr>
        <a:xfrm rot="5400000">
          <a:off x="5609550" y="8098036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829786</xdr:colOff>
      <xdr:row>42</xdr:row>
      <xdr:rowOff>0</xdr:rowOff>
    </xdr:from>
    <xdr:to>
      <xdr:col>3</xdr:col>
      <xdr:colOff>831374</xdr:colOff>
      <xdr:row>42</xdr:row>
      <xdr:rowOff>13494</xdr:rowOff>
    </xdr:to>
    <xdr:cxnSp macro="">
      <xdr:nvCxnSpPr>
        <xdr:cNvPr id="30" name="3 Conector recto">
          <a:extLst>
            <a:ext uri="{FF2B5EF4-FFF2-40B4-BE49-F238E27FC236}">
              <a16:creationId xmlns:a16="http://schemas.microsoft.com/office/drawing/2014/main" id="{2F9BBA4E-DD40-458E-B99D-9C59CAA38C3C}"/>
            </a:ext>
          </a:extLst>
        </xdr:cNvPr>
        <xdr:cNvCxnSpPr/>
      </xdr:nvCxnSpPr>
      <xdr:spPr>
        <a:xfrm rot="5400000">
          <a:off x="5606970" y="8291116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823436</xdr:colOff>
      <xdr:row>41</xdr:row>
      <xdr:rowOff>0</xdr:rowOff>
    </xdr:from>
    <xdr:to>
      <xdr:col>3</xdr:col>
      <xdr:colOff>825024</xdr:colOff>
      <xdr:row>41</xdr:row>
      <xdr:rowOff>8335</xdr:rowOff>
    </xdr:to>
    <xdr:cxnSp macro="">
      <xdr:nvCxnSpPr>
        <xdr:cNvPr id="31" name="3 Conector recto">
          <a:extLst>
            <a:ext uri="{FF2B5EF4-FFF2-40B4-BE49-F238E27FC236}">
              <a16:creationId xmlns:a16="http://schemas.microsoft.com/office/drawing/2014/main" id="{D7B28BBD-D606-4F30-AD1D-D9C1766FD800}"/>
            </a:ext>
          </a:extLst>
        </xdr:cNvPr>
        <xdr:cNvCxnSpPr/>
      </xdr:nvCxnSpPr>
      <xdr:spPr>
        <a:xfrm rot="5400000">
          <a:off x="5600025" y="8098036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823436</xdr:colOff>
      <xdr:row>41</xdr:row>
      <xdr:rowOff>0</xdr:rowOff>
    </xdr:from>
    <xdr:to>
      <xdr:col>3</xdr:col>
      <xdr:colOff>825024</xdr:colOff>
      <xdr:row>41</xdr:row>
      <xdr:rowOff>8335</xdr:rowOff>
    </xdr:to>
    <xdr:cxnSp macro="">
      <xdr:nvCxnSpPr>
        <xdr:cNvPr id="32" name="3 Conector recto">
          <a:extLst>
            <a:ext uri="{FF2B5EF4-FFF2-40B4-BE49-F238E27FC236}">
              <a16:creationId xmlns:a16="http://schemas.microsoft.com/office/drawing/2014/main" id="{65E1CF33-63E3-466A-88DA-68A153DBD8EC}"/>
            </a:ext>
          </a:extLst>
        </xdr:cNvPr>
        <xdr:cNvCxnSpPr/>
      </xdr:nvCxnSpPr>
      <xdr:spPr>
        <a:xfrm rot="5400000">
          <a:off x="5600025" y="8098036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823436</xdr:colOff>
      <xdr:row>42</xdr:row>
      <xdr:rowOff>0</xdr:rowOff>
    </xdr:from>
    <xdr:to>
      <xdr:col>3</xdr:col>
      <xdr:colOff>825024</xdr:colOff>
      <xdr:row>42</xdr:row>
      <xdr:rowOff>13494</xdr:rowOff>
    </xdr:to>
    <xdr:cxnSp macro="">
      <xdr:nvCxnSpPr>
        <xdr:cNvPr id="33" name="3 Conector recto">
          <a:extLst>
            <a:ext uri="{FF2B5EF4-FFF2-40B4-BE49-F238E27FC236}">
              <a16:creationId xmlns:a16="http://schemas.microsoft.com/office/drawing/2014/main" id="{80170DA6-20E9-456F-9AD3-FC1876C0420C}"/>
            </a:ext>
          </a:extLst>
        </xdr:cNvPr>
        <xdr:cNvCxnSpPr/>
      </xdr:nvCxnSpPr>
      <xdr:spPr>
        <a:xfrm rot="5400000">
          <a:off x="5597445" y="8291116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3</xdr:col>
      <xdr:colOff>1331118</xdr:colOff>
      <xdr:row>43</xdr:row>
      <xdr:rowOff>109538</xdr:rowOff>
    </xdr:from>
    <xdr:to>
      <xdr:col>4</xdr:col>
      <xdr:colOff>511968</xdr:colOff>
      <xdr:row>47</xdr:row>
      <xdr:rowOff>30956</xdr:rowOff>
    </xdr:to>
    <xdr:pic>
      <xdr:nvPicPr>
        <xdr:cNvPr id="2085280" name="Imagen 77">
          <a:extLst>
            <a:ext uri="{FF2B5EF4-FFF2-40B4-BE49-F238E27FC236}">
              <a16:creationId xmlns:a16="http://schemas.microsoft.com/office/drawing/2014/main" id="{0E4F22EF-3B4B-4C7A-8D77-B308DB576B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03181" y="9408319"/>
          <a:ext cx="871537" cy="7310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829786</xdr:colOff>
      <xdr:row>43</xdr:row>
      <xdr:rowOff>0</xdr:rowOff>
    </xdr:from>
    <xdr:to>
      <xdr:col>0</xdr:col>
      <xdr:colOff>831374</xdr:colOff>
      <xdr:row>43</xdr:row>
      <xdr:rowOff>13494</xdr:rowOff>
    </xdr:to>
    <xdr:cxnSp macro="">
      <xdr:nvCxnSpPr>
        <xdr:cNvPr id="2" name="3 Conector recto">
          <a:extLst>
            <a:ext uri="{FF2B5EF4-FFF2-40B4-BE49-F238E27FC236}">
              <a16:creationId xmlns:a16="http://schemas.microsoft.com/office/drawing/2014/main" id="{91E71225-9145-4851-A0ED-7F1230192D5F}"/>
            </a:ext>
          </a:extLst>
        </xdr:cNvPr>
        <xdr:cNvCxnSpPr/>
      </xdr:nvCxnSpPr>
      <xdr:spPr>
        <a:xfrm rot="5400000">
          <a:off x="549195" y="10386616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43</xdr:row>
      <xdr:rowOff>0</xdr:rowOff>
    </xdr:from>
    <xdr:to>
      <xdr:col>0</xdr:col>
      <xdr:colOff>831374</xdr:colOff>
      <xdr:row>43</xdr:row>
      <xdr:rowOff>13494</xdr:rowOff>
    </xdr:to>
    <xdr:cxnSp macro="">
      <xdr:nvCxnSpPr>
        <xdr:cNvPr id="3" name="3 Conector recto">
          <a:extLst>
            <a:ext uri="{FF2B5EF4-FFF2-40B4-BE49-F238E27FC236}">
              <a16:creationId xmlns:a16="http://schemas.microsoft.com/office/drawing/2014/main" id="{ECE25C67-EAD1-44F0-8378-C20983090BC8}"/>
            </a:ext>
          </a:extLst>
        </xdr:cNvPr>
        <xdr:cNvCxnSpPr/>
      </xdr:nvCxnSpPr>
      <xdr:spPr>
        <a:xfrm rot="5400000">
          <a:off x="549195" y="10386616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44</xdr:row>
      <xdr:rowOff>0</xdr:rowOff>
    </xdr:from>
    <xdr:to>
      <xdr:col>0</xdr:col>
      <xdr:colOff>831374</xdr:colOff>
      <xdr:row>44</xdr:row>
      <xdr:rowOff>8335</xdr:rowOff>
    </xdr:to>
    <xdr:cxnSp macro="">
      <xdr:nvCxnSpPr>
        <xdr:cNvPr id="4" name="3 Conector recto">
          <a:extLst>
            <a:ext uri="{FF2B5EF4-FFF2-40B4-BE49-F238E27FC236}">
              <a16:creationId xmlns:a16="http://schemas.microsoft.com/office/drawing/2014/main" id="{14F2FEC8-9883-4ABB-B879-71FC23C93ABB}"/>
            </a:ext>
          </a:extLst>
        </xdr:cNvPr>
        <xdr:cNvCxnSpPr/>
      </xdr:nvCxnSpPr>
      <xdr:spPr>
        <a:xfrm rot="5400000">
          <a:off x="551775" y="10574536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16670</xdr:rowOff>
    </xdr:to>
    <xdr:cxnSp macro="">
      <xdr:nvCxnSpPr>
        <xdr:cNvPr id="5" name="3 Conector recto">
          <a:extLst>
            <a:ext uri="{FF2B5EF4-FFF2-40B4-BE49-F238E27FC236}">
              <a16:creationId xmlns:a16="http://schemas.microsoft.com/office/drawing/2014/main" id="{6F57C2E8-D603-44D4-B9DC-C07D87B727A1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16670</xdr:rowOff>
    </xdr:to>
    <xdr:cxnSp macro="">
      <xdr:nvCxnSpPr>
        <xdr:cNvPr id="6" name="3 Conector recto">
          <a:extLst>
            <a:ext uri="{FF2B5EF4-FFF2-40B4-BE49-F238E27FC236}">
              <a16:creationId xmlns:a16="http://schemas.microsoft.com/office/drawing/2014/main" id="{BA4DF07A-732D-47D6-B061-F13FC1A74A0C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0</xdr:colOff>
      <xdr:row>0</xdr:row>
      <xdr:rowOff>285750</xdr:rowOff>
    </xdr:from>
    <xdr:to>
      <xdr:col>1</xdr:col>
      <xdr:colOff>1228725</xdr:colOff>
      <xdr:row>4</xdr:row>
      <xdr:rowOff>23812</xdr:rowOff>
    </xdr:to>
    <xdr:pic>
      <xdr:nvPicPr>
        <xdr:cNvPr id="2086278" name="Imagen 18">
          <a:extLst>
            <a:ext uri="{FF2B5EF4-FFF2-40B4-BE49-F238E27FC236}">
              <a16:creationId xmlns:a16="http://schemas.microsoft.com/office/drawing/2014/main" id="{943442EB-FB58-4D15-8734-11E492ED54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0"/>
          <a:ext cx="29146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800100</xdr:colOff>
      <xdr:row>0</xdr:row>
      <xdr:rowOff>390525</xdr:rowOff>
    </xdr:from>
    <xdr:to>
      <xdr:col>5</xdr:col>
      <xdr:colOff>1447800</xdr:colOff>
      <xdr:row>4</xdr:row>
      <xdr:rowOff>47625</xdr:rowOff>
    </xdr:to>
    <xdr:pic>
      <xdr:nvPicPr>
        <xdr:cNvPr id="2086279" name="Imagen 19">
          <a:extLst>
            <a:ext uri="{FF2B5EF4-FFF2-40B4-BE49-F238E27FC236}">
              <a16:creationId xmlns:a16="http://schemas.microsoft.com/office/drawing/2014/main" id="{332927E6-B56F-478B-94C6-3CEF95649F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0" y="390525"/>
          <a:ext cx="1666875" cy="923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16670</xdr:rowOff>
    </xdr:to>
    <xdr:cxnSp macro="">
      <xdr:nvCxnSpPr>
        <xdr:cNvPr id="10" name="3 Conector recto">
          <a:extLst>
            <a:ext uri="{FF2B5EF4-FFF2-40B4-BE49-F238E27FC236}">
              <a16:creationId xmlns:a16="http://schemas.microsoft.com/office/drawing/2014/main" id="{F93D7299-F034-4F0C-8515-CCC7AAEFDDD8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16670</xdr:rowOff>
    </xdr:to>
    <xdr:cxnSp macro="">
      <xdr:nvCxnSpPr>
        <xdr:cNvPr id="11" name="3 Conector recto">
          <a:extLst>
            <a:ext uri="{FF2B5EF4-FFF2-40B4-BE49-F238E27FC236}">
              <a16:creationId xmlns:a16="http://schemas.microsoft.com/office/drawing/2014/main" id="{92B8BD04-95E9-44C7-8D32-AF99D310CCD7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26</xdr:row>
      <xdr:rowOff>0</xdr:rowOff>
    </xdr:from>
    <xdr:to>
      <xdr:col>0</xdr:col>
      <xdr:colOff>825024</xdr:colOff>
      <xdr:row>26</xdr:row>
      <xdr:rowOff>16670</xdr:rowOff>
    </xdr:to>
    <xdr:cxnSp macro="">
      <xdr:nvCxnSpPr>
        <xdr:cNvPr id="13" name="3 Conector recto">
          <a:extLst>
            <a:ext uri="{FF2B5EF4-FFF2-40B4-BE49-F238E27FC236}">
              <a16:creationId xmlns:a16="http://schemas.microsoft.com/office/drawing/2014/main" id="{61CF99F1-E4B3-407F-8BBF-544A12A85AFC}"/>
            </a:ext>
          </a:extLst>
        </xdr:cNvPr>
        <xdr:cNvCxnSpPr/>
      </xdr:nvCxnSpPr>
      <xdr:spPr>
        <a:xfrm rot="5400000">
          <a:off x="5422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26</xdr:row>
      <xdr:rowOff>0</xdr:rowOff>
    </xdr:from>
    <xdr:to>
      <xdr:col>0</xdr:col>
      <xdr:colOff>825024</xdr:colOff>
      <xdr:row>26</xdr:row>
      <xdr:rowOff>16670</xdr:rowOff>
    </xdr:to>
    <xdr:cxnSp macro="">
      <xdr:nvCxnSpPr>
        <xdr:cNvPr id="14" name="3 Conector recto">
          <a:extLst>
            <a:ext uri="{FF2B5EF4-FFF2-40B4-BE49-F238E27FC236}">
              <a16:creationId xmlns:a16="http://schemas.microsoft.com/office/drawing/2014/main" id="{DF577770-6BBF-4152-B898-40B4561D3231}"/>
            </a:ext>
          </a:extLst>
        </xdr:cNvPr>
        <xdr:cNvCxnSpPr/>
      </xdr:nvCxnSpPr>
      <xdr:spPr>
        <a:xfrm rot="5400000">
          <a:off x="5422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16670</xdr:rowOff>
    </xdr:to>
    <xdr:cxnSp macro="">
      <xdr:nvCxnSpPr>
        <xdr:cNvPr id="16" name="3 Conector recto">
          <a:extLst>
            <a:ext uri="{FF2B5EF4-FFF2-40B4-BE49-F238E27FC236}">
              <a16:creationId xmlns:a16="http://schemas.microsoft.com/office/drawing/2014/main" id="{D159FE90-017C-4D11-9B06-BD6B2716E63F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16670</xdr:rowOff>
    </xdr:to>
    <xdr:cxnSp macro="">
      <xdr:nvCxnSpPr>
        <xdr:cNvPr id="17" name="3 Conector recto">
          <a:extLst>
            <a:ext uri="{FF2B5EF4-FFF2-40B4-BE49-F238E27FC236}">
              <a16:creationId xmlns:a16="http://schemas.microsoft.com/office/drawing/2014/main" id="{08D6C873-750A-4B98-9964-08A313605A9A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26</xdr:row>
      <xdr:rowOff>0</xdr:rowOff>
    </xdr:from>
    <xdr:to>
      <xdr:col>0</xdr:col>
      <xdr:colOff>825024</xdr:colOff>
      <xdr:row>26</xdr:row>
      <xdr:rowOff>16670</xdr:rowOff>
    </xdr:to>
    <xdr:cxnSp macro="">
      <xdr:nvCxnSpPr>
        <xdr:cNvPr id="19" name="3 Conector recto">
          <a:extLst>
            <a:ext uri="{FF2B5EF4-FFF2-40B4-BE49-F238E27FC236}">
              <a16:creationId xmlns:a16="http://schemas.microsoft.com/office/drawing/2014/main" id="{09955EB1-E725-4D11-AB94-B2A24AC2383B}"/>
            </a:ext>
          </a:extLst>
        </xdr:cNvPr>
        <xdr:cNvCxnSpPr/>
      </xdr:nvCxnSpPr>
      <xdr:spPr>
        <a:xfrm rot="5400000">
          <a:off x="5422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26</xdr:row>
      <xdr:rowOff>0</xdr:rowOff>
    </xdr:from>
    <xdr:to>
      <xdr:col>0</xdr:col>
      <xdr:colOff>825024</xdr:colOff>
      <xdr:row>26</xdr:row>
      <xdr:rowOff>16670</xdr:rowOff>
    </xdr:to>
    <xdr:cxnSp macro="">
      <xdr:nvCxnSpPr>
        <xdr:cNvPr id="20" name="3 Conector recto">
          <a:extLst>
            <a:ext uri="{FF2B5EF4-FFF2-40B4-BE49-F238E27FC236}">
              <a16:creationId xmlns:a16="http://schemas.microsoft.com/office/drawing/2014/main" id="{9DDC3389-C27B-430F-BC40-A42F4E997121}"/>
            </a:ext>
          </a:extLst>
        </xdr:cNvPr>
        <xdr:cNvCxnSpPr/>
      </xdr:nvCxnSpPr>
      <xdr:spPr>
        <a:xfrm rot="5400000">
          <a:off x="5422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829786</xdr:colOff>
      <xdr:row>26</xdr:row>
      <xdr:rowOff>0</xdr:rowOff>
    </xdr:from>
    <xdr:to>
      <xdr:col>3</xdr:col>
      <xdr:colOff>831374</xdr:colOff>
      <xdr:row>26</xdr:row>
      <xdr:rowOff>16670</xdr:rowOff>
    </xdr:to>
    <xdr:cxnSp macro="">
      <xdr:nvCxnSpPr>
        <xdr:cNvPr id="22" name="3 Conector recto">
          <a:extLst>
            <a:ext uri="{FF2B5EF4-FFF2-40B4-BE49-F238E27FC236}">
              <a16:creationId xmlns:a16="http://schemas.microsoft.com/office/drawing/2014/main" id="{FD2F7274-11C6-44AD-AF7C-208732F58309}"/>
            </a:ext>
          </a:extLst>
        </xdr:cNvPr>
        <xdr:cNvCxnSpPr/>
      </xdr:nvCxnSpPr>
      <xdr:spPr>
        <a:xfrm rot="5400000">
          <a:off x="56095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829786</xdr:colOff>
      <xdr:row>26</xdr:row>
      <xdr:rowOff>0</xdr:rowOff>
    </xdr:from>
    <xdr:to>
      <xdr:col>3</xdr:col>
      <xdr:colOff>831374</xdr:colOff>
      <xdr:row>26</xdr:row>
      <xdr:rowOff>16670</xdr:rowOff>
    </xdr:to>
    <xdr:cxnSp macro="">
      <xdr:nvCxnSpPr>
        <xdr:cNvPr id="23" name="3 Conector recto">
          <a:extLst>
            <a:ext uri="{FF2B5EF4-FFF2-40B4-BE49-F238E27FC236}">
              <a16:creationId xmlns:a16="http://schemas.microsoft.com/office/drawing/2014/main" id="{36AB31B6-DE83-47BA-B6A1-B99497AB7AEA}"/>
            </a:ext>
          </a:extLst>
        </xdr:cNvPr>
        <xdr:cNvCxnSpPr/>
      </xdr:nvCxnSpPr>
      <xdr:spPr>
        <a:xfrm rot="5400000">
          <a:off x="56095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829786</xdr:colOff>
      <xdr:row>30</xdr:row>
      <xdr:rowOff>0</xdr:rowOff>
    </xdr:from>
    <xdr:to>
      <xdr:col>3</xdr:col>
      <xdr:colOff>831374</xdr:colOff>
      <xdr:row>30</xdr:row>
      <xdr:rowOff>26988</xdr:rowOff>
    </xdr:to>
    <xdr:cxnSp macro="">
      <xdr:nvCxnSpPr>
        <xdr:cNvPr id="24" name="3 Conector recto">
          <a:extLst>
            <a:ext uri="{FF2B5EF4-FFF2-40B4-BE49-F238E27FC236}">
              <a16:creationId xmlns:a16="http://schemas.microsoft.com/office/drawing/2014/main" id="{19C1EA43-45D2-462B-BD82-A974375998CB}"/>
            </a:ext>
          </a:extLst>
        </xdr:cNvPr>
        <xdr:cNvCxnSpPr/>
      </xdr:nvCxnSpPr>
      <xdr:spPr>
        <a:xfrm rot="5400000">
          <a:off x="5606970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823436</xdr:colOff>
      <xdr:row>26</xdr:row>
      <xdr:rowOff>0</xdr:rowOff>
    </xdr:from>
    <xdr:to>
      <xdr:col>3</xdr:col>
      <xdr:colOff>825024</xdr:colOff>
      <xdr:row>26</xdr:row>
      <xdr:rowOff>16670</xdr:rowOff>
    </xdr:to>
    <xdr:cxnSp macro="">
      <xdr:nvCxnSpPr>
        <xdr:cNvPr id="25" name="3 Conector recto">
          <a:extLst>
            <a:ext uri="{FF2B5EF4-FFF2-40B4-BE49-F238E27FC236}">
              <a16:creationId xmlns:a16="http://schemas.microsoft.com/office/drawing/2014/main" id="{0A558920-E622-4EE4-A068-F823E70B9385}"/>
            </a:ext>
          </a:extLst>
        </xdr:cNvPr>
        <xdr:cNvCxnSpPr/>
      </xdr:nvCxnSpPr>
      <xdr:spPr>
        <a:xfrm rot="5400000">
          <a:off x="560002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823436</xdr:colOff>
      <xdr:row>26</xdr:row>
      <xdr:rowOff>0</xdr:rowOff>
    </xdr:from>
    <xdr:to>
      <xdr:col>3</xdr:col>
      <xdr:colOff>825024</xdr:colOff>
      <xdr:row>26</xdr:row>
      <xdr:rowOff>16670</xdr:rowOff>
    </xdr:to>
    <xdr:cxnSp macro="">
      <xdr:nvCxnSpPr>
        <xdr:cNvPr id="26" name="3 Conector recto">
          <a:extLst>
            <a:ext uri="{FF2B5EF4-FFF2-40B4-BE49-F238E27FC236}">
              <a16:creationId xmlns:a16="http://schemas.microsoft.com/office/drawing/2014/main" id="{71551AE2-24DB-4DA2-B498-95577FF54EC4}"/>
            </a:ext>
          </a:extLst>
        </xdr:cNvPr>
        <xdr:cNvCxnSpPr/>
      </xdr:nvCxnSpPr>
      <xdr:spPr>
        <a:xfrm rot="5400000">
          <a:off x="560002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823436</xdr:colOff>
      <xdr:row>30</xdr:row>
      <xdr:rowOff>0</xdr:rowOff>
    </xdr:from>
    <xdr:to>
      <xdr:col>3</xdr:col>
      <xdr:colOff>825024</xdr:colOff>
      <xdr:row>30</xdr:row>
      <xdr:rowOff>26988</xdr:rowOff>
    </xdr:to>
    <xdr:cxnSp macro="">
      <xdr:nvCxnSpPr>
        <xdr:cNvPr id="27" name="3 Conector recto">
          <a:extLst>
            <a:ext uri="{FF2B5EF4-FFF2-40B4-BE49-F238E27FC236}">
              <a16:creationId xmlns:a16="http://schemas.microsoft.com/office/drawing/2014/main" id="{6AA8DF38-75A3-43A9-B061-B05EA9EB7267}"/>
            </a:ext>
          </a:extLst>
        </xdr:cNvPr>
        <xdr:cNvCxnSpPr/>
      </xdr:nvCxnSpPr>
      <xdr:spPr>
        <a:xfrm rot="5400000">
          <a:off x="5597445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829786</xdr:colOff>
      <xdr:row>41</xdr:row>
      <xdr:rowOff>0</xdr:rowOff>
    </xdr:from>
    <xdr:to>
      <xdr:col>3</xdr:col>
      <xdr:colOff>831374</xdr:colOff>
      <xdr:row>41</xdr:row>
      <xdr:rowOff>8335</xdr:rowOff>
    </xdr:to>
    <xdr:cxnSp macro="">
      <xdr:nvCxnSpPr>
        <xdr:cNvPr id="28" name="3 Conector recto">
          <a:extLst>
            <a:ext uri="{FF2B5EF4-FFF2-40B4-BE49-F238E27FC236}">
              <a16:creationId xmlns:a16="http://schemas.microsoft.com/office/drawing/2014/main" id="{AEBED1D8-35C9-4B10-8AF9-E524A13D1224}"/>
            </a:ext>
          </a:extLst>
        </xdr:cNvPr>
        <xdr:cNvCxnSpPr/>
      </xdr:nvCxnSpPr>
      <xdr:spPr>
        <a:xfrm rot="5400000">
          <a:off x="5609550" y="8098036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829786</xdr:colOff>
      <xdr:row>41</xdr:row>
      <xdr:rowOff>0</xdr:rowOff>
    </xdr:from>
    <xdr:to>
      <xdr:col>3</xdr:col>
      <xdr:colOff>831374</xdr:colOff>
      <xdr:row>41</xdr:row>
      <xdr:rowOff>8335</xdr:rowOff>
    </xdr:to>
    <xdr:cxnSp macro="">
      <xdr:nvCxnSpPr>
        <xdr:cNvPr id="29" name="3 Conector recto">
          <a:extLst>
            <a:ext uri="{FF2B5EF4-FFF2-40B4-BE49-F238E27FC236}">
              <a16:creationId xmlns:a16="http://schemas.microsoft.com/office/drawing/2014/main" id="{21FB3E6C-5F9C-404D-A218-FF57D40D700E}"/>
            </a:ext>
          </a:extLst>
        </xdr:cNvPr>
        <xdr:cNvCxnSpPr/>
      </xdr:nvCxnSpPr>
      <xdr:spPr>
        <a:xfrm rot="5400000">
          <a:off x="5609550" y="8098036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829786</xdr:colOff>
      <xdr:row>42</xdr:row>
      <xdr:rowOff>0</xdr:rowOff>
    </xdr:from>
    <xdr:to>
      <xdr:col>3</xdr:col>
      <xdr:colOff>831374</xdr:colOff>
      <xdr:row>42</xdr:row>
      <xdr:rowOff>13494</xdr:rowOff>
    </xdr:to>
    <xdr:cxnSp macro="">
      <xdr:nvCxnSpPr>
        <xdr:cNvPr id="30" name="3 Conector recto">
          <a:extLst>
            <a:ext uri="{FF2B5EF4-FFF2-40B4-BE49-F238E27FC236}">
              <a16:creationId xmlns:a16="http://schemas.microsoft.com/office/drawing/2014/main" id="{3A37B780-6776-45CE-BFA1-67965C54FF75}"/>
            </a:ext>
          </a:extLst>
        </xdr:cNvPr>
        <xdr:cNvCxnSpPr/>
      </xdr:nvCxnSpPr>
      <xdr:spPr>
        <a:xfrm rot="5400000">
          <a:off x="5606970" y="8291116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823436</xdr:colOff>
      <xdr:row>41</xdr:row>
      <xdr:rowOff>0</xdr:rowOff>
    </xdr:from>
    <xdr:to>
      <xdr:col>3</xdr:col>
      <xdr:colOff>825024</xdr:colOff>
      <xdr:row>41</xdr:row>
      <xdr:rowOff>8335</xdr:rowOff>
    </xdr:to>
    <xdr:cxnSp macro="">
      <xdr:nvCxnSpPr>
        <xdr:cNvPr id="31" name="3 Conector recto">
          <a:extLst>
            <a:ext uri="{FF2B5EF4-FFF2-40B4-BE49-F238E27FC236}">
              <a16:creationId xmlns:a16="http://schemas.microsoft.com/office/drawing/2014/main" id="{5DFE9B60-4179-4740-856E-49881140FAB3}"/>
            </a:ext>
          </a:extLst>
        </xdr:cNvPr>
        <xdr:cNvCxnSpPr/>
      </xdr:nvCxnSpPr>
      <xdr:spPr>
        <a:xfrm rot="5400000">
          <a:off x="5600025" y="8098036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823436</xdr:colOff>
      <xdr:row>41</xdr:row>
      <xdr:rowOff>0</xdr:rowOff>
    </xdr:from>
    <xdr:to>
      <xdr:col>3</xdr:col>
      <xdr:colOff>825024</xdr:colOff>
      <xdr:row>41</xdr:row>
      <xdr:rowOff>8335</xdr:rowOff>
    </xdr:to>
    <xdr:cxnSp macro="">
      <xdr:nvCxnSpPr>
        <xdr:cNvPr id="32" name="3 Conector recto">
          <a:extLst>
            <a:ext uri="{FF2B5EF4-FFF2-40B4-BE49-F238E27FC236}">
              <a16:creationId xmlns:a16="http://schemas.microsoft.com/office/drawing/2014/main" id="{AA4AEA30-22DC-4143-B2AA-26CFD9A4F071}"/>
            </a:ext>
          </a:extLst>
        </xdr:cNvPr>
        <xdr:cNvCxnSpPr/>
      </xdr:nvCxnSpPr>
      <xdr:spPr>
        <a:xfrm rot="5400000">
          <a:off x="5600025" y="8098036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823436</xdr:colOff>
      <xdr:row>42</xdr:row>
      <xdr:rowOff>0</xdr:rowOff>
    </xdr:from>
    <xdr:to>
      <xdr:col>3</xdr:col>
      <xdr:colOff>825024</xdr:colOff>
      <xdr:row>42</xdr:row>
      <xdr:rowOff>13494</xdr:rowOff>
    </xdr:to>
    <xdr:cxnSp macro="">
      <xdr:nvCxnSpPr>
        <xdr:cNvPr id="33" name="3 Conector recto">
          <a:extLst>
            <a:ext uri="{FF2B5EF4-FFF2-40B4-BE49-F238E27FC236}">
              <a16:creationId xmlns:a16="http://schemas.microsoft.com/office/drawing/2014/main" id="{345CAE56-2ABF-4403-9EA7-593C2DDDC97D}"/>
            </a:ext>
          </a:extLst>
        </xdr:cNvPr>
        <xdr:cNvCxnSpPr/>
      </xdr:nvCxnSpPr>
      <xdr:spPr>
        <a:xfrm rot="5400000">
          <a:off x="5597445" y="8291116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3</xdr:col>
      <xdr:colOff>0</xdr:colOff>
      <xdr:row>44</xdr:row>
      <xdr:rowOff>0</xdr:rowOff>
    </xdr:from>
    <xdr:to>
      <xdr:col>3</xdr:col>
      <xdr:colOff>1571624</xdr:colOff>
      <xdr:row>47</xdr:row>
      <xdr:rowOff>24153</xdr:rowOff>
    </xdr:to>
    <xdr:pic>
      <xdr:nvPicPr>
        <xdr:cNvPr id="34" name="Imagen 77">
          <a:extLst>
            <a:ext uri="{FF2B5EF4-FFF2-40B4-BE49-F238E27FC236}">
              <a16:creationId xmlns:a16="http://schemas.microsoft.com/office/drawing/2014/main" id="{72FC108C-F6DC-41C6-97B6-67404B8350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72063" y="9941719"/>
          <a:ext cx="1571624" cy="6313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829786</xdr:colOff>
      <xdr:row>43</xdr:row>
      <xdr:rowOff>0</xdr:rowOff>
    </xdr:from>
    <xdr:to>
      <xdr:col>0</xdr:col>
      <xdr:colOff>831374</xdr:colOff>
      <xdr:row>43</xdr:row>
      <xdr:rowOff>13494</xdr:rowOff>
    </xdr:to>
    <xdr:cxnSp macro="">
      <xdr:nvCxnSpPr>
        <xdr:cNvPr id="2" name="3 Conector recto">
          <a:extLst>
            <a:ext uri="{FF2B5EF4-FFF2-40B4-BE49-F238E27FC236}">
              <a16:creationId xmlns:a16="http://schemas.microsoft.com/office/drawing/2014/main" id="{384693F7-33EA-4ABD-80A3-FD471E475F80}"/>
            </a:ext>
          </a:extLst>
        </xdr:cNvPr>
        <xdr:cNvCxnSpPr/>
      </xdr:nvCxnSpPr>
      <xdr:spPr>
        <a:xfrm rot="5400000">
          <a:off x="549195" y="10386616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43</xdr:row>
      <xdr:rowOff>0</xdr:rowOff>
    </xdr:from>
    <xdr:to>
      <xdr:col>0</xdr:col>
      <xdr:colOff>831374</xdr:colOff>
      <xdr:row>43</xdr:row>
      <xdr:rowOff>13494</xdr:rowOff>
    </xdr:to>
    <xdr:cxnSp macro="">
      <xdr:nvCxnSpPr>
        <xdr:cNvPr id="3" name="3 Conector recto">
          <a:extLst>
            <a:ext uri="{FF2B5EF4-FFF2-40B4-BE49-F238E27FC236}">
              <a16:creationId xmlns:a16="http://schemas.microsoft.com/office/drawing/2014/main" id="{60C7278D-63BE-40B9-8663-B2BCFA2D8458}"/>
            </a:ext>
          </a:extLst>
        </xdr:cNvPr>
        <xdr:cNvCxnSpPr/>
      </xdr:nvCxnSpPr>
      <xdr:spPr>
        <a:xfrm rot="5400000">
          <a:off x="549195" y="10386616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44</xdr:row>
      <xdr:rowOff>0</xdr:rowOff>
    </xdr:from>
    <xdr:to>
      <xdr:col>0</xdr:col>
      <xdr:colOff>831374</xdr:colOff>
      <xdr:row>44</xdr:row>
      <xdr:rowOff>8335</xdr:rowOff>
    </xdr:to>
    <xdr:cxnSp macro="">
      <xdr:nvCxnSpPr>
        <xdr:cNvPr id="4" name="3 Conector recto">
          <a:extLst>
            <a:ext uri="{FF2B5EF4-FFF2-40B4-BE49-F238E27FC236}">
              <a16:creationId xmlns:a16="http://schemas.microsoft.com/office/drawing/2014/main" id="{7F117659-6F11-4A35-BFD8-FE4CA172FCE9}"/>
            </a:ext>
          </a:extLst>
        </xdr:cNvPr>
        <xdr:cNvCxnSpPr/>
      </xdr:nvCxnSpPr>
      <xdr:spPr>
        <a:xfrm rot="5400000">
          <a:off x="551775" y="10574536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8335</xdr:rowOff>
    </xdr:to>
    <xdr:cxnSp macro="">
      <xdr:nvCxnSpPr>
        <xdr:cNvPr id="5" name="3 Conector recto">
          <a:extLst>
            <a:ext uri="{FF2B5EF4-FFF2-40B4-BE49-F238E27FC236}">
              <a16:creationId xmlns:a16="http://schemas.microsoft.com/office/drawing/2014/main" id="{CED4F955-86B1-4BB8-8822-C5648F4180A7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8335</xdr:rowOff>
    </xdr:to>
    <xdr:cxnSp macro="">
      <xdr:nvCxnSpPr>
        <xdr:cNvPr id="6" name="3 Conector recto">
          <a:extLst>
            <a:ext uri="{FF2B5EF4-FFF2-40B4-BE49-F238E27FC236}">
              <a16:creationId xmlns:a16="http://schemas.microsoft.com/office/drawing/2014/main" id="{A0F4E327-5551-45D5-9062-657D3D4B783A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30</xdr:row>
      <xdr:rowOff>0</xdr:rowOff>
    </xdr:from>
    <xdr:to>
      <xdr:col>0</xdr:col>
      <xdr:colOff>831374</xdr:colOff>
      <xdr:row>30</xdr:row>
      <xdr:rowOff>13494</xdr:rowOff>
    </xdr:to>
    <xdr:cxnSp macro="">
      <xdr:nvCxnSpPr>
        <xdr:cNvPr id="7" name="3 Conector recto">
          <a:extLst>
            <a:ext uri="{FF2B5EF4-FFF2-40B4-BE49-F238E27FC236}">
              <a16:creationId xmlns:a16="http://schemas.microsoft.com/office/drawing/2014/main" id="{7534FF58-B350-4643-A78A-40EAD25619BF}"/>
            </a:ext>
          </a:extLst>
        </xdr:cNvPr>
        <xdr:cNvCxnSpPr/>
      </xdr:nvCxnSpPr>
      <xdr:spPr>
        <a:xfrm rot="5400000">
          <a:off x="549195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0</xdr:colOff>
      <xdr:row>0</xdr:row>
      <xdr:rowOff>285750</xdr:rowOff>
    </xdr:from>
    <xdr:to>
      <xdr:col>1</xdr:col>
      <xdr:colOff>916781</xdr:colOff>
      <xdr:row>4</xdr:row>
      <xdr:rowOff>23812</xdr:rowOff>
    </xdr:to>
    <xdr:pic>
      <xdr:nvPicPr>
        <xdr:cNvPr id="2075270" name="Imagen 18">
          <a:extLst>
            <a:ext uri="{FF2B5EF4-FFF2-40B4-BE49-F238E27FC236}">
              <a16:creationId xmlns:a16="http://schemas.microsoft.com/office/drawing/2014/main" id="{C6775A06-0657-408A-BE12-D040CC3558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0"/>
          <a:ext cx="2607469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800100</xdr:colOff>
      <xdr:row>0</xdr:row>
      <xdr:rowOff>390525</xdr:rowOff>
    </xdr:from>
    <xdr:to>
      <xdr:col>5</xdr:col>
      <xdr:colOff>1447800</xdr:colOff>
      <xdr:row>4</xdr:row>
      <xdr:rowOff>47625</xdr:rowOff>
    </xdr:to>
    <xdr:pic>
      <xdr:nvPicPr>
        <xdr:cNvPr id="2075271" name="Imagen 19">
          <a:extLst>
            <a:ext uri="{FF2B5EF4-FFF2-40B4-BE49-F238E27FC236}">
              <a16:creationId xmlns:a16="http://schemas.microsoft.com/office/drawing/2014/main" id="{F02DCFE7-55E5-4DD3-92AE-FED26AE6BC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0" y="390525"/>
          <a:ext cx="1666875" cy="923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8335</xdr:rowOff>
    </xdr:to>
    <xdr:cxnSp macro="">
      <xdr:nvCxnSpPr>
        <xdr:cNvPr id="10" name="3 Conector recto">
          <a:extLst>
            <a:ext uri="{FF2B5EF4-FFF2-40B4-BE49-F238E27FC236}">
              <a16:creationId xmlns:a16="http://schemas.microsoft.com/office/drawing/2014/main" id="{2FD9E40C-5FE2-4907-AF8E-2406D86D2CE4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8335</xdr:rowOff>
    </xdr:to>
    <xdr:cxnSp macro="">
      <xdr:nvCxnSpPr>
        <xdr:cNvPr id="11" name="3 Conector recto">
          <a:extLst>
            <a:ext uri="{FF2B5EF4-FFF2-40B4-BE49-F238E27FC236}">
              <a16:creationId xmlns:a16="http://schemas.microsoft.com/office/drawing/2014/main" id="{A824D948-4375-496C-8D9A-FA790B7DAD02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30</xdr:row>
      <xdr:rowOff>0</xdr:rowOff>
    </xdr:from>
    <xdr:to>
      <xdr:col>0</xdr:col>
      <xdr:colOff>831374</xdr:colOff>
      <xdr:row>30</xdr:row>
      <xdr:rowOff>13494</xdr:rowOff>
    </xdr:to>
    <xdr:cxnSp macro="">
      <xdr:nvCxnSpPr>
        <xdr:cNvPr id="12" name="3 Conector recto">
          <a:extLst>
            <a:ext uri="{FF2B5EF4-FFF2-40B4-BE49-F238E27FC236}">
              <a16:creationId xmlns:a16="http://schemas.microsoft.com/office/drawing/2014/main" id="{9B7F5D18-BC33-4F6A-8C47-2860FE1B9237}"/>
            </a:ext>
          </a:extLst>
        </xdr:cNvPr>
        <xdr:cNvCxnSpPr/>
      </xdr:nvCxnSpPr>
      <xdr:spPr>
        <a:xfrm rot="5400000">
          <a:off x="549195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26</xdr:row>
      <xdr:rowOff>0</xdr:rowOff>
    </xdr:from>
    <xdr:to>
      <xdr:col>0</xdr:col>
      <xdr:colOff>825024</xdr:colOff>
      <xdr:row>26</xdr:row>
      <xdr:rowOff>8335</xdr:rowOff>
    </xdr:to>
    <xdr:cxnSp macro="">
      <xdr:nvCxnSpPr>
        <xdr:cNvPr id="13" name="3 Conector recto">
          <a:extLst>
            <a:ext uri="{FF2B5EF4-FFF2-40B4-BE49-F238E27FC236}">
              <a16:creationId xmlns:a16="http://schemas.microsoft.com/office/drawing/2014/main" id="{25BAE784-89B9-4223-84E0-196756CBE4F5}"/>
            </a:ext>
          </a:extLst>
        </xdr:cNvPr>
        <xdr:cNvCxnSpPr/>
      </xdr:nvCxnSpPr>
      <xdr:spPr>
        <a:xfrm rot="5400000">
          <a:off x="5422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26</xdr:row>
      <xdr:rowOff>0</xdr:rowOff>
    </xdr:from>
    <xdr:to>
      <xdr:col>0</xdr:col>
      <xdr:colOff>825024</xdr:colOff>
      <xdr:row>26</xdr:row>
      <xdr:rowOff>8335</xdr:rowOff>
    </xdr:to>
    <xdr:cxnSp macro="">
      <xdr:nvCxnSpPr>
        <xdr:cNvPr id="14" name="3 Conector recto">
          <a:extLst>
            <a:ext uri="{FF2B5EF4-FFF2-40B4-BE49-F238E27FC236}">
              <a16:creationId xmlns:a16="http://schemas.microsoft.com/office/drawing/2014/main" id="{A3831C3B-0FFD-47FD-B86D-DE63D9BED541}"/>
            </a:ext>
          </a:extLst>
        </xdr:cNvPr>
        <xdr:cNvCxnSpPr/>
      </xdr:nvCxnSpPr>
      <xdr:spPr>
        <a:xfrm rot="5400000">
          <a:off x="5422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30</xdr:row>
      <xdr:rowOff>0</xdr:rowOff>
    </xdr:from>
    <xdr:to>
      <xdr:col>0</xdr:col>
      <xdr:colOff>825024</xdr:colOff>
      <xdr:row>30</xdr:row>
      <xdr:rowOff>13494</xdr:rowOff>
    </xdr:to>
    <xdr:cxnSp macro="">
      <xdr:nvCxnSpPr>
        <xdr:cNvPr id="15" name="3 Conector recto">
          <a:extLst>
            <a:ext uri="{FF2B5EF4-FFF2-40B4-BE49-F238E27FC236}">
              <a16:creationId xmlns:a16="http://schemas.microsoft.com/office/drawing/2014/main" id="{4049073F-A138-457E-9D21-170738229196}"/>
            </a:ext>
          </a:extLst>
        </xdr:cNvPr>
        <xdr:cNvCxnSpPr/>
      </xdr:nvCxnSpPr>
      <xdr:spPr>
        <a:xfrm rot="5400000">
          <a:off x="539670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8335</xdr:rowOff>
    </xdr:to>
    <xdr:cxnSp macro="">
      <xdr:nvCxnSpPr>
        <xdr:cNvPr id="16" name="3 Conector recto">
          <a:extLst>
            <a:ext uri="{FF2B5EF4-FFF2-40B4-BE49-F238E27FC236}">
              <a16:creationId xmlns:a16="http://schemas.microsoft.com/office/drawing/2014/main" id="{927B436C-7736-4B14-9D56-423A09AC0E5C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8335</xdr:rowOff>
    </xdr:to>
    <xdr:cxnSp macro="">
      <xdr:nvCxnSpPr>
        <xdr:cNvPr id="17" name="3 Conector recto">
          <a:extLst>
            <a:ext uri="{FF2B5EF4-FFF2-40B4-BE49-F238E27FC236}">
              <a16:creationId xmlns:a16="http://schemas.microsoft.com/office/drawing/2014/main" id="{5C9020B3-0B5B-4A86-A17C-3EB5176675D2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30</xdr:row>
      <xdr:rowOff>0</xdr:rowOff>
    </xdr:from>
    <xdr:to>
      <xdr:col>0</xdr:col>
      <xdr:colOff>831374</xdr:colOff>
      <xdr:row>30</xdr:row>
      <xdr:rowOff>13494</xdr:rowOff>
    </xdr:to>
    <xdr:cxnSp macro="">
      <xdr:nvCxnSpPr>
        <xdr:cNvPr id="18" name="3 Conector recto">
          <a:extLst>
            <a:ext uri="{FF2B5EF4-FFF2-40B4-BE49-F238E27FC236}">
              <a16:creationId xmlns:a16="http://schemas.microsoft.com/office/drawing/2014/main" id="{F22BD488-BD4F-48FD-8F3F-5CB76A76B684}"/>
            </a:ext>
          </a:extLst>
        </xdr:cNvPr>
        <xdr:cNvCxnSpPr/>
      </xdr:nvCxnSpPr>
      <xdr:spPr>
        <a:xfrm rot="5400000">
          <a:off x="549195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26</xdr:row>
      <xdr:rowOff>0</xdr:rowOff>
    </xdr:from>
    <xdr:to>
      <xdr:col>0</xdr:col>
      <xdr:colOff>825024</xdr:colOff>
      <xdr:row>26</xdr:row>
      <xdr:rowOff>8335</xdr:rowOff>
    </xdr:to>
    <xdr:cxnSp macro="">
      <xdr:nvCxnSpPr>
        <xdr:cNvPr id="19" name="3 Conector recto">
          <a:extLst>
            <a:ext uri="{FF2B5EF4-FFF2-40B4-BE49-F238E27FC236}">
              <a16:creationId xmlns:a16="http://schemas.microsoft.com/office/drawing/2014/main" id="{51BDFE70-1960-4286-B7E7-D37C858AD35B}"/>
            </a:ext>
          </a:extLst>
        </xdr:cNvPr>
        <xdr:cNvCxnSpPr/>
      </xdr:nvCxnSpPr>
      <xdr:spPr>
        <a:xfrm rot="5400000">
          <a:off x="5422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26</xdr:row>
      <xdr:rowOff>0</xdr:rowOff>
    </xdr:from>
    <xdr:to>
      <xdr:col>0</xdr:col>
      <xdr:colOff>825024</xdr:colOff>
      <xdr:row>26</xdr:row>
      <xdr:rowOff>8335</xdr:rowOff>
    </xdr:to>
    <xdr:cxnSp macro="">
      <xdr:nvCxnSpPr>
        <xdr:cNvPr id="20" name="3 Conector recto">
          <a:extLst>
            <a:ext uri="{FF2B5EF4-FFF2-40B4-BE49-F238E27FC236}">
              <a16:creationId xmlns:a16="http://schemas.microsoft.com/office/drawing/2014/main" id="{D2A62565-279B-40DB-96A7-BFE0C0EA0E1C}"/>
            </a:ext>
          </a:extLst>
        </xdr:cNvPr>
        <xdr:cNvCxnSpPr/>
      </xdr:nvCxnSpPr>
      <xdr:spPr>
        <a:xfrm rot="5400000">
          <a:off x="5422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30</xdr:row>
      <xdr:rowOff>0</xdr:rowOff>
    </xdr:from>
    <xdr:to>
      <xdr:col>0</xdr:col>
      <xdr:colOff>825024</xdr:colOff>
      <xdr:row>30</xdr:row>
      <xdr:rowOff>13494</xdr:rowOff>
    </xdr:to>
    <xdr:cxnSp macro="">
      <xdr:nvCxnSpPr>
        <xdr:cNvPr id="21" name="3 Conector recto">
          <a:extLst>
            <a:ext uri="{FF2B5EF4-FFF2-40B4-BE49-F238E27FC236}">
              <a16:creationId xmlns:a16="http://schemas.microsoft.com/office/drawing/2014/main" id="{C717BDB8-B117-4F7A-929F-273F11BC57D0}"/>
            </a:ext>
          </a:extLst>
        </xdr:cNvPr>
        <xdr:cNvCxnSpPr/>
      </xdr:nvCxnSpPr>
      <xdr:spPr>
        <a:xfrm rot="5400000">
          <a:off x="539670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829786</xdr:colOff>
      <xdr:row>42</xdr:row>
      <xdr:rowOff>0</xdr:rowOff>
    </xdr:from>
    <xdr:to>
      <xdr:col>3</xdr:col>
      <xdr:colOff>831374</xdr:colOff>
      <xdr:row>42</xdr:row>
      <xdr:rowOff>13494</xdr:rowOff>
    </xdr:to>
    <xdr:cxnSp macro="">
      <xdr:nvCxnSpPr>
        <xdr:cNvPr id="30" name="3 Conector recto">
          <a:extLst>
            <a:ext uri="{FF2B5EF4-FFF2-40B4-BE49-F238E27FC236}">
              <a16:creationId xmlns:a16="http://schemas.microsoft.com/office/drawing/2014/main" id="{C92685F6-4A11-432B-8C02-857AF708BB6E}"/>
            </a:ext>
          </a:extLst>
        </xdr:cNvPr>
        <xdr:cNvCxnSpPr/>
      </xdr:nvCxnSpPr>
      <xdr:spPr>
        <a:xfrm rot="5400000">
          <a:off x="5606970" y="8291116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823436</xdr:colOff>
      <xdr:row>42</xdr:row>
      <xdr:rowOff>0</xdr:rowOff>
    </xdr:from>
    <xdr:to>
      <xdr:col>3</xdr:col>
      <xdr:colOff>825024</xdr:colOff>
      <xdr:row>42</xdr:row>
      <xdr:rowOff>13494</xdr:rowOff>
    </xdr:to>
    <xdr:cxnSp macro="">
      <xdr:nvCxnSpPr>
        <xdr:cNvPr id="33" name="3 Conector recto">
          <a:extLst>
            <a:ext uri="{FF2B5EF4-FFF2-40B4-BE49-F238E27FC236}">
              <a16:creationId xmlns:a16="http://schemas.microsoft.com/office/drawing/2014/main" id="{456E7ECD-782F-498C-8078-BED324F9CF26}"/>
            </a:ext>
          </a:extLst>
        </xdr:cNvPr>
        <xdr:cNvCxnSpPr/>
      </xdr:nvCxnSpPr>
      <xdr:spPr>
        <a:xfrm rot="5400000">
          <a:off x="5597445" y="8291116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3</xdr:col>
      <xdr:colOff>1235869</xdr:colOff>
      <xdr:row>43</xdr:row>
      <xdr:rowOff>185738</xdr:rowOff>
    </xdr:from>
    <xdr:to>
      <xdr:col>4</xdr:col>
      <xdr:colOff>569119</xdr:colOff>
      <xdr:row>47</xdr:row>
      <xdr:rowOff>128588</xdr:rowOff>
    </xdr:to>
    <xdr:pic>
      <xdr:nvPicPr>
        <xdr:cNvPr id="2075286" name="Imagen 77">
          <a:extLst>
            <a:ext uri="{FF2B5EF4-FFF2-40B4-BE49-F238E27FC236}">
              <a16:creationId xmlns:a16="http://schemas.microsoft.com/office/drawing/2014/main" id="{045E6952-7FCE-47E5-B441-DAFFFBBCA8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07932" y="9484519"/>
          <a:ext cx="1023937" cy="75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829786</xdr:colOff>
      <xdr:row>43</xdr:row>
      <xdr:rowOff>0</xdr:rowOff>
    </xdr:from>
    <xdr:to>
      <xdr:col>0</xdr:col>
      <xdr:colOff>831374</xdr:colOff>
      <xdr:row>43</xdr:row>
      <xdr:rowOff>13494</xdr:rowOff>
    </xdr:to>
    <xdr:cxnSp macro="">
      <xdr:nvCxnSpPr>
        <xdr:cNvPr id="2" name="3 Conector recto">
          <a:extLst>
            <a:ext uri="{FF2B5EF4-FFF2-40B4-BE49-F238E27FC236}">
              <a16:creationId xmlns:a16="http://schemas.microsoft.com/office/drawing/2014/main" id="{810E747F-7A16-493A-A3DB-8F2C856FBF17}"/>
            </a:ext>
          </a:extLst>
        </xdr:cNvPr>
        <xdr:cNvCxnSpPr/>
      </xdr:nvCxnSpPr>
      <xdr:spPr>
        <a:xfrm rot="5400000">
          <a:off x="549195" y="10386616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43</xdr:row>
      <xdr:rowOff>0</xdr:rowOff>
    </xdr:from>
    <xdr:to>
      <xdr:col>0</xdr:col>
      <xdr:colOff>831374</xdr:colOff>
      <xdr:row>43</xdr:row>
      <xdr:rowOff>13494</xdr:rowOff>
    </xdr:to>
    <xdr:cxnSp macro="">
      <xdr:nvCxnSpPr>
        <xdr:cNvPr id="3" name="3 Conector recto">
          <a:extLst>
            <a:ext uri="{FF2B5EF4-FFF2-40B4-BE49-F238E27FC236}">
              <a16:creationId xmlns:a16="http://schemas.microsoft.com/office/drawing/2014/main" id="{43745B75-F32C-4026-8E5A-57DF61F7B86C}"/>
            </a:ext>
          </a:extLst>
        </xdr:cNvPr>
        <xdr:cNvCxnSpPr/>
      </xdr:nvCxnSpPr>
      <xdr:spPr>
        <a:xfrm rot="5400000">
          <a:off x="549195" y="10386616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44</xdr:row>
      <xdr:rowOff>0</xdr:rowOff>
    </xdr:from>
    <xdr:to>
      <xdr:col>0</xdr:col>
      <xdr:colOff>831374</xdr:colOff>
      <xdr:row>44</xdr:row>
      <xdr:rowOff>8335</xdr:rowOff>
    </xdr:to>
    <xdr:cxnSp macro="">
      <xdr:nvCxnSpPr>
        <xdr:cNvPr id="4" name="3 Conector recto">
          <a:extLst>
            <a:ext uri="{FF2B5EF4-FFF2-40B4-BE49-F238E27FC236}">
              <a16:creationId xmlns:a16="http://schemas.microsoft.com/office/drawing/2014/main" id="{A58FB3A2-FC27-47D5-83E7-C3168948F81B}"/>
            </a:ext>
          </a:extLst>
        </xdr:cNvPr>
        <xdr:cNvCxnSpPr/>
      </xdr:nvCxnSpPr>
      <xdr:spPr>
        <a:xfrm rot="5400000">
          <a:off x="551775" y="10574536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8335</xdr:rowOff>
    </xdr:to>
    <xdr:cxnSp macro="">
      <xdr:nvCxnSpPr>
        <xdr:cNvPr id="5" name="3 Conector recto">
          <a:extLst>
            <a:ext uri="{FF2B5EF4-FFF2-40B4-BE49-F238E27FC236}">
              <a16:creationId xmlns:a16="http://schemas.microsoft.com/office/drawing/2014/main" id="{55245C2D-D65A-45B1-B8F4-365A76E3A7B5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8335</xdr:rowOff>
    </xdr:to>
    <xdr:cxnSp macro="">
      <xdr:nvCxnSpPr>
        <xdr:cNvPr id="6" name="3 Conector recto">
          <a:extLst>
            <a:ext uri="{FF2B5EF4-FFF2-40B4-BE49-F238E27FC236}">
              <a16:creationId xmlns:a16="http://schemas.microsoft.com/office/drawing/2014/main" id="{F46E14DC-25AB-4478-87EE-EBD3CEA35C14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30</xdr:row>
      <xdr:rowOff>0</xdr:rowOff>
    </xdr:from>
    <xdr:to>
      <xdr:col>0</xdr:col>
      <xdr:colOff>831374</xdr:colOff>
      <xdr:row>30</xdr:row>
      <xdr:rowOff>13494</xdr:rowOff>
    </xdr:to>
    <xdr:cxnSp macro="">
      <xdr:nvCxnSpPr>
        <xdr:cNvPr id="7" name="3 Conector recto">
          <a:extLst>
            <a:ext uri="{FF2B5EF4-FFF2-40B4-BE49-F238E27FC236}">
              <a16:creationId xmlns:a16="http://schemas.microsoft.com/office/drawing/2014/main" id="{291429FA-88E6-4163-AA0F-75BC1FB58197}"/>
            </a:ext>
          </a:extLst>
        </xdr:cNvPr>
        <xdr:cNvCxnSpPr/>
      </xdr:nvCxnSpPr>
      <xdr:spPr>
        <a:xfrm rot="5400000">
          <a:off x="549195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0</xdr:colOff>
      <xdr:row>0</xdr:row>
      <xdr:rowOff>285750</xdr:rowOff>
    </xdr:from>
    <xdr:to>
      <xdr:col>1</xdr:col>
      <xdr:colOff>857249</xdr:colOff>
      <xdr:row>4</xdr:row>
      <xdr:rowOff>23812</xdr:rowOff>
    </xdr:to>
    <xdr:pic>
      <xdr:nvPicPr>
        <xdr:cNvPr id="2077062" name="Imagen 18">
          <a:extLst>
            <a:ext uri="{FF2B5EF4-FFF2-40B4-BE49-F238E27FC236}">
              <a16:creationId xmlns:a16="http://schemas.microsoft.com/office/drawing/2014/main" id="{03C57607-BAFF-493F-AAB3-B773FF2C46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0"/>
          <a:ext cx="2547937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800100</xdr:colOff>
      <xdr:row>0</xdr:row>
      <xdr:rowOff>390525</xdr:rowOff>
    </xdr:from>
    <xdr:to>
      <xdr:col>5</xdr:col>
      <xdr:colOff>1447800</xdr:colOff>
      <xdr:row>4</xdr:row>
      <xdr:rowOff>47625</xdr:rowOff>
    </xdr:to>
    <xdr:pic>
      <xdr:nvPicPr>
        <xdr:cNvPr id="2077063" name="Imagen 19">
          <a:extLst>
            <a:ext uri="{FF2B5EF4-FFF2-40B4-BE49-F238E27FC236}">
              <a16:creationId xmlns:a16="http://schemas.microsoft.com/office/drawing/2014/main" id="{C826D159-D69C-4449-B551-80FD3F6A4F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0" y="390525"/>
          <a:ext cx="1666875" cy="923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8335</xdr:rowOff>
    </xdr:to>
    <xdr:cxnSp macro="">
      <xdr:nvCxnSpPr>
        <xdr:cNvPr id="10" name="3 Conector recto">
          <a:extLst>
            <a:ext uri="{FF2B5EF4-FFF2-40B4-BE49-F238E27FC236}">
              <a16:creationId xmlns:a16="http://schemas.microsoft.com/office/drawing/2014/main" id="{570BFA8C-DA2B-49AB-8C3B-F2DD0A01D876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8335</xdr:rowOff>
    </xdr:to>
    <xdr:cxnSp macro="">
      <xdr:nvCxnSpPr>
        <xdr:cNvPr id="11" name="3 Conector recto">
          <a:extLst>
            <a:ext uri="{FF2B5EF4-FFF2-40B4-BE49-F238E27FC236}">
              <a16:creationId xmlns:a16="http://schemas.microsoft.com/office/drawing/2014/main" id="{4335380E-BC49-4129-9DC7-E6AB22646B58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30</xdr:row>
      <xdr:rowOff>0</xdr:rowOff>
    </xdr:from>
    <xdr:to>
      <xdr:col>0</xdr:col>
      <xdr:colOff>831374</xdr:colOff>
      <xdr:row>30</xdr:row>
      <xdr:rowOff>13494</xdr:rowOff>
    </xdr:to>
    <xdr:cxnSp macro="">
      <xdr:nvCxnSpPr>
        <xdr:cNvPr id="12" name="3 Conector recto">
          <a:extLst>
            <a:ext uri="{FF2B5EF4-FFF2-40B4-BE49-F238E27FC236}">
              <a16:creationId xmlns:a16="http://schemas.microsoft.com/office/drawing/2014/main" id="{1975EFA1-16C2-46D7-9065-3D69C1D65CE4}"/>
            </a:ext>
          </a:extLst>
        </xdr:cNvPr>
        <xdr:cNvCxnSpPr/>
      </xdr:nvCxnSpPr>
      <xdr:spPr>
        <a:xfrm rot="5400000">
          <a:off x="549195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26</xdr:row>
      <xdr:rowOff>0</xdr:rowOff>
    </xdr:from>
    <xdr:to>
      <xdr:col>0</xdr:col>
      <xdr:colOff>825024</xdr:colOff>
      <xdr:row>26</xdr:row>
      <xdr:rowOff>8335</xdr:rowOff>
    </xdr:to>
    <xdr:cxnSp macro="">
      <xdr:nvCxnSpPr>
        <xdr:cNvPr id="13" name="3 Conector recto">
          <a:extLst>
            <a:ext uri="{FF2B5EF4-FFF2-40B4-BE49-F238E27FC236}">
              <a16:creationId xmlns:a16="http://schemas.microsoft.com/office/drawing/2014/main" id="{21427DF4-18C4-4FFE-B2C4-7851B589F3E2}"/>
            </a:ext>
          </a:extLst>
        </xdr:cNvPr>
        <xdr:cNvCxnSpPr/>
      </xdr:nvCxnSpPr>
      <xdr:spPr>
        <a:xfrm rot="5400000">
          <a:off x="5422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26</xdr:row>
      <xdr:rowOff>0</xdr:rowOff>
    </xdr:from>
    <xdr:to>
      <xdr:col>0</xdr:col>
      <xdr:colOff>825024</xdr:colOff>
      <xdr:row>26</xdr:row>
      <xdr:rowOff>8335</xdr:rowOff>
    </xdr:to>
    <xdr:cxnSp macro="">
      <xdr:nvCxnSpPr>
        <xdr:cNvPr id="14" name="3 Conector recto">
          <a:extLst>
            <a:ext uri="{FF2B5EF4-FFF2-40B4-BE49-F238E27FC236}">
              <a16:creationId xmlns:a16="http://schemas.microsoft.com/office/drawing/2014/main" id="{C4F1C627-9349-4179-A797-472DB8675B4B}"/>
            </a:ext>
          </a:extLst>
        </xdr:cNvPr>
        <xdr:cNvCxnSpPr/>
      </xdr:nvCxnSpPr>
      <xdr:spPr>
        <a:xfrm rot="5400000">
          <a:off x="5422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30</xdr:row>
      <xdr:rowOff>0</xdr:rowOff>
    </xdr:from>
    <xdr:to>
      <xdr:col>0</xdr:col>
      <xdr:colOff>825024</xdr:colOff>
      <xdr:row>30</xdr:row>
      <xdr:rowOff>13494</xdr:rowOff>
    </xdr:to>
    <xdr:cxnSp macro="">
      <xdr:nvCxnSpPr>
        <xdr:cNvPr id="15" name="3 Conector recto">
          <a:extLst>
            <a:ext uri="{FF2B5EF4-FFF2-40B4-BE49-F238E27FC236}">
              <a16:creationId xmlns:a16="http://schemas.microsoft.com/office/drawing/2014/main" id="{4B288F12-692E-4F00-8A57-897973C0F07E}"/>
            </a:ext>
          </a:extLst>
        </xdr:cNvPr>
        <xdr:cNvCxnSpPr/>
      </xdr:nvCxnSpPr>
      <xdr:spPr>
        <a:xfrm rot="5400000">
          <a:off x="539670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8335</xdr:rowOff>
    </xdr:to>
    <xdr:cxnSp macro="">
      <xdr:nvCxnSpPr>
        <xdr:cNvPr id="16" name="3 Conector recto">
          <a:extLst>
            <a:ext uri="{FF2B5EF4-FFF2-40B4-BE49-F238E27FC236}">
              <a16:creationId xmlns:a16="http://schemas.microsoft.com/office/drawing/2014/main" id="{B57E5F65-D1FE-47BD-A1C1-9284760B530E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8335</xdr:rowOff>
    </xdr:to>
    <xdr:cxnSp macro="">
      <xdr:nvCxnSpPr>
        <xdr:cNvPr id="17" name="3 Conector recto">
          <a:extLst>
            <a:ext uri="{FF2B5EF4-FFF2-40B4-BE49-F238E27FC236}">
              <a16:creationId xmlns:a16="http://schemas.microsoft.com/office/drawing/2014/main" id="{9BC4E7A7-7231-497F-80E8-6CC720C24148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30</xdr:row>
      <xdr:rowOff>0</xdr:rowOff>
    </xdr:from>
    <xdr:to>
      <xdr:col>0</xdr:col>
      <xdr:colOff>831374</xdr:colOff>
      <xdr:row>30</xdr:row>
      <xdr:rowOff>13494</xdr:rowOff>
    </xdr:to>
    <xdr:cxnSp macro="">
      <xdr:nvCxnSpPr>
        <xdr:cNvPr id="18" name="3 Conector recto">
          <a:extLst>
            <a:ext uri="{FF2B5EF4-FFF2-40B4-BE49-F238E27FC236}">
              <a16:creationId xmlns:a16="http://schemas.microsoft.com/office/drawing/2014/main" id="{0CB56D2E-86F5-43C5-AEBE-12BD1D4059F8}"/>
            </a:ext>
          </a:extLst>
        </xdr:cNvPr>
        <xdr:cNvCxnSpPr/>
      </xdr:nvCxnSpPr>
      <xdr:spPr>
        <a:xfrm rot="5400000">
          <a:off x="549195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26</xdr:row>
      <xdr:rowOff>0</xdr:rowOff>
    </xdr:from>
    <xdr:to>
      <xdr:col>0</xdr:col>
      <xdr:colOff>825024</xdr:colOff>
      <xdr:row>26</xdr:row>
      <xdr:rowOff>8335</xdr:rowOff>
    </xdr:to>
    <xdr:cxnSp macro="">
      <xdr:nvCxnSpPr>
        <xdr:cNvPr id="19" name="3 Conector recto">
          <a:extLst>
            <a:ext uri="{FF2B5EF4-FFF2-40B4-BE49-F238E27FC236}">
              <a16:creationId xmlns:a16="http://schemas.microsoft.com/office/drawing/2014/main" id="{41F8B267-5D7B-4D8B-A07D-CE778A02364C}"/>
            </a:ext>
          </a:extLst>
        </xdr:cNvPr>
        <xdr:cNvCxnSpPr/>
      </xdr:nvCxnSpPr>
      <xdr:spPr>
        <a:xfrm rot="5400000">
          <a:off x="5422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26</xdr:row>
      <xdr:rowOff>0</xdr:rowOff>
    </xdr:from>
    <xdr:to>
      <xdr:col>0</xdr:col>
      <xdr:colOff>825024</xdr:colOff>
      <xdr:row>26</xdr:row>
      <xdr:rowOff>8335</xdr:rowOff>
    </xdr:to>
    <xdr:cxnSp macro="">
      <xdr:nvCxnSpPr>
        <xdr:cNvPr id="20" name="3 Conector recto">
          <a:extLst>
            <a:ext uri="{FF2B5EF4-FFF2-40B4-BE49-F238E27FC236}">
              <a16:creationId xmlns:a16="http://schemas.microsoft.com/office/drawing/2014/main" id="{59B17DE6-C5AF-457F-BCEC-BF44DF2552CA}"/>
            </a:ext>
          </a:extLst>
        </xdr:cNvPr>
        <xdr:cNvCxnSpPr/>
      </xdr:nvCxnSpPr>
      <xdr:spPr>
        <a:xfrm rot="5400000">
          <a:off x="5422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30</xdr:row>
      <xdr:rowOff>0</xdr:rowOff>
    </xdr:from>
    <xdr:to>
      <xdr:col>0</xdr:col>
      <xdr:colOff>825024</xdr:colOff>
      <xdr:row>30</xdr:row>
      <xdr:rowOff>13494</xdr:rowOff>
    </xdr:to>
    <xdr:cxnSp macro="">
      <xdr:nvCxnSpPr>
        <xdr:cNvPr id="21" name="3 Conector recto">
          <a:extLst>
            <a:ext uri="{FF2B5EF4-FFF2-40B4-BE49-F238E27FC236}">
              <a16:creationId xmlns:a16="http://schemas.microsoft.com/office/drawing/2014/main" id="{B13622EF-0B25-4070-A1D7-E6DDA9142C02}"/>
            </a:ext>
          </a:extLst>
        </xdr:cNvPr>
        <xdr:cNvCxnSpPr/>
      </xdr:nvCxnSpPr>
      <xdr:spPr>
        <a:xfrm rot="5400000">
          <a:off x="539670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829786</xdr:colOff>
      <xdr:row>26</xdr:row>
      <xdr:rowOff>0</xdr:rowOff>
    </xdr:from>
    <xdr:to>
      <xdr:col>3</xdr:col>
      <xdr:colOff>831374</xdr:colOff>
      <xdr:row>26</xdr:row>
      <xdr:rowOff>8335</xdr:rowOff>
    </xdr:to>
    <xdr:cxnSp macro="">
      <xdr:nvCxnSpPr>
        <xdr:cNvPr id="22" name="3 Conector recto">
          <a:extLst>
            <a:ext uri="{FF2B5EF4-FFF2-40B4-BE49-F238E27FC236}">
              <a16:creationId xmlns:a16="http://schemas.microsoft.com/office/drawing/2014/main" id="{F44F8988-4080-46EB-AD25-C2E920FDF850}"/>
            </a:ext>
          </a:extLst>
        </xdr:cNvPr>
        <xdr:cNvCxnSpPr/>
      </xdr:nvCxnSpPr>
      <xdr:spPr>
        <a:xfrm rot="5400000">
          <a:off x="56095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829786</xdr:colOff>
      <xdr:row>26</xdr:row>
      <xdr:rowOff>0</xdr:rowOff>
    </xdr:from>
    <xdr:to>
      <xdr:col>3</xdr:col>
      <xdr:colOff>831374</xdr:colOff>
      <xdr:row>26</xdr:row>
      <xdr:rowOff>8335</xdr:rowOff>
    </xdr:to>
    <xdr:cxnSp macro="">
      <xdr:nvCxnSpPr>
        <xdr:cNvPr id="23" name="3 Conector recto">
          <a:extLst>
            <a:ext uri="{FF2B5EF4-FFF2-40B4-BE49-F238E27FC236}">
              <a16:creationId xmlns:a16="http://schemas.microsoft.com/office/drawing/2014/main" id="{5A45D834-E309-4AA6-8112-8DCE3E5D07E8}"/>
            </a:ext>
          </a:extLst>
        </xdr:cNvPr>
        <xdr:cNvCxnSpPr/>
      </xdr:nvCxnSpPr>
      <xdr:spPr>
        <a:xfrm rot="5400000">
          <a:off x="56095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823436</xdr:colOff>
      <xdr:row>26</xdr:row>
      <xdr:rowOff>0</xdr:rowOff>
    </xdr:from>
    <xdr:to>
      <xdr:col>3</xdr:col>
      <xdr:colOff>825024</xdr:colOff>
      <xdr:row>26</xdr:row>
      <xdr:rowOff>8335</xdr:rowOff>
    </xdr:to>
    <xdr:cxnSp macro="">
      <xdr:nvCxnSpPr>
        <xdr:cNvPr id="25" name="3 Conector recto">
          <a:extLst>
            <a:ext uri="{FF2B5EF4-FFF2-40B4-BE49-F238E27FC236}">
              <a16:creationId xmlns:a16="http://schemas.microsoft.com/office/drawing/2014/main" id="{ACBDC45E-EC72-4855-BD71-EE1BFE17172F}"/>
            </a:ext>
          </a:extLst>
        </xdr:cNvPr>
        <xdr:cNvCxnSpPr/>
      </xdr:nvCxnSpPr>
      <xdr:spPr>
        <a:xfrm rot="5400000">
          <a:off x="560002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823436</xdr:colOff>
      <xdr:row>26</xdr:row>
      <xdr:rowOff>0</xdr:rowOff>
    </xdr:from>
    <xdr:to>
      <xdr:col>3</xdr:col>
      <xdr:colOff>825024</xdr:colOff>
      <xdr:row>26</xdr:row>
      <xdr:rowOff>8335</xdr:rowOff>
    </xdr:to>
    <xdr:cxnSp macro="">
      <xdr:nvCxnSpPr>
        <xdr:cNvPr id="26" name="3 Conector recto">
          <a:extLst>
            <a:ext uri="{FF2B5EF4-FFF2-40B4-BE49-F238E27FC236}">
              <a16:creationId xmlns:a16="http://schemas.microsoft.com/office/drawing/2014/main" id="{3881A18A-B1BE-4B9E-9F00-F23A9DA73D97}"/>
            </a:ext>
          </a:extLst>
        </xdr:cNvPr>
        <xdr:cNvCxnSpPr/>
      </xdr:nvCxnSpPr>
      <xdr:spPr>
        <a:xfrm rot="5400000">
          <a:off x="560002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3</xdr:col>
      <xdr:colOff>1604963</xdr:colOff>
      <xdr:row>43</xdr:row>
      <xdr:rowOff>152400</xdr:rowOff>
    </xdr:from>
    <xdr:to>
      <xdr:col>4</xdr:col>
      <xdr:colOff>833438</xdr:colOff>
      <xdr:row>47</xdr:row>
      <xdr:rowOff>0</xdr:rowOff>
    </xdr:to>
    <xdr:pic>
      <xdr:nvPicPr>
        <xdr:cNvPr id="2077080" name="Imagen 77">
          <a:extLst>
            <a:ext uri="{FF2B5EF4-FFF2-40B4-BE49-F238E27FC236}">
              <a16:creationId xmlns:a16="http://schemas.microsoft.com/office/drawing/2014/main" id="{D832CBC3-E98F-4706-BAEC-3BF13B5DB3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77026" y="9451181"/>
          <a:ext cx="919162" cy="65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829786</xdr:colOff>
      <xdr:row>42</xdr:row>
      <xdr:rowOff>0</xdr:rowOff>
    </xdr:from>
    <xdr:to>
      <xdr:col>0</xdr:col>
      <xdr:colOff>831374</xdr:colOff>
      <xdr:row>42</xdr:row>
      <xdr:rowOff>13494</xdr:rowOff>
    </xdr:to>
    <xdr:cxnSp macro="">
      <xdr:nvCxnSpPr>
        <xdr:cNvPr id="2" name="3 Conector recto">
          <a:extLst>
            <a:ext uri="{FF2B5EF4-FFF2-40B4-BE49-F238E27FC236}">
              <a16:creationId xmlns:a16="http://schemas.microsoft.com/office/drawing/2014/main" id="{F7BADE7A-EFD7-4F64-87DB-BB539330CDD3}"/>
            </a:ext>
          </a:extLst>
        </xdr:cNvPr>
        <xdr:cNvCxnSpPr/>
      </xdr:nvCxnSpPr>
      <xdr:spPr>
        <a:xfrm rot="5400000">
          <a:off x="549195" y="10386616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42</xdr:row>
      <xdr:rowOff>0</xdr:rowOff>
    </xdr:from>
    <xdr:to>
      <xdr:col>0</xdr:col>
      <xdr:colOff>831374</xdr:colOff>
      <xdr:row>42</xdr:row>
      <xdr:rowOff>13494</xdr:rowOff>
    </xdr:to>
    <xdr:cxnSp macro="">
      <xdr:nvCxnSpPr>
        <xdr:cNvPr id="3" name="3 Conector recto">
          <a:extLst>
            <a:ext uri="{FF2B5EF4-FFF2-40B4-BE49-F238E27FC236}">
              <a16:creationId xmlns:a16="http://schemas.microsoft.com/office/drawing/2014/main" id="{B8E41416-386E-4ECF-8247-61E6C901525C}"/>
            </a:ext>
          </a:extLst>
        </xdr:cNvPr>
        <xdr:cNvCxnSpPr/>
      </xdr:nvCxnSpPr>
      <xdr:spPr>
        <a:xfrm rot="5400000">
          <a:off x="549195" y="10386616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43</xdr:row>
      <xdr:rowOff>0</xdr:rowOff>
    </xdr:from>
    <xdr:to>
      <xdr:col>0</xdr:col>
      <xdr:colOff>831374</xdr:colOff>
      <xdr:row>43</xdr:row>
      <xdr:rowOff>8335</xdr:rowOff>
    </xdr:to>
    <xdr:cxnSp macro="">
      <xdr:nvCxnSpPr>
        <xdr:cNvPr id="4" name="3 Conector recto">
          <a:extLst>
            <a:ext uri="{FF2B5EF4-FFF2-40B4-BE49-F238E27FC236}">
              <a16:creationId xmlns:a16="http://schemas.microsoft.com/office/drawing/2014/main" id="{2D107E5F-2931-4121-A4AC-42C145B8F77C}"/>
            </a:ext>
          </a:extLst>
        </xdr:cNvPr>
        <xdr:cNvCxnSpPr/>
      </xdr:nvCxnSpPr>
      <xdr:spPr>
        <a:xfrm rot="5400000">
          <a:off x="551775" y="10574536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8335</xdr:rowOff>
    </xdr:to>
    <xdr:cxnSp macro="">
      <xdr:nvCxnSpPr>
        <xdr:cNvPr id="5" name="3 Conector recto">
          <a:extLst>
            <a:ext uri="{FF2B5EF4-FFF2-40B4-BE49-F238E27FC236}">
              <a16:creationId xmlns:a16="http://schemas.microsoft.com/office/drawing/2014/main" id="{D2A5BE43-E65E-474D-9383-9C0C9B1BD792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8335</xdr:rowOff>
    </xdr:to>
    <xdr:cxnSp macro="">
      <xdr:nvCxnSpPr>
        <xdr:cNvPr id="6" name="3 Conector recto">
          <a:extLst>
            <a:ext uri="{FF2B5EF4-FFF2-40B4-BE49-F238E27FC236}">
              <a16:creationId xmlns:a16="http://schemas.microsoft.com/office/drawing/2014/main" id="{7099DF1F-F771-4F08-89C9-4BCEC425B6C3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30</xdr:row>
      <xdr:rowOff>0</xdr:rowOff>
    </xdr:from>
    <xdr:to>
      <xdr:col>0</xdr:col>
      <xdr:colOff>831374</xdr:colOff>
      <xdr:row>30</xdr:row>
      <xdr:rowOff>13494</xdr:rowOff>
    </xdr:to>
    <xdr:cxnSp macro="">
      <xdr:nvCxnSpPr>
        <xdr:cNvPr id="7" name="3 Conector recto">
          <a:extLst>
            <a:ext uri="{FF2B5EF4-FFF2-40B4-BE49-F238E27FC236}">
              <a16:creationId xmlns:a16="http://schemas.microsoft.com/office/drawing/2014/main" id="{9741CFF3-0BAE-4CE1-99FC-7E50D7D09487}"/>
            </a:ext>
          </a:extLst>
        </xdr:cNvPr>
        <xdr:cNvCxnSpPr/>
      </xdr:nvCxnSpPr>
      <xdr:spPr>
        <a:xfrm rot="5400000">
          <a:off x="549195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1</xdr:colOff>
      <xdr:row>0</xdr:row>
      <xdr:rowOff>285750</xdr:rowOff>
    </xdr:from>
    <xdr:to>
      <xdr:col>1</xdr:col>
      <xdr:colOff>773907</xdr:colOff>
      <xdr:row>4</xdr:row>
      <xdr:rowOff>23812</xdr:rowOff>
    </xdr:to>
    <xdr:pic>
      <xdr:nvPicPr>
        <xdr:cNvPr id="2062214" name="Imagen 18">
          <a:extLst>
            <a:ext uri="{FF2B5EF4-FFF2-40B4-BE49-F238E27FC236}">
              <a16:creationId xmlns:a16="http://schemas.microsoft.com/office/drawing/2014/main" id="{6493140B-A0F4-4C8A-94DD-5378FB664A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285750"/>
          <a:ext cx="2464594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800100</xdr:colOff>
      <xdr:row>0</xdr:row>
      <xdr:rowOff>390525</xdr:rowOff>
    </xdr:from>
    <xdr:to>
      <xdr:col>5</xdr:col>
      <xdr:colOff>1447800</xdr:colOff>
      <xdr:row>4</xdr:row>
      <xdr:rowOff>47625</xdr:rowOff>
    </xdr:to>
    <xdr:pic>
      <xdr:nvPicPr>
        <xdr:cNvPr id="2062215" name="Imagen 19">
          <a:extLst>
            <a:ext uri="{FF2B5EF4-FFF2-40B4-BE49-F238E27FC236}">
              <a16:creationId xmlns:a16="http://schemas.microsoft.com/office/drawing/2014/main" id="{235CC629-1ED2-404B-AE88-F671CBB774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0" y="390525"/>
          <a:ext cx="1666875" cy="923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8335</xdr:rowOff>
    </xdr:to>
    <xdr:cxnSp macro="">
      <xdr:nvCxnSpPr>
        <xdr:cNvPr id="10" name="3 Conector recto">
          <a:extLst>
            <a:ext uri="{FF2B5EF4-FFF2-40B4-BE49-F238E27FC236}">
              <a16:creationId xmlns:a16="http://schemas.microsoft.com/office/drawing/2014/main" id="{DBE48B93-CFBA-4C4D-94A0-95637DDAFAA2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8335</xdr:rowOff>
    </xdr:to>
    <xdr:cxnSp macro="">
      <xdr:nvCxnSpPr>
        <xdr:cNvPr id="11" name="3 Conector recto">
          <a:extLst>
            <a:ext uri="{FF2B5EF4-FFF2-40B4-BE49-F238E27FC236}">
              <a16:creationId xmlns:a16="http://schemas.microsoft.com/office/drawing/2014/main" id="{14D46F89-CB3D-41EF-B9D8-FD1E947BF118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30</xdr:row>
      <xdr:rowOff>0</xdr:rowOff>
    </xdr:from>
    <xdr:to>
      <xdr:col>0</xdr:col>
      <xdr:colOff>831374</xdr:colOff>
      <xdr:row>30</xdr:row>
      <xdr:rowOff>13494</xdr:rowOff>
    </xdr:to>
    <xdr:cxnSp macro="">
      <xdr:nvCxnSpPr>
        <xdr:cNvPr id="12" name="3 Conector recto">
          <a:extLst>
            <a:ext uri="{FF2B5EF4-FFF2-40B4-BE49-F238E27FC236}">
              <a16:creationId xmlns:a16="http://schemas.microsoft.com/office/drawing/2014/main" id="{30629D73-9921-4274-BEF8-F2D9C8A66AB8}"/>
            </a:ext>
          </a:extLst>
        </xdr:cNvPr>
        <xdr:cNvCxnSpPr/>
      </xdr:nvCxnSpPr>
      <xdr:spPr>
        <a:xfrm rot="5400000">
          <a:off x="549195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26</xdr:row>
      <xdr:rowOff>0</xdr:rowOff>
    </xdr:from>
    <xdr:to>
      <xdr:col>0</xdr:col>
      <xdr:colOff>825024</xdr:colOff>
      <xdr:row>26</xdr:row>
      <xdr:rowOff>8335</xdr:rowOff>
    </xdr:to>
    <xdr:cxnSp macro="">
      <xdr:nvCxnSpPr>
        <xdr:cNvPr id="13" name="3 Conector recto">
          <a:extLst>
            <a:ext uri="{FF2B5EF4-FFF2-40B4-BE49-F238E27FC236}">
              <a16:creationId xmlns:a16="http://schemas.microsoft.com/office/drawing/2014/main" id="{B663D6B6-AC2A-425A-92F2-49C99FDEC540}"/>
            </a:ext>
          </a:extLst>
        </xdr:cNvPr>
        <xdr:cNvCxnSpPr/>
      </xdr:nvCxnSpPr>
      <xdr:spPr>
        <a:xfrm rot="5400000">
          <a:off x="5422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26</xdr:row>
      <xdr:rowOff>0</xdr:rowOff>
    </xdr:from>
    <xdr:to>
      <xdr:col>0</xdr:col>
      <xdr:colOff>825024</xdr:colOff>
      <xdr:row>26</xdr:row>
      <xdr:rowOff>8335</xdr:rowOff>
    </xdr:to>
    <xdr:cxnSp macro="">
      <xdr:nvCxnSpPr>
        <xdr:cNvPr id="14" name="3 Conector recto">
          <a:extLst>
            <a:ext uri="{FF2B5EF4-FFF2-40B4-BE49-F238E27FC236}">
              <a16:creationId xmlns:a16="http://schemas.microsoft.com/office/drawing/2014/main" id="{7635F02B-6197-4389-9C83-719DD283B495}"/>
            </a:ext>
          </a:extLst>
        </xdr:cNvPr>
        <xdr:cNvCxnSpPr/>
      </xdr:nvCxnSpPr>
      <xdr:spPr>
        <a:xfrm rot="5400000">
          <a:off x="5422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30</xdr:row>
      <xdr:rowOff>0</xdr:rowOff>
    </xdr:from>
    <xdr:to>
      <xdr:col>0</xdr:col>
      <xdr:colOff>825024</xdr:colOff>
      <xdr:row>30</xdr:row>
      <xdr:rowOff>13494</xdr:rowOff>
    </xdr:to>
    <xdr:cxnSp macro="">
      <xdr:nvCxnSpPr>
        <xdr:cNvPr id="15" name="3 Conector recto">
          <a:extLst>
            <a:ext uri="{FF2B5EF4-FFF2-40B4-BE49-F238E27FC236}">
              <a16:creationId xmlns:a16="http://schemas.microsoft.com/office/drawing/2014/main" id="{E81182F7-F2A7-4115-B042-F15329C7CA5F}"/>
            </a:ext>
          </a:extLst>
        </xdr:cNvPr>
        <xdr:cNvCxnSpPr/>
      </xdr:nvCxnSpPr>
      <xdr:spPr>
        <a:xfrm rot="5400000">
          <a:off x="539670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8335</xdr:rowOff>
    </xdr:to>
    <xdr:cxnSp macro="">
      <xdr:nvCxnSpPr>
        <xdr:cNvPr id="16" name="3 Conector recto">
          <a:extLst>
            <a:ext uri="{FF2B5EF4-FFF2-40B4-BE49-F238E27FC236}">
              <a16:creationId xmlns:a16="http://schemas.microsoft.com/office/drawing/2014/main" id="{927A2313-9DF2-4364-9965-5A298CACF773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8335</xdr:rowOff>
    </xdr:to>
    <xdr:cxnSp macro="">
      <xdr:nvCxnSpPr>
        <xdr:cNvPr id="17" name="3 Conector recto">
          <a:extLst>
            <a:ext uri="{FF2B5EF4-FFF2-40B4-BE49-F238E27FC236}">
              <a16:creationId xmlns:a16="http://schemas.microsoft.com/office/drawing/2014/main" id="{CA8AAC4F-2D38-4A40-953E-962114971BAD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30</xdr:row>
      <xdr:rowOff>0</xdr:rowOff>
    </xdr:from>
    <xdr:to>
      <xdr:col>0</xdr:col>
      <xdr:colOff>831374</xdr:colOff>
      <xdr:row>30</xdr:row>
      <xdr:rowOff>13494</xdr:rowOff>
    </xdr:to>
    <xdr:cxnSp macro="">
      <xdr:nvCxnSpPr>
        <xdr:cNvPr id="18" name="3 Conector recto">
          <a:extLst>
            <a:ext uri="{FF2B5EF4-FFF2-40B4-BE49-F238E27FC236}">
              <a16:creationId xmlns:a16="http://schemas.microsoft.com/office/drawing/2014/main" id="{C7CDF176-90BB-4227-993D-7DB531342292}"/>
            </a:ext>
          </a:extLst>
        </xdr:cNvPr>
        <xdr:cNvCxnSpPr/>
      </xdr:nvCxnSpPr>
      <xdr:spPr>
        <a:xfrm rot="5400000">
          <a:off x="549195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26</xdr:row>
      <xdr:rowOff>0</xdr:rowOff>
    </xdr:from>
    <xdr:to>
      <xdr:col>0</xdr:col>
      <xdr:colOff>825024</xdr:colOff>
      <xdr:row>26</xdr:row>
      <xdr:rowOff>8335</xdr:rowOff>
    </xdr:to>
    <xdr:cxnSp macro="">
      <xdr:nvCxnSpPr>
        <xdr:cNvPr id="19" name="3 Conector recto">
          <a:extLst>
            <a:ext uri="{FF2B5EF4-FFF2-40B4-BE49-F238E27FC236}">
              <a16:creationId xmlns:a16="http://schemas.microsoft.com/office/drawing/2014/main" id="{AB0F8D08-A5CA-4ABB-91B7-ADA4184A4DE0}"/>
            </a:ext>
          </a:extLst>
        </xdr:cNvPr>
        <xdr:cNvCxnSpPr/>
      </xdr:nvCxnSpPr>
      <xdr:spPr>
        <a:xfrm rot="5400000">
          <a:off x="5422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30</xdr:row>
      <xdr:rowOff>0</xdr:rowOff>
    </xdr:from>
    <xdr:to>
      <xdr:col>0</xdr:col>
      <xdr:colOff>825024</xdr:colOff>
      <xdr:row>30</xdr:row>
      <xdr:rowOff>13494</xdr:rowOff>
    </xdr:to>
    <xdr:cxnSp macro="">
      <xdr:nvCxnSpPr>
        <xdr:cNvPr id="21" name="3 Conector recto">
          <a:extLst>
            <a:ext uri="{FF2B5EF4-FFF2-40B4-BE49-F238E27FC236}">
              <a16:creationId xmlns:a16="http://schemas.microsoft.com/office/drawing/2014/main" id="{EB08FA2F-744A-4D12-BAD5-B65C0A84EFC7}"/>
            </a:ext>
          </a:extLst>
        </xdr:cNvPr>
        <xdr:cNvCxnSpPr/>
      </xdr:nvCxnSpPr>
      <xdr:spPr>
        <a:xfrm rot="5400000">
          <a:off x="539670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3</xdr:col>
      <xdr:colOff>1559719</xdr:colOff>
      <xdr:row>43</xdr:row>
      <xdr:rowOff>142875</xdr:rowOff>
    </xdr:from>
    <xdr:to>
      <xdr:col>4</xdr:col>
      <xdr:colOff>892969</xdr:colOff>
      <xdr:row>46</xdr:row>
      <xdr:rowOff>190499</xdr:rowOff>
    </xdr:to>
    <xdr:pic>
      <xdr:nvPicPr>
        <xdr:cNvPr id="2062228" name="Imagen 77">
          <a:extLst>
            <a:ext uri="{FF2B5EF4-FFF2-40B4-BE49-F238E27FC236}">
              <a16:creationId xmlns:a16="http://schemas.microsoft.com/office/drawing/2014/main" id="{CF256403-23F3-4371-83FD-E89862066C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31782" y="9894094"/>
          <a:ext cx="1023937" cy="6548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829786</xdr:colOff>
      <xdr:row>43</xdr:row>
      <xdr:rowOff>0</xdr:rowOff>
    </xdr:from>
    <xdr:to>
      <xdr:col>0</xdr:col>
      <xdr:colOff>831374</xdr:colOff>
      <xdr:row>43</xdr:row>
      <xdr:rowOff>13494</xdr:rowOff>
    </xdr:to>
    <xdr:cxnSp macro="">
      <xdr:nvCxnSpPr>
        <xdr:cNvPr id="2" name="3 Conector recto">
          <a:extLst>
            <a:ext uri="{FF2B5EF4-FFF2-40B4-BE49-F238E27FC236}">
              <a16:creationId xmlns:a16="http://schemas.microsoft.com/office/drawing/2014/main" id="{49500482-125D-4CCE-8BE6-C0D55595B8E3}"/>
            </a:ext>
          </a:extLst>
        </xdr:cNvPr>
        <xdr:cNvCxnSpPr/>
      </xdr:nvCxnSpPr>
      <xdr:spPr>
        <a:xfrm rot="5400000">
          <a:off x="549195" y="10386616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43</xdr:row>
      <xdr:rowOff>0</xdr:rowOff>
    </xdr:from>
    <xdr:to>
      <xdr:col>0</xdr:col>
      <xdr:colOff>831374</xdr:colOff>
      <xdr:row>43</xdr:row>
      <xdr:rowOff>13494</xdr:rowOff>
    </xdr:to>
    <xdr:cxnSp macro="">
      <xdr:nvCxnSpPr>
        <xdr:cNvPr id="3" name="3 Conector recto">
          <a:extLst>
            <a:ext uri="{FF2B5EF4-FFF2-40B4-BE49-F238E27FC236}">
              <a16:creationId xmlns:a16="http://schemas.microsoft.com/office/drawing/2014/main" id="{3A390558-89D4-4841-BEA7-AE64C3E6C4E8}"/>
            </a:ext>
          </a:extLst>
        </xdr:cNvPr>
        <xdr:cNvCxnSpPr/>
      </xdr:nvCxnSpPr>
      <xdr:spPr>
        <a:xfrm rot="5400000">
          <a:off x="549195" y="10386616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44</xdr:row>
      <xdr:rowOff>0</xdr:rowOff>
    </xdr:from>
    <xdr:to>
      <xdr:col>0</xdr:col>
      <xdr:colOff>831374</xdr:colOff>
      <xdr:row>44</xdr:row>
      <xdr:rowOff>8335</xdr:rowOff>
    </xdr:to>
    <xdr:cxnSp macro="">
      <xdr:nvCxnSpPr>
        <xdr:cNvPr id="4" name="3 Conector recto">
          <a:extLst>
            <a:ext uri="{FF2B5EF4-FFF2-40B4-BE49-F238E27FC236}">
              <a16:creationId xmlns:a16="http://schemas.microsoft.com/office/drawing/2014/main" id="{55062CFD-1036-4C08-875F-33FBD9420B16}"/>
            </a:ext>
          </a:extLst>
        </xdr:cNvPr>
        <xdr:cNvCxnSpPr/>
      </xdr:nvCxnSpPr>
      <xdr:spPr>
        <a:xfrm rot="5400000">
          <a:off x="551775" y="10574536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8335</xdr:rowOff>
    </xdr:to>
    <xdr:cxnSp macro="">
      <xdr:nvCxnSpPr>
        <xdr:cNvPr id="5" name="3 Conector recto">
          <a:extLst>
            <a:ext uri="{FF2B5EF4-FFF2-40B4-BE49-F238E27FC236}">
              <a16:creationId xmlns:a16="http://schemas.microsoft.com/office/drawing/2014/main" id="{1413D60A-5A7C-4757-BAF9-F0A6BFE36A99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8335</xdr:rowOff>
    </xdr:to>
    <xdr:cxnSp macro="">
      <xdr:nvCxnSpPr>
        <xdr:cNvPr id="6" name="3 Conector recto">
          <a:extLst>
            <a:ext uri="{FF2B5EF4-FFF2-40B4-BE49-F238E27FC236}">
              <a16:creationId xmlns:a16="http://schemas.microsoft.com/office/drawing/2014/main" id="{69BFAADE-2211-4831-B67A-D4FDC0A09C31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30</xdr:row>
      <xdr:rowOff>0</xdr:rowOff>
    </xdr:from>
    <xdr:to>
      <xdr:col>0</xdr:col>
      <xdr:colOff>831374</xdr:colOff>
      <xdr:row>30</xdr:row>
      <xdr:rowOff>13494</xdr:rowOff>
    </xdr:to>
    <xdr:cxnSp macro="">
      <xdr:nvCxnSpPr>
        <xdr:cNvPr id="7" name="3 Conector recto">
          <a:extLst>
            <a:ext uri="{FF2B5EF4-FFF2-40B4-BE49-F238E27FC236}">
              <a16:creationId xmlns:a16="http://schemas.microsoft.com/office/drawing/2014/main" id="{84E9F10F-00B7-42A4-B98F-22BEF3B3D13C}"/>
            </a:ext>
          </a:extLst>
        </xdr:cNvPr>
        <xdr:cNvCxnSpPr/>
      </xdr:nvCxnSpPr>
      <xdr:spPr>
        <a:xfrm rot="5400000">
          <a:off x="549195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0</xdr:colOff>
      <xdr:row>0</xdr:row>
      <xdr:rowOff>285750</xdr:rowOff>
    </xdr:from>
    <xdr:to>
      <xdr:col>1</xdr:col>
      <xdr:colOff>843643</xdr:colOff>
      <xdr:row>4</xdr:row>
      <xdr:rowOff>20411</xdr:rowOff>
    </xdr:to>
    <xdr:pic>
      <xdr:nvPicPr>
        <xdr:cNvPr id="2078086" name="Imagen 18">
          <a:extLst>
            <a:ext uri="{FF2B5EF4-FFF2-40B4-BE49-F238E27FC236}">
              <a16:creationId xmlns:a16="http://schemas.microsoft.com/office/drawing/2014/main" id="{4868F59F-04E8-467C-970A-7029EA2502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0"/>
          <a:ext cx="2530929" cy="101373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800100</xdr:colOff>
      <xdr:row>0</xdr:row>
      <xdr:rowOff>390525</xdr:rowOff>
    </xdr:from>
    <xdr:to>
      <xdr:col>6</xdr:col>
      <xdr:colOff>9525</xdr:colOff>
      <xdr:row>4</xdr:row>
      <xdr:rowOff>48986</xdr:rowOff>
    </xdr:to>
    <xdr:pic>
      <xdr:nvPicPr>
        <xdr:cNvPr id="2078087" name="Imagen 19">
          <a:extLst>
            <a:ext uri="{FF2B5EF4-FFF2-40B4-BE49-F238E27FC236}">
              <a16:creationId xmlns:a16="http://schemas.microsoft.com/office/drawing/2014/main" id="{84531DD7-C8A6-455C-B37E-02E3648EC7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05750" y="390525"/>
          <a:ext cx="1676400" cy="923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8335</xdr:rowOff>
    </xdr:to>
    <xdr:cxnSp macro="">
      <xdr:nvCxnSpPr>
        <xdr:cNvPr id="10" name="3 Conector recto">
          <a:extLst>
            <a:ext uri="{FF2B5EF4-FFF2-40B4-BE49-F238E27FC236}">
              <a16:creationId xmlns:a16="http://schemas.microsoft.com/office/drawing/2014/main" id="{8E931F33-4AE1-428A-9970-0C12C1C25EF2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8335</xdr:rowOff>
    </xdr:to>
    <xdr:cxnSp macro="">
      <xdr:nvCxnSpPr>
        <xdr:cNvPr id="11" name="3 Conector recto">
          <a:extLst>
            <a:ext uri="{FF2B5EF4-FFF2-40B4-BE49-F238E27FC236}">
              <a16:creationId xmlns:a16="http://schemas.microsoft.com/office/drawing/2014/main" id="{4D6C7B05-70EB-45EF-AB6D-06660D7AA864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30</xdr:row>
      <xdr:rowOff>0</xdr:rowOff>
    </xdr:from>
    <xdr:to>
      <xdr:col>0</xdr:col>
      <xdr:colOff>831374</xdr:colOff>
      <xdr:row>30</xdr:row>
      <xdr:rowOff>13494</xdr:rowOff>
    </xdr:to>
    <xdr:cxnSp macro="">
      <xdr:nvCxnSpPr>
        <xdr:cNvPr id="12" name="3 Conector recto">
          <a:extLst>
            <a:ext uri="{FF2B5EF4-FFF2-40B4-BE49-F238E27FC236}">
              <a16:creationId xmlns:a16="http://schemas.microsoft.com/office/drawing/2014/main" id="{BB732B2F-279A-47FA-ACA7-95B0F75A00FF}"/>
            </a:ext>
          </a:extLst>
        </xdr:cNvPr>
        <xdr:cNvCxnSpPr/>
      </xdr:nvCxnSpPr>
      <xdr:spPr>
        <a:xfrm rot="5400000">
          <a:off x="549195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26</xdr:row>
      <xdr:rowOff>0</xdr:rowOff>
    </xdr:from>
    <xdr:to>
      <xdr:col>0</xdr:col>
      <xdr:colOff>825024</xdr:colOff>
      <xdr:row>26</xdr:row>
      <xdr:rowOff>8335</xdr:rowOff>
    </xdr:to>
    <xdr:cxnSp macro="">
      <xdr:nvCxnSpPr>
        <xdr:cNvPr id="13" name="3 Conector recto">
          <a:extLst>
            <a:ext uri="{FF2B5EF4-FFF2-40B4-BE49-F238E27FC236}">
              <a16:creationId xmlns:a16="http://schemas.microsoft.com/office/drawing/2014/main" id="{CC117435-8A48-4CF8-9265-70DAC5C8626D}"/>
            </a:ext>
          </a:extLst>
        </xdr:cNvPr>
        <xdr:cNvCxnSpPr/>
      </xdr:nvCxnSpPr>
      <xdr:spPr>
        <a:xfrm rot="5400000">
          <a:off x="5422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26</xdr:row>
      <xdr:rowOff>0</xdr:rowOff>
    </xdr:from>
    <xdr:to>
      <xdr:col>0</xdr:col>
      <xdr:colOff>825024</xdr:colOff>
      <xdr:row>26</xdr:row>
      <xdr:rowOff>8335</xdr:rowOff>
    </xdr:to>
    <xdr:cxnSp macro="">
      <xdr:nvCxnSpPr>
        <xdr:cNvPr id="14" name="3 Conector recto">
          <a:extLst>
            <a:ext uri="{FF2B5EF4-FFF2-40B4-BE49-F238E27FC236}">
              <a16:creationId xmlns:a16="http://schemas.microsoft.com/office/drawing/2014/main" id="{FED5DC8B-AB7E-4369-ADF2-D535FB3AFE0A}"/>
            </a:ext>
          </a:extLst>
        </xdr:cNvPr>
        <xdr:cNvCxnSpPr/>
      </xdr:nvCxnSpPr>
      <xdr:spPr>
        <a:xfrm rot="5400000">
          <a:off x="5422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30</xdr:row>
      <xdr:rowOff>0</xdr:rowOff>
    </xdr:from>
    <xdr:to>
      <xdr:col>0</xdr:col>
      <xdr:colOff>825024</xdr:colOff>
      <xdr:row>30</xdr:row>
      <xdr:rowOff>13494</xdr:rowOff>
    </xdr:to>
    <xdr:cxnSp macro="">
      <xdr:nvCxnSpPr>
        <xdr:cNvPr id="15" name="3 Conector recto">
          <a:extLst>
            <a:ext uri="{FF2B5EF4-FFF2-40B4-BE49-F238E27FC236}">
              <a16:creationId xmlns:a16="http://schemas.microsoft.com/office/drawing/2014/main" id="{44502AE8-4BE6-486C-81BD-6B66791C0E55}"/>
            </a:ext>
          </a:extLst>
        </xdr:cNvPr>
        <xdr:cNvCxnSpPr/>
      </xdr:nvCxnSpPr>
      <xdr:spPr>
        <a:xfrm rot="5400000">
          <a:off x="539670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8335</xdr:rowOff>
    </xdr:to>
    <xdr:cxnSp macro="">
      <xdr:nvCxnSpPr>
        <xdr:cNvPr id="16" name="3 Conector recto">
          <a:extLst>
            <a:ext uri="{FF2B5EF4-FFF2-40B4-BE49-F238E27FC236}">
              <a16:creationId xmlns:a16="http://schemas.microsoft.com/office/drawing/2014/main" id="{276C5D17-6725-4851-88A9-DA8171AD0F63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8335</xdr:rowOff>
    </xdr:to>
    <xdr:cxnSp macro="">
      <xdr:nvCxnSpPr>
        <xdr:cNvPr id="17" name="3 Conector recto">
          <a:extLst>
            <a:ext uri="{FF2B5EF4-FFF2-40B4-BE49-F238E27FC236}">
              <a16:creationId xmlns:a16="http://schemas.microsoft.com/office/drawing/2014/main" id="{D6FF61D9-52DC-49E2-8B9D-DC77E76D2DEE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30</xdr:row>
      <xdr:rowOff>0</xdr:rowOff>
    </xdr:from>
    <xdr:to>
      <xdr:col>0</xdr:col>
      <xdr:colOff>831374</xdr:colOff>
      <xdr:row>30</xdr:row>
      <xdr:rowOff>13494</xdr:rowOff>
    </xdr:to>
    <xdr:cxnSp macro="">
      <xdr:nvCxnSpPr>
        <xdr:cNvPr id="18" name="3 Conector recto">
          <a:extLst>
            <a:ext uri="{FF2B5EF4-FFF2-40B4-BE49-F238E27FC236}">
              <a16:creationId xmlns:a16="http://schemas.microsoft.com/office/drawing/2014/main" id="{2899CA5D-BF79-4063-8FC3-CF84546FBDD3}"/>
            </a:ext>
          </a:extLst>
        </xdr:cNvPr>
        <xdr:cNvCxnSpPr/>
      </xdr:nvCxnSpPr>
      <xdr:spPr>
        <a:xfrm rot="5400000">
          <a:off x="549195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26</xdr:row>
      <xdr:rowOff>0</xdr:rowOff>
    </xdr:from>
    <xdr:to>
      <xdr:col>0</xdr:col>
      <xdr:colOff>825024</xdr:colOff>
      <xdr:row>26</xdr:row>
      <xdr:rowOff>8335</xdr:rowOff>
    </xdr:to>
    <xdr:cxnSp macro="">
      <xdr:nvCxnSpPr>
        <xdr:cNvPr id="19" name="3 Conector recto">
          <a:extLst>
            <a:ext uri="{FF2B5EF4-FFF2-40B4-BE49-F238E27FC236}">
              <a16:creationId xmlns:a16="http://schemas.microsoft.com/office/drawing/2014/main" id="{0706E667-8B78-4058-80FB-E8073000DCDB}"/>
            </a:ext>
          </a:extLst>
        </xdr:cNvPr>
        <xdr:cNvCxnSpPr/>
      </xdr:nvCxnSpPr>
      <xdr:spPr>
        <a:xfrm rot="5400000">
          <a:off x="5422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26</xdr:row>
      <xdr:rowOff>0</xdr:rowOff>
    </xdr:from>
    <xdr:to>
      <xdr:col>0</xdr:col>
      <xdr:colOff>825024</xdr:colOff>
      <xdr:row>26</xdr:row>
      <xdr:rowOff>8335</xdr:rowOff>
    </xdr:to>
    <xdr:cxnSp macro="">
      <xdr:nvCxnSpPr>
        <xdr:cNvPr id="20" name="3 Conector recto">
          <a:extLst>
            <a:ext uri="{FF2B5EF4-FFF2-40B4-BE49-F238E27FC236}">
              <a16:creationId xmlns:a16="http://schemas.microsoft.com/office/drawing/2014/main" id="{9D54281B-16EF-4076-8746-BA0F11D7A360}"/>
            </a:ext>
          </a:extLst>
        </xdr:cNvPr>
        <xdr:cNvCxnSpPr/>
      </xdr:nvCxnSpPr>
      <xdr:spPr>
        <a:xfrm rot="5400000">
          <a:off x="5422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30</xdr:row>
      <xdr:rowOff>0</xdr:rowOff>
    </xdr:from>
    <xdr:to>
      <xdr:col>0</xdr:col>
      <xdr:colOff>825024</xdr:colOff>
      <xdr:row>30</xdr:row>
      <xdr:rowOff>13494</xdr:rowOff>
    </xdr:to>
    <xdr:cxnSp macro="">
      <xdr:nvCxnSpPr>
        <xdr:cNvPr id="21" name="3 Conector recto">
          <a:extLst>
            <a:ext uri="{FF2B5EF4-FFF2-40B4-BE49-F238E27FC236}">
              <a16:creationId xmlns:a16="http://schemas.microsoft.com/office/drawing/2014/main" id="{C501A70A-AF6C-4436-B723-17B773A3716C}"/>
            </a:ext>
          </a:extLst>
        </xdr:cNvPr>
        <xdr:cNvCxnSpPr/>
      </xdr:nvCxnSpPr>
      <xdr:spPr>
        <a:xfrm rot="5400000">
          <a:off x="539670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823436</xdr:colOff>
      <xdr:row>26</xdr:row>
      <xdr:rowOff>0</xdr:rowOff>
    </xdr:from>
    <xdr:to>
      <xdr:col>3</xdr:col>
      <xdr:colOff>825024</xdr:colOff>
      <xdr:row>26</xdr:row>
      <xdr:rowOff>8335</xdr:rowOff>
    </xdr:to>
    <xdr:cxnSp macro="">
      <xdr:nvCxnSpPr>
        <xdr:cNvPr id="25" name="3 Conector recto">
          <a:extLst>
            <a:ext uri="{FF2B5EF4-FFF2-40B4-BE49-F238E27FC236}">
              <a16:creationId xmlns:a16="http://schemas.microsoft.com/office/drawing/2014/main" id="{BB149907-0012-4923-9F24-904A9FA6D5B3}"/>
            </a:ext>
          </a:extLst>
        </xdr:cNvPr>
        <xdr:cNvCxnSpPr/>
      </xdr:nvCxnSpPr>
      <xdr:spPr>
        <a:xfrm rot="5400000">
          <a:off x="560002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823436</xdr:colOff>
      <xdr:row>26</xdr:row>
      <xdr:rowOff>0</xdr:rowOff>
    </xdr:from>
    <xdr:to>
      <xdr:col>3</xdr:col>
      <xdr:colOff>825024</xdr:colOff>
      <xdr:row>26</xdr:row>
      <xdr:rowOff>8335</xdr:rowOff>
    </xdr:to>
    <xdr:cxnSp macro="">
      <xdr:nvCxnSpPr>
        <xdr:cNvPr id="26" name="3 Conector recto">
          <a:extLst>
            <a:ext uri="{FF2B5EF4-FFF2-40B4-BE49-F238E27FC236}">
              <a16:creationId xmlns:a16="http://schemas.microsoft.com/office/drawing/2014/main" id="{D1A8AFF5-1847-4CAB-B677-EC6274F390ED}"/>
            </a:ext>
          </a:extLst>
        </xdr:cNvPr>
        <xdr:cNvCxnSpPr/>
      </xdr:nvCxnSpPr>
      <xdr:spPr>
        <a:xfrm rot="5400000">
          <a:off x="560002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823436</xdr:colOff>
      <xdr:row>41</xdr:row>
      <xdr:rowOff>0</xdr:rowOff>
    </xdr:from>
    <xdr:to>
      <xdr:col>3</xdr:col>
      <xdr:colOff>825024</xdr:colOff>
      <xdr:row>41</xdr:row>
      <xdr:rowOff>8335</xdr:rowOff>
    </xdr:to>
    <xdr:cxnSp macro="">
      <xdr:nvCxnSpPr>
        <xdr:cNvPr id="31" name="3 Conector recto">
          <a:extLst>
            <a:ext uri="{FF2B5EF4-FFF2-40B4-BE49-F238E27FC236}">
              <a16:creationId xmlns:a16="http://schemas.microsoft.com/office/drawing/2014/main" id="{6136FB1D-14BC-4103-96B8-F2C3737A2128}"/>
            </a:ext>
          </a:extLst>
        </xdr:cNvPr>
        <xdr:cNvCxnSpPr/>
      </xdr:nvCxnSpPr>
      <xdr:spPr>
        <a:xfrm rot="5400000">
          <a:off x="5600025" y="8098036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823436</xdr:colOff>
      <xdr:row>41</xdr:row>
      <xdr:rowOff>0</xdr:rowOff>
    </xdr:from>
    <xdr:to>
      <xdr:col>3</xdr:col>
      <xdr:colOff>825024</xdr:colOff>
      <xdr:row>41</xdr:row>
      <xdr:rowOff>8335</xdr:rowOff>
    </xdr:to>
    <xdr:cxnSp macro="">
      <xdr:nvCxnSpPr>
        <xdr:cNvPr id="32" name="3 Conector recto">
          <a:extLst>
            <a:ext uri="{FF2B5EF4-FFF2-40B4-BE49-F238E27FC236}">
              <a16:creationId xmlns:a16="http://schemas.microsoft.com/office/drawing/2014/main" id="{A4040FB8-BFDD-4B06-94D8-D55A4E23F97A}"/>
            </a:ext>
          </a:extLst>
        </xdr:cNvPr>
        <xdr:cNvCxnSpPr/>
      </xdr:nvCxnSpPr>
      <xdr:spPr>
        <a:xfrm rot="5400000">
          <a:off x="5600025" y="8098036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3</xdr:col>
      <xdr:colOff>1485900</xdr:colOff>
      <xdr:row>43</xdr:row>
      <xdr:rowOff>57150</xdr:rowOff>
    </xdr:from>
    <xdr:to>
      <xdr:col>4</xdr:col>
      <xdr:colOff>676275</xdr:colOff>
      <xdr:row>46</xdr:row>
      <xdr:rowOff>114300</xdr:rowOff>
    </xdr:to>
    <xdr:pic>
      <xdr:nvPicPr>
        <xdr:cNvPr id="2078104" name="Imagen 77">
          <a:extLst>
            <a:ext uri="{FF2B5EF4-FFF2-40B4-BE49-F238E27FC236}">
              <a16:creationId xmlns:a16="http://schemas.microsoft.com/office/drawing/2014/main" id="{2713E368-8693-4701-A566-D737133A64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05625" y="9401175"/>
          <a:ext cx="876300" cy="65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829786</xdr:colOff>
      <xdr:row>43</xdr:row>
      <xdr:rowOff>0</xdr:rowOff>
    </xdr:from>
    <xdr:to>
      <xdr:col>0</xdr:col>
      <xdr:colOff>831374</xdr:colOff>
      <xdr:row>43</xdr:row>
      <xdr:rowOff>13494</xdr:rowOff>
    </xdr:to>
    <xdr:cxnSp macro="">
      <xdr:nvCxnSpPr>
        <xdr:cNvPr id="2" name="3 Conector recto">
          <a:extLst>
            <a:ext uri="{FF2B5EF4-FFF2-40B4-BE49-F238E27FC236}">
              <a16:creationId xmlns:a16="http://schemas.microsoft.com/office/drawing/2014/main" id="{32916E4A-88A2-4F89-BCD9-5E113F9DE2F2}"/>
            </a:ext>
          </a:extLst>
        </xdr:cNvPr>
        <xdr:cNvCxnSpPr/>
      </xdr:nvCxnSpPr>
      <xdr:spPr>
        <a:xfrm rot="5400000">
          <a:off x="549195" y="10386616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43</xdr:row>
      <xdr:rowOff>0</xdr:rowOff>
    </xdr:from>
    <xdr:to>
      <xdr:col>0</xdr:col>
      <xdr:colOff>831374</xdr:colOff>
      <xdr:row>43</xdr:row>
      <xdr:rowOff>13494</xdr:rowOff>
    </xdr:to>
    <xdr:cxnSp macro="">
      <xdr:nvCxnSpPr>
        <xdr:cNvPr id="3" name="3 Conector recto">
          <a:extLst>
            <a:ext uri="{FF2B5EF4-FFF2-40B4-BE49-F238E27FC236}">
              <a16:creationId xmlns:a16="http://schemas.microsoft.com/office/drawing/2014/main" id="{8FD83D82-3AB5-434C-8F0F-E3BB6ACF2B9D}"/>
            </a:ext>
          </a:extLst>
        </xdr:cNvPr>
        <xdr:cNvCxnSpPr/>
      </xdr:nvCxnSpPr>
      <xdr:spPr>
        <a:xfrm rot="5400000">
          <a:off x="549195" y="10386616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44</xdr:row>
      <xdr:rowOff>0</xdr:rowOff>
    </xdr:from>
    <xdr:to>
      <xdr:col>0</xdr:col>
      <xdr:colOff>831374</xdr:colOff>
      <xdr:row>44</xdr:row>
      <xdr:rowOff>8335</xdr:rowOff>
    </xdr:to>
    <xdr:cxnSp macro="">
      <xdr:nvCxnSpPr>
        <xdr:cNvPr id="4" name="3 Conector recto">
          <a:extLst>
            <a:ext uri="{FF2B5EF4-FFF2-40B4-BE49-F238E27FC236}">
              <a16:creationId xmlns:a16="http://schemas.microsoft.com/office/drawing/2014/main" id="{816D9B96-B48C-4462-96C3-69868E154BD8}"/>
            </a:ext>
          </a:extLst>
        </xdr:cNvPr>
        <xdr:cNvCxnSpPr/>
      </xdr:nvCxnSpPr>
      <xdr:spPr>
        <a:xfrm rot="5400000">
          <a:off x="551775" y="10574536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8335</xdr:rowOff>
    </xdr:to>
    <xdr:cxnSp macro="">
      <xdr:nvCxnSpPr>
        <xdr:cNvPr id="5" name="3 Conector recto">
          <a:extLst>
            <a:ext uri="{FF2B5EF4-FFF2-40B4-BE49-F238E27FC236}">
              <a16:creationId xmlns:a16="http://schemas.microsoft.com/office/drawing/2014/main" id="{5B423936-7014-451B-8D23-4949CBB4BCA5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8335</xdr:rowOff>
    </xdr:to>
    <xdr:cxnSp macro="">
      <xdr:nvCxnSpPr>
        <xdr:cNvPr id="6" name="3 Conector recto">
          <a:extLst>
            <a:ext uri="{FF2B5EF4-FFF2-40B4-BE49-F238E27FC236}">
              <a16:creationId xmlns:a16="http://schemas.microsoft.com/office/drawing/2014/main" id="{1ECF9C96-3A24-4E9F-A45E-CDD9F2ADA4CC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30</xdr:row>
      <xdr:rowOff>0</xdr:rowOff>
    </xdr:from>
    <xdr:to>
      <xdr:col>0</xdr:col>
      <xdr:colOff>831374</xdr:colOff>
      <xdr:row>30</xdr:row>
      <xdr:rowOff>13494</xdr:rowOff>
    </xdr:to>
    <xdr:cxnSp macro="">
      <xdr:nvCxnSpPr>
        <xdr:cNvPr id="7" name="3 Conector recto">
          <a:extLst>
            <a:ext uri="{FF2B5EF4-FFF2-40B4-BE49-F238E27FC236}">
              <a16:creationId xmlns:a16="http://schemas.microsoft.com/office/drawing/2014/main" id="{E96D7F7D-D8A8-43FA-8518-2E6D09F70E81}"/>
            </a:ext>
          </a:extLst>
        </xdr:cNvPr>
        <xdr:cNvCxnSpPr/>
      </xdr:nvCxnSpPr>
      <xdr:spPr>
        <a:xfrm rot="5400000">
          <a:off x="549195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1</xdr:colOff>
      <xdr:row>0</xdr:row>
      <xdr:rowOff>285750</xdr:rowOff>
    </xdr:from>
    <xdr:to>
      <xdr:col>1</xdr:col>
      <xdr:colOff>797719</xdr:colOff>
      <xdr:row>4</xdr:row>
      <xdr:rowOff>23812</xdr:rowOff>
    </xdr:to>
    <xdr:pic>
      <xdr:nvPicPr>
        <xdr:cNvPr id="2063238" name="Imagen 18">
          <a:extLst>
            <a:ext uri="{FF2B5EF4-FFF2-40B4-BE49-F238E27FC236}">
              <a16:creationId xmlns:a16="http://schemas.microsoft.com/office/drawing/2014/main" id="{3E5B93D4-2C52-4213-B81D-00EC5B3321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285750"/>
          <a:ext cx="2488406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800100</xdr:colOff>
      <xdr:row>0</xdr:row>
      <xdr:rowOff>390525</xdr:rowOff>
    </xdr:from>
    <xdr:to>
      <xdr:col>5</xdr:col>
      <xdr:colOff>1447800</xdr:colOff>
      <xdr:row>4</xdr:row>
      <xdr:rowOff>47625</xdr:rowOff>
    </xdr:to>
    <xdr:pic>
      <xdr:nvPicPr>
        <xdr:cNvPr id="2063239" name="Imagen 19">
          <a:extLst>
            <a:ext uri="{FF2B5EF4-FFF2-40B4-BE49-F238E27FC236}">
              <a16:creationId xmlns:a16="http://schemas.microsoft.com/office/drawing/2014/main" id="{27AADA3F-ED76-4432-A0DD-B87C94545C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0" y="390525"/>
          <a:ext cx="1666875" cy="923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8335</xdr:rowOff>
    </xdr:to>
    <xdr:cxnSp macro="">
      <xdr:nvCxnSpPr>
        <xdr:cNvPr id="10" name="3 Conector recto">
          <a:extLst>
            <a:ext uri="{FF2B5EF4-FFF2-40B4-BE49-F238E27FC236}">
              <a16:creationId xmlns:a16="http://schemas.microsoft.com/office/drawing/2014/main" id="{F2E7D3B5-4001-4673-9857-523F52BF5121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8335</xdr:rowOff>
    </xdr:to>
    <xdr:cxnSp macro="">
      <xdr:nvCxnSpPr>
        <xdr:cNvPr id="11" name="3 Conector recto">
          <a:extLst>
            <a:ext uri="{FF2B5EF4-FFF2-40B4-BE49-F238E27FC236}">
              <a16:creationId xmlns:a16="http://schemas.microsoft.com/office/drawing/2014/main" id="{4C83A8CD-585A-44C6-ADB0-D1968BA487E3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30</xdr:row>
      <xdr:rowOff>0</xdr:rowOff>
    </xdr:from>
    <xdr:to>
      <xdr:col>0</xdr:col>
      <xdr:colOff>831374</xdr:colOff>
      <xdr:row>30</xdr:row>
      <xdr:rowOff>13494</xdr:rowOff>
    </xdr:to>
    <xdr:cxnSp macro="">
      <xdr:nvCxnSpPr>
        <xdr:cNvPr id="12" name="3 Conector recto">
          <a:extLst>
            <a:ext uri="{FF2B5EF4-FFF2-40B4-BE49-F238E27FC236}">
              <a16:creationId xmlns:a16="http://schemas.microsoft.com/office/drawing/2014/main" id="{55FC1E30-A4F0-4481-B696-5A78642C9F6A}"/>
            </a:ext>
          </a:extLst>
        </xdr:cNvPr>
        <xdr:cNvCxnSpPr/>
      </xdr:nvCxnSpPr>
      <xdr:spPr>
        <a:xfrm rot="5400000">
          <a:off x="549195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26</xdr:row>
      <xdr:rowOff>0</xdr:rowOff>
    </xdr:from>
    <xdr:to>
      <xdr:col>0</xdr:col>
      <xdr:colOff>825024</xdr:colOff>
      <xdr:row>26</xdr:row>
      <xdr:rowOff>8335</xdr:rowOff>
    </xdr:to>
    <xdr:cxnSp macro="">
      <xdr:nvCxnSpPr>
        <xdr:cNvPr id="13" name="3 Conector recto">
          <a:extLst>
            <a:ext uri="{FF2B5EF4-FFF2-40B4-BE49-F238E27FC236}">
              <a16:creationId xmlns:a16="http://schemas.microsoft.com/office/drawing/2014/main" id="{F7D304AC-88C7-4053-B3CA-4CDF59DBDF34}"/>
            </a:ext>
          </a:extLst>
        </xdr:cNvPr>
        <xdr:cNvCxnSpPr/>
      </xdr:nvCxnSpPr>
      <xdr:spPr>
        <a:xfrm rot="5400000">
          <a:off x="5422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26</xdr:row>
      <xdr:rowOff>0</xdr:rowOff>
    </xdr:from>
    <xdr:to>
      <xdr:col>0</xdr:col>
      <xdr:colOff>825024</xdr:colOff>
      <xdr:row>26</xdr:row>
      <xdr:rowOff>8335</xdr:rowOff>
    </xdr:to>
    <xdr:cxnSp macro="">
      <xdr:nvCxnSpPr>
        <xdr:cNvPr id="14" name="3 Conector recto">
          <a:extLst>
            <a:ext uri="{FF2B5EF4-FFF2-40B4-BE49-F238E27FC236}">
              <a16:creationId xmlns:a16="http://schemas.microsoft.com/office/drawing/2014/main" id="{03381090-D0D8-4EC2-AEB8-B51937C437B3}"/>
            </a:ext>
          </a:extLst>
        </xdr:cNvPr>
        <xdr:cNvCxnSpPr/>
      </xdr:nvCxnSpPr>
      <xdr:spPr>
        <a:xfrm rot="5400000">
          <a:off x="5422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30</xdr:row>
      <xdr:rowOff>0</xdr:rowOff>
    </xdr:from>
    <xdr:to>
      <xdr:col>0</xdr:col>
      <xdr:colOff>825024</xdr:colOff>
      <xdr:row>30</xdr:row>
      <xdr:rowOff>13494</xdr:rowOff>
    </xdr:to>
    <xdr:cxnSp macro="">
      <xdr:nvCxnSpPr>
        <xdr:cNvPr id="15" name="3 Conector recto">
          <a:extLst>
            <a:ext uri="{FF2B5EF4-FFF2-40B4-BE49-F238E27FC236}">
              <a16:creationId xmlns:a16="http://schemas.microsoft.com/office/drawing/2014/main" id="{7732857A-F8CA-4814-A59B-8018AC66E666}"/>
            </a:ext>
          </a:extLst>
        </xdr:cNvPr>
        <xdr:cNvCxnSpPr/>
      </xdr:nvCxnSpPr>
      <xdr:spPr>
        <a:xfrm rot="5400000">
          <a:off x="539670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8335</xdr:rowOff>
    </xdr:to>
    <xdr:cxnSp macro="">
      <xdr:nvCxnSpPr>
        <xdr:cNvPr id="16" name="3 Conector recto">
          <a:extLst>
            <a:ext uri="{FF2B5EF4-FFF2-40B4-BE49-F238E27FC236}">
              <a16:creationId xmlns:a16="http://schemas.microsoft.com/office/drawing/2014/main" id="{9837505C-1DFA-4D2B-8F43-026271AB9360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8335</xdr:rowOff>
    </xdr:to>
    <xdr:cxnSp macro="">
      <xdr:nvCxnSpPr>
        <xdr:cNvPr id="17" name="3 Conector recto">
          <a:extLst>
            <a:ext uri="{FF2B5EF4-FFF2-40B4-BE49-F238E27FC236}">
              <a16:creationId xmlns:a16="http://schemas.microsoft.com/office/drawing/2014/main" id="{1A640DCD-3E3D-4DEB-9EF7-B463D4EF1A79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30</xdr:row>
      <xdr:rowOff>0</xdr:rowOff>
    </xdr:from>
    <xdr:to>
      <xdr:col>0</xdr:col>
      <xdr:colOff>831374</xdr:colOff>
      <xdr:row>30</xdr:row>
      <xdr:rowOff>13494</xdr:rowOff>
    </xdr:to>
    <xdr:cxnSp macro="">
      <xdr:nvCxnSpPr>
        <xdr:cNvPr id="18" name="3 Conector recto">
          <a:extLst>
            <a:ext uri="{FF2B5EF4-FFF2-40B4-BE49-F238E27FC236}">
              <a16:creationId xmlns:a16="http://schemas.microsoft.com/office/drawing/2014/main" id="{D060E119-ED7E-4DA0-98AC-E536CC6E6B11}"/>
            </a:ext>
          </a:extLst>
        </xdr:cNvPr>
        <xdr:cNvCxnSpPr/>
      </xdr:nvCxnSpPr>
      <xdr:spPr>
        <a:xfrm rot="5400000">
          <a:off x="549195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26</xdr:row>
      <xdr:rowOff>0</xdr:rowOff>
    </xdr:from>
    <xdr:to>
      <xdr:col>0</xdr:col>
      <xdr:colOff>825024</xdr:colOff>
      <xdr:row>26</xdr:row>
      <xdr:rowOff>8335</xdr:rowOff>
    </xdr:to>
    <xdr:cxnSp macro="">
      <xdr:nvCxnSpPr>
        <xdr:cNvPr id="19" name="3 Conector recto">
          <a:extLst>
            <a:ext uri="{FF2B5EF4-FFF2-40B4-BE49-F238E27FC236}">
              <a16:creationId xmlns:a16="http://schemas.microsoft.com/office/drawing/2014/main" id="{BCF7ACA8-8329-49D7-A454-7C2EED907FB3}"/>
            </a:ext>
          </a:extLst>
        </xdr:cNvPr>
        <xdr:cNvCxnSpPr/>
      </xdr:nvCxnSpPr>
      <xdr:spPr>
        <a:xfrm rot="5400000">
          <a:off x="5422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26</xdr:row>
      <xdr:rowOff>0</xdr:rowOff>
    </xdr:from>
    <xdr:to>
      <xdr:col>0</xdr:col>
      <xdr:colOff>825024</xdr:colOff>
      <xdr:row>26</xdr:row>
      <xdr:rowOff>8335</xdr:rowOff>
    </xdr:to>
    <xdr:cxnSp macro="">
      <xdr:nvCxnSpPr>
        <xdr:cNvPr id="20" name="3 Conector recto">
          <a:extLst>
            <a:ext uri="{FF2B5EF4-FFF2-40B4-BE49-F238E27FC236}">
              <a16:creationId xmlns:a16="http://schemas.microsoft.com/office/drawing/2014/main" id="{56AAB5EB-4EC0-4BAE-81D4-DF6D4965AC64}"/>
            </a:ext>
          </a:extLst>
        </xdr:cNvPr>
        <xdr:cNvCxnSpPr/>
      </xdr:nvCxnSpPr>
      <xdr:spPr>
        <a:xfrm rot="5400000">
          <a:off x="5422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30</xdr:row>
      <xdr:rowOff>0</xdr:rowOff>
    </xdr:from>
    <xdr:to>
      <xdr:col>0</xdr:col>
      <xdr:colOff>825024</xdr:colOff>
      <xdr:row>30</xdr:row>
      <xdr:rowOff>13494</xdr:rowOff>
    </xdr:to>
    <xdr:cxnSp macro="">
      <xdr:nvCxnSpPr>
        <xdr:cNvPr id="21" name="3 Conector recto">
          <a:extLst>
            <a:ext uri="{FF2B5EF4-FFF2-40B4-BE49-F238E27FC236}">
              <a16:creationId xmlns:a16="http://schemas.microsoft.com/office/drawing/2014/main" id="{CBD3BF93-1B23-42B0-932F-9E4B69468EF3}"/>
            </a:ext>
          </a:extLst>
        </xdr:cNvPr>
        <xdr:cNvCxnSpPr/>
      </xdr:nvCxnSpPr>
      <xdr:spPr>
        <a:xfrm rot="5400000">
          <a:off x="539670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3</xdr:col>
      <xdr:colOff>1493044</xdr:colOff>
      <xdr:row>43</xdr:row>
      <xdr:rowOff>190501</xdr:rowOff>
    </xdr:from>
    <xdr:to>
      <xdr:col>4</xdr:col>
      <xdr:colOff>826294</xdr:colOff>
      <xdr:row>47</xdr:row>
      <xdr:rowOff>114301</xdr:rowOff>
    </xdr:to>
    <xdr:pic>
      <xdr:nvPicPr>
        <xdr:cNvPr id="2063252" name="Imagen 77">
          <a:extLst>
            <a:ext uri="{FF2B5EF4-FFF2-40B4-BE49-F238E27FC236}">
              <a16:creationId xmlns:a16="http://schemas.microsoft.com/office/drawing/2014/main" id="{7757A88C-E57C-4D25-9C14-31F8B826B1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65107" y="9489282"/>
          <a:ext cx="1023937" cy="733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829786</xdr:colOff>
      <xdr:row>43</xdr:row>
      <xdr:rowOff>0</xdr:rowOff>
    </xdr:from>
    <xdr:to>
      <xdr:col>0</xdr:col>
      <xdr:colOff>831374</xdr:colOff>
      <xdr:row>43</xdr:row>
      <xdr:rowOff>13494</xdr:rowOff>
    </xdr:to>
    <xdr:cxnSp macro="">
      <xdr:nvCxnSpPr>
        <xdr:cNvPr id="2" name="3 Conector recto">
          <a:extLst>
            <a:ext uri="{FF2B5EF4-FFF2-40B4-BE49-F238E27FC236}">
              <a16:creationId xmlns:a16="http://schemas.microsoft.com/office/drawing/2014/main" id="{AB42393C-1EFF-45B0-B4CC-0BE8A86EF70E}"/>
            </a:ext>
          </a:extLst>
        </xdr:cNvPr>
        <xdr:cNvCxnSpPr/>
      </xdr:nvCxnSpPr>
      <xdr:spPr>
        <a:xfrm rot="5400000">
          <a:off x="549195" y="10386616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43</xdr:row>
      <xdr:rowOff>0</xdr:rowOff>
    </xdr:from>
    <xdr:to>
      <xdr:col>0</xdr:col>
      <xdr:colOff>831374</xdr:colOff>
      <xdr:row>43</xdr:row>
      <xdr:rowOff>13494</xdr:rowOff>
    </xdr:to>
    <xdr:cxnSp macro="">
      <xdr:nvCxnSpPr>
        <xdr:cNvPr id="3" name="3 Conector recto">
          <a:extLst>
            <a:ext uri="{FF2B5EF4-FFF2-40B4-BE49-F238E27FC236}">
              <a16:creationId xmlns:a16="http://schemas.microsoft.com/office/drawing/2014/main" id="{E6851387-68B2-4DE0-B5BA-099E196E4969}"/>
            </a:ext>
          </a:extLst>
        </xdr:cNvPr>
        <xdr:cNvCxnSpPr/>
      </xdr:nvCxnSpPr>
      <xdr:spPr>
        <a:xfrm rot="5400000">
          <a:off x="549195" y="10386616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44</xdr:row>
      <xdr:rowOff>0</xdr:rowOff>
    </xdr:from>
    <xdr:to>
      <xdr:col>0</xdr:col>
      <xdr:colOff>831374</xdr:colOff>
      <xdr:row>44</xdr:row>
      <xdr:rowOff>8335</xdr:rowOff>
    </xdr:to>
    <xdr:cxnSp macro="">
      <xdr:nvCxnSpPr>
        <xdr:cNvPr id="4" name="3 Conector recto">
          <a:extLst>
            <a:ext uri="{FF2B5EF4-FFF2-40B4-BE49-F238E27FC236}">
              <a16:creationId xmlns:a16="http://schemas.microsoft.com/office/drawing/2014/main" id="{C4EAB2A5-42A1-4AB3-9974-9A7ECF18AA70}"/>
            </a:ext>
          </a:extLst>
        </xdr:cNvPr>
        <xdr:cNvCxnSpPr/>
      </xdr:nvCxnSpPr>
      <xdr:spPr>
        <a:xfrm rot="5400000">
          <a:off x="551775" y="10574536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8335</xdr:rowOff>
    </xdr:to>
    <xdr:cxnSp macro="">
      <xdr:nvCxnSpPr>
        <xdr:cNvPr id="5" name="3 Conector recto">
          <a:extLst>
            <a:ext uri="{FF2B5EF4-FFF2-40B4-BE49-F238E27FC236}">
              <a16:creationId xmlns:a16="http://schemas.microsoft.com/office/drawing/2014/main" id="{DD177915-D2BE-4F0B-8D35-6F0DE3EA2761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8335</xdr:rowOff>
    </xdr:to>
    <xdr:cxnSp macro="">
      <xdr:nvCxnSpPr>
        <xdr:cNvPr id="6" name="3 Conector recto">
          <a:extLst>
            <a:ext uri="{FF2B5EF4-FFF2-40B4-BE49-F238E27FC236}">
              <a16:creationId xmlns:a16="http://schemas.microsoft.com/office/drawing/2014/main" id="{246CDA03-053D-48C7-917B-5AC552036C82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30</xdr:row>
      <xdr:rowOff>0</xdr:rowOff>
    </xdr:from>
    <xdr:to>
      <xdr:col>0</xdr:col>
      <xdr:colOff>831374</xdr:colOff>
      <xdr:row>30</xdr:row>
      <xdr:rowOff>13494</xdr:rowOff>
    </xdr:to>
    <xdr:cxnSp macro="">
      <xdr:nvCxnSpPr>
        <xdr:cNvPr id="7" name="3 Conector recto">
          <a:extLst>
            <a:ext uri="{FF2B5EF4-FFF2-40B4-BE49-F238E27FC236}">
              <a16:creationId xmlns:a16="http://schemas.microsoft.com/office/drawing/2014/main" id="{7AC76F39-1499-4D5F-872A-4FC2EC0193D7}"/>
            </a:ext>
          </a:extLst>
        </xdr:cNvPr>
        <xdr:cNvCxnSpPr/>
      </xdr:nvCxnSpPr>
      <xdr:spPr>
        <a:xfrm rot="5400000">
          <a:off x="549195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1</xdr:colOff>
      <xdr:row>0</xdr:row>
      <xdr:rowOff>285750</xdr:rowOff>
    </xdr:from>
    <xdr:to>
      <xdr:col>1</xdr:col>
      <xdr:colOff>690563</xdr:colOff>
      <xdr:row>4</xdr:row>
      <xdr:rowOff>23812</xdr:rowOff>
    </xdr:to>
    <xdr:pic>
      <xdr:nvPicPr>
        <xdr:cNvPr id="2064262" name="Imagen 18">
          <a:extLst>
            <a:ext uri="{FF2B5EF4-FFF2-40B4-BE49-F238E27FC236}">
              <a16:creationId xmlns:a16="http://schemas.microsoft.com/office/drawing/2014/main" id="{C9F90885-3883-40F9-97FC-343CCE0E0C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285750"/>
          <a:ext cx="23812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800100</xdr:colOff>
      <xdr:row>0</xdr:row>
      <xdr:rowOff>390525</xdr:rowOff>
    </xdr:from>
    <xdr:to>
      <xdr:col>5</xdr:col>
      <xdr:colOff>1447800</xdr:colOff>
      <xdr:row>4</xdr:row>
      <xdr:rowOff>47625</xdr:rowOff>
    </xdr:to>
    <xdr:pic>
      <xdr:nvPicPr>
        <xdr:cNvPr id="2064263" name="Imagen 19">
          <a:extLst>
            <a:ext uri="{FF2B5EF4-FFF2-40B4-BE49-F238E27FC236}">
              <a16:creationId xmlns:a16="http://schemas.microsoft.com/office/drawing/2014/main" id="{52DD06D4-4334-4025-84AE-E10F27C10F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62875" y="390525"/>
          <a:ext cx="1666875" cy="923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8335</xdr:rowOff>
    </xdr:to>
    <xdr:cxnSp macro="">
      <xdr:nvCxnSpPr>
        <xdr:cNvPr id="10" name="3 Conector recto">
          <a:extLst>
            <a:ext uri="{FF2B5EF4-FFF2-40B4-BE49-F238E27FC236}">
              <a16:creationId xmlns:a16="http://schemas.microsoft.com/office/drawing/2014/main" id="{76E073F3-A980-43F0-8639-8CCE3E75B6B6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8335</xdr:rowOff>
    </xdr:to>
    <xdr:cxnSp macro="">
      <xdr:nvCxnSpPr>
        <xdr:cNvPr id="11" name="3 Conector recto">
          <a:extLst>
            <a:ext uri="{FF2B5EF4-FFF2-40B4-BE49-F238E27FC236}">
              <a16:creationId xmlns:a16="http://schemas.microsoft.com/office/drawing/2014/main" id="{67036733-8B25-4FD1-9110-D54107546EC1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30</xdr:row>
      <xdr:rowOff>0</xdr:rowOff>
    </xdr:from>
    <xdr:to>
      <xdr:col>0</xdr:col>
      <xdr:colOff>831374</xdr:colOff>
      <xdr:row>30</xdr:row>
      <xdr:rowOff>13494</xdr:rowOff>
    </xdr:to>
    <xdr:cxnSp macro="">
      <xdr:nvCxnSpPr>
        <xdr:cNvPr id="12" name="3 Conector recto">
          <a:extLst>
            <a:ext uri="{FF2B5EF4-FFF2-40B4-BE49-F238E27FC236}">
              <a16:creationId xmlns:a16="http://schemas.microsoft.com/office/drawing/2014/main" id="{2CC10EF9-4598-4E1C-B716-7DC13866CBEF}"/>
            </a:ext>
          </a:extLst>
        </xdr:cNvPr>
        <xdr:cNvCxnSpPr/>
      </xdr:nvCxnSpPr>
      <xdr:spPr>
        <a:xfrm rot="5400000">
          <a:off x="549195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26</xdr:row>
      <xdr:rowOff>0</xdr:rowOff>
    </xdr:from>
    <xdr:to>
      <xdr:col>0</xdr:col>
      <xdr:colOff>825024</xdr:colOff>
      <xdr:row>26</xdr:row>
      <xdr:rowOff>8335</xdr:rowOff>
    </xdr:to>
    <xdr:cxnSp macro="">
      <xdr:nvCxnSpPr>
        <xdr:cNvPr id="13" name="3 Conector recto">
          <a:extLst>
            <a:ext uri="{FF2B5EF4-FFF2-40B4-BE49-F238E27FC236}">
              <a16:creationId xmlns:a16="http://schemas.microsoft.com/office/drawing/2014/main" id="{8D0C2FE4-B23F-44F4-90B7-A05241440C6D}"/>
            </a:ext>
          </a:extLst>
        </xdr:cNvPr>
        <xdr:cNvCxnSpPr/>
      </xdr:nvCxnSpPr>
      <xdr:spPr>
        <a:xfrm rot="5400000">
          <a:off x="5422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26</xdr:row>
      <xdr:rowOff>0</xdr:rowOff>
    </xdr:from>
    <xdr:to>
      <xdr:col>0</xdr:col>
      <xdr:colOff>825024</xdr:colOff>
      <xdr:row>26</xdr:row>
      <xdr:rowOff>8335</xdr:rowOff>
    </xdr:to>
    <xdr:cxnSp macro="">
      <xdr:nvCxnSpPr>
        <xdr:cNvPr id="14" name="3 Conector recto">
          <a:extLst>
            <a:ext uri="{FF2B5EF4-FFF2-40B4-BE49-F238E27FC236}">
              <a16:creationId xmlns:a16="http://schemas.microsoft.com/office/drawing/2014/main" id="{355FEEAE-2336-4EF9-9DD3-DB5A694B0D0A}"/>
            </a:ext>
          </a:extLst>
        </xdr:cNvPr>
        <xdr:cNvCxnSpPr/>
      </xdr:nvCxnSpPr>
      <xdr:spPr>
        <a:xfrm rot="5400000">
          <a:off x="5422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30</xdr:row>
      <xdr:rowOff>0</xdr:rowOff>
    </xdr:from>
    <xdr:to>
      <xdr:col>0</xdr:col>
      <xdr:colOff>825024</xdr:colOff>
      <xdr:row>30</xdr:row>
      <xdr:rowOff>13494</xdr:rowOff>
    </xdr:to>
    <xdr:cxnSp macro="">
      <xdr:nvCxnSpPr>
        <xdr:cNvPr id="15" name="3 Conector recto">
          <a:extLst>
            <a:ext uri="{FF2B5EF4-FFF2-40B4-BE49-F238E27FC236}">
              <a16:creationId xmlns:a16="http://schemas.microsoft.com/office/drawing/2014/main" id="{983CEA10-E238-4009-8C62-F38246B9844E}"/>
            </a:ext>
          </a:extLst>
        </xdr:cNvPr>
        <xdr:cNvCxnSpPr/>
      </xdr:nvCxnSpPr>
      <xdr:spPr>
        <a:xfrm rot="5400000">
          <a:off x="539670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8335</xdr:rowOff>
    </xdr:to>
    <xdr:cxnSp macro="">
      <xdr:nvCxnSpPr>
        <xdr:cNvPr id="16" name="3 Conector recto">
          <a:extLst>
            <a:ext uri="{FF2B5EF4-FFF2-40B4-BE49-F238E27FC236}">
              <a16:creationId xmlns:a16="http://schemas.microsoft.com/office/drawing/2014/main" id="{6C26FDA8-F045-4FE0-A221-0B7023CCE372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8335</xdr:rowOff>
    </xdr:to>
    <xdr:cxnSp macro="">
      <xdr:nvCxnSpPr>
        <xdr:cNvPr id="17" name="3 Conector recto">
          <a:extLst>
            <a:ext uri="{FF2B5EF4-FFF2-40B4-BE49-F238E27FC236}">
              <a16:creationId xmlns:a16="http://schemas.microsoft.com/office/drawing/2014/main" id="{791E3950-18EE-4050-89EF-ED0FC2C6AF79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30</xdr:row>
      <xdr:rowOff>0</xdr:rowOff>
    </xdr:from>
    <xdr:to>
      <xdr:col>0</xdr:col>
      <xdr:colOff>831374</xdr:colOff>
      <xdr:row>30</xdr:row>
      <xdr:rowOff>13494</xdr:rowOff>
    </xdr:to>
    <xdr:cxnSp macro="">
      <xdr:nvCxnSpPr>
        <xdr:cNvPr id="18" name="3 Conector recto">
          <a:extLst>
            <a:ext uri="{FF2B5EF4-FFF2-40B4-BE49-F238E27FC236}">
              <a16:creationId xmlns:a16="http://schemas.microsoft.com/office/drawing/2014/main" id="{D5E6E785-6370-4A7B-965A-A818FE8D0457}"/>
            </a:ext>
          </a:extLst>
        </xdr:cNvPr>
        <xdr:cNvCxnSpPr/>
      </xdr:nvCxnSpPr>
      <xdr:spPr>
        <a:xfrm rot="5400000">
          <a:off x="549195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26</xdr:row>
      <xdr:rowOff>0</xdr:rowOff>
    </xdr:from>
    <xdr:to>
      <xdr:col>0</xdr:col>
      <xdr:colOff>825024</xdr:colOff>
      <xdr:row>26</xdr:row>
      <xdr:rowOff>8335</xdr:rowOff>
    </xdr:to>
    <xdr:cxnSp macro="">
      <xdr:nvCxnSpPr>
        <xdr:cNvPr id="19" name="3 Conector recto">
          <a:extLst>
            <a:ext uri="{FF2B5EF4-FFF2-40B4-BE49-F238E27FC236}">
              <a16:creationId xmlns:a16="http://schemas.microsoft.com/office/drawing/2014/main" id="{A4567162-823F-4A1C-9DA3-2ED2224B6C97}"/>
            </a:ext>
          </a:extLst>
        </xdr:cNvPr>
        <xdr:cNvCxnSpPr/>
      </xdr:nvCxnSpPr>
      <xdr:spPr>
        <a:xfrm rot="5400000">
          <a:off x="5422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26</xdr:row>
      <xdr:rowOff>0</xdr:rowOff>
    </xdr:from>
    <xdr:to>
      <xdr:col>0</xdr:col>
      <xdr:colOff>825024</xdr:colOff>
      <xdr:row>26</xdr:row>
      <xdr:rowOff>8335</xdr:rowOff>
    </xdr:to>
    <xdr:cxnSp macro="">
      <xdr:nvCxnSpPr>
        <xdr:cNvPr id="20" name="3 Conector recto">
          <a:extLst>
            <a:ext uri="{FF2B5EF4-FFF2-40B4-BE49-F238E27FC236}">
              <a16:creationId xmlns:a16="http://schemas.microsoft.com/office/drawing/2014/main" id="{40AA1B35-2C62-48E5-A638-FDD7B609389B}"/>
            </a:ext>
          </a:extLst>
        </xdr:cNvPr>
        <xdr:cNvCxnSpPr/>
      </xdr:nvCxnSpPr>
      <xdr:spPr>
        <a:xfrm rot="5400000">
          <a:off x="5422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30</xdr:row>
      <xdr:rowOff>0</xdr:rowOff>
    </xdr:from>
    <xdr:to>
      <xdr:col>0</xdr:col>
      <xdr:colOff>825024</xdr:colOff>
      <xdr:row>30</xdr:row>
      <xdr:rowOff>13494</xdr:rowOff>
    </xdr:to>
    <xdr:cxnSp macro="">
      <xdr:nvCxnSpPr>
        <xdr:cNvPr id="21" name="3 Conector recto">
          <a:extLst>
            <a:ext uri="{FF2B5EF4-FFF2-40B4-BE49-F238E27FC236}">
              <a16:creationId xmlns:a16="http://schemas.microsoft.com/office/drawing/2014/main" id="{1892C99F-2B85-468F-AF6B-18ECB8BDF728}"/>
            </a:ext>
          </a:extLst>
        </xdr:cNvPr>
        <xdr:cNvCxnSpPr/>
      </xdr:nvCxnSpPr>
      <xdr:spPr>
        <a:xfrm rot="5400000">
          <a:off x="539670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3</xdr:col>
      <xdr:colOff>1200150</xdr:colOff>
      <xdr:row>43</xdr:row>
      <xdr:rowOff>135731</xdr:rowOff>
    </xdr:from>
    <xdr:to>
      <xdr:col>4</xdr:col>
      <xdr:colOff>476250</xdr:colOff>
      <xdr:row>47</xdr:row>
      <xdr:rowOff>69056</xdr:rowOff>
    </xdr:to>
    <xdr:pic>
      <xdr:nvPicPr>
        <xdr:cNvPr id="2064276" name="Imagen 77">
          <a:extLst>
            <a:ext uri="{FF2B5EF4-FFF2-40B4-BE49-F238E27FC236}">
              <a16:creationId xmlns:a16="http://schemas.microsoft.com/office/drawing/2014/main" id="{8281D3E3-B00C-40B2-91F4-892D069B59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86525" y="9434512"/>
          <a:ext cx="966788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829786</xdr:colOff>
      <xdr:row>45</xdr:row>
      <xdr:rowOff>0</xdr:rowOff>
    </xdr:from>
    <xdr:to>
      <xdr:col>0</xdr:col>
      <xdr:colOff>831374</xdr:colOff>
      <xdr:row>45</xdr:row>
      <xdr:rowOff>13494</xdr:rowOff>
    </xdr:to>
    <xdr:cxnSp macro="">
      <xdr:nvCxnSpPr>
        <xdr:cNvPr id="2" name="3 Conector recto">
          <a:extLst>
            <a:ext uri="{FF2B5EF4-FFF2-40B4-BE49-F238E27FC236}">
              <a16:creationId xmlns:a16="http://schemas.microsoft.com/office/drawing/2014/main" id="{CB1F0DDA-DEF5-4259-AA53-29D8964ABAE4}"/>
            </a:ext>
          </a:extLst>
        </xdr:cNvPr>
        <xdr:cNvCxnSpPr/>
      </xdr:nvCxnSpPr>
      <xdr:spPr>
        <a:xfrm rot="5400000">
          <a:off x="549195" y="10386616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45</xdr:row>
      <xdr:rowOff>0</xdr:rowOff>
    </xdr:from>
    <xdr:to>
      <xdr:col>0</xdr:col>
      <xdr:colOff>831374</xdr:colOff>
      <xdr:row>45</xdr:row>
      <xdr:rowOff>13494</xdr:rowOff>
    </xdr:to>
    <xdr:cxnSp macro="">
      <xdr:nvCxnSpPr>
        <xdr:cNvPr id="3" name="3 Conector recto">
          <a:extLst>
            <a:ext uri="{FF2B5EF4-FFF2-40B4-BE49-F238E27FC236}">
              <a16:creationId xmlns:a16="http://schemas.microsoft.com/office/drawing/2014/main" id="{503F1D7E-2DEE-46C8-8E5F-E291F99A3285}"/>
            </a:ext>
          </a:extLst>
        </xdr:cNvPr>
        <xdr:cNvCxnSpPr/>
      </xdr:nvCxnSpPr>
      <xdr:spPr>
        <a:xfrm rot="5400000">
          <a:off x="549195" y="10386616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46</xdr:row>
      <xdr:rowOff>0</xdr:rowOff>
    </xdr:from>
    <xdr:to>
      <xdr:col>0</xdr:col>
      <xdr:colOff>831374</xdr:colOff>
      <xdr:row>46</xdr:row>
      <xdr:rowOff>8335</xdr:rowOff>
    </xdr:to>
    <xdr:cxnSp macro="">
      <xdr:nvCxnSpPr>
        <xdr:cNvPr id="4" name="3 Conector recto">
          <a:extLst>
            <a:ext uri="{FF2B5EF4-FFF2-40B4-BE49-F238E27FC236}">
              <a16:creationId xmlns:a16="http://schemas.microsoft.com/office/drawing/2014/main" id="{EAAE76AE-A311-4F87-A15E-28EC514FA32E}"/>
            </a:ext>
          </a:extLst>
        </xdr:cNvPr>
        <xdr:cNvCxnSpPr/>
      </xdr:nvCxnSpPr>
      <xdr:spPr>
        <a:xfrm rot="5400000">
          <a:off x="551775" y="10574536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8335</xdr:rowOff>
    </xdr:to>
    <xdr:cxnSp macro="">
      <xdr:nvCxnSpPr>
        <xdr:cNvPr id="5" name="3 Conector recto">
          <a:extLst>
            <a:ext uri="{FF2B5EF4-FFF2-40B4-BE49-F238E27FC236}">
              <a16:creationId xmlns:a16="http://schemas.microsoft.com/office/drawing/2014/main" id="{D8FA1427-5830-4A36-B175-A7E4E74002AD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8335</xdr:rowOff>
    </xdr:to>
    <xdr:cxnSp macro="">
      <xdr:nvCxnSpPr>
        <xdr:cNvPr id="6" name="3 Conector recto">
          <a:extLst>
            <a:ext uri="{FF2B5EF4-FFF2-40B4-BE49-F238E27FC236}">
              <a16:creationId xmlns:a16="http://schemas.microsoft.com/office/drawing/2014/main" id="{571888C6-A92F-4C35-8959-C0A0A44A188B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30</xdr:row>
      <xdr:rowOff>0</xdr:rowOff>
    </xdr:from>
    <xdr:to>
      <xdr:col>0</xdr:col>
      <xdr:colOff>831374</xdr:colOff>
      <xdr:row>30</xdr:row>
      <xdr:rowOff>13494</xdr:rowOff>
    </xdr:to>
    <xdr:cxnSp macro="">
      <xdr:nvCxnSpPr>
        <xdr:cNvPr id="7" name="3 Conector recto">
          <a:extLst>
            <a:ext uri="{FF2B5EF4-FFF2-40B4-BE49-F238E27FC236}">
              <a16:creationId xmlns:a16="http://schemas.microsoft.com/office/drawing/2014/main" id="{CCF81ED6-F450-41B1-803A-C9CE28C0D8A5}"/>
            </a:ext>
          </a:extLst>
        </xdr:cNvPr>
        <xdr:cNvCxnSpPr/>
      </xdr:nvCxnSpPr>
      <xdr:spPr>
        <a:xfrm rot="5400000">
          <a:off x="549195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0</xdr:colOff>
      <xdr:row>0</xdr:row>
      <xdr:rowOff>285750</xdr:rowOff>
    </xdr:from>
    <xdr:to>
      <xdr:col>1</xdr:col>
      <xdr:colOff>857249</xdr:colOff>
      <xdr:row>4</xdr:row>
      <xdr:rowOff>23812</xdr:rowOff>
    </xdr:to>
    <xdr:pic>
      <xdr:nvPicPr>
        <xdr:cNvPr id="2065286" name="Imagen 18">
          <a:extLst>
            <a:ext uri="{FF2B5EF4-FFF2-40B4-BE49-F238E27FC236}">
              <a16:creationId xmlns:a16="http://schemas.microsoft.com/office/drawing/2014/main" id="{F4361968-333D-4A36-83BD-9EFE8C067E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0"/>
          <a:ext cx="2547937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800100</xdr:colOff>
      <xdr:row>0</xdr:row>
      <xdr:rowOff>390525</xdr:rowOff>
    </xdr:from>
    <xdr:to>
      <xdr:col>5</xdr:col>
      <xdr:colOff>1281113</xdr:colOff>
      <xdr:row>4</xdr:row>
      <xdr:rowOff>47625</xdr:rowOff>
    </xdr:to>
    <xdr:pic>
      <xdr:nvPicPr>
        <xdr:cNvPr id="2065287" name="Imagen 19">
          <a:extLst>
            <a:ext uri="{FF2B5EF4-FFF2-40B4-BE49-F238E27FC236}">
              <a16:creationId xmlns:a16="http://schemas.microsoft.com/office/drawing/2014/main" id="{7EECFA6E-9DFD-4E61-B96D-66F673D20C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0" y="390525"/>
          <a:ext cx="1666875" cy="923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8335</xdr:rowOff>
    </xdr:to>
    <xdr:cxnSp macro="">
      <xdr:nvCxnSpPr>
        <xdr:cNvPr id="10" name="3 Conector recto">
          <a:extLst>
            <a:ext uri="{FF2B5EF4-FFF2-40B4-BE49-F238E27FC236}">
              <a16:creationId xmlns:a16="http://schemas.microsoft.com/office/drawing/2014/main" id="{B443F1EB-3820-4302-96E8-6FA1144E8922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8335</xdr:rowOff>
    </xdr:to>
    <xdr:cxnSp macro="">
      <xdr:nvCxnSpPr>
        <xdr:cNvPr id="11" name="3 Conector recto">
          <a:extLst>
            <a:ext uri="{FF2B5EF4-FFF2-40B4-BE49-F238E27FC236}">
              <a16:creationId xmlns:a16="http://schemas.microsoft.com/office/drawing/2014/main" id="{5A39C311-4759-43F6-8E77-899D2D2A15A1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30</xdr:row>
      <xdr:rowOff>0</xdr:rowOff>
    </xdr:from>
    <xdr:to>
      <xdr:col>0</xdr:col>
      <xdr:colOff>831374</xdr:colOff>
      <xdr:row>30</xdr:row>
      <xdr:rowOff>13494</xdr:rowOff>
    </xdr:to>
    <xdr:cxnSp macro="">
      <xdr:nvCxnSpPr>
        <xdr:cNvPr id="12" name="3 Conector recto">
          <a:extLst>
            <a:ext uri="{FF2B5EF4-FFF2-40B4-BE49-F238E27FC236}">
              <a16:creationId xmlns:a16="http://schemas.microsoft.com/office/drawing/2014/main" id="{6BC9A005-8E14-4067-970B-0D04056CB2BD}"/>
            </a:ext>
          </a:extLst>
        </xdr:cNvPr>
        <xdr:cNvCxnSpPr/>
      </xdr:nvCxnSpPr>
      <xdr:spPr>
        <a:xfrm rot="5400000">
          <a:off x="549195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26</xdr:row>
      <xdr:rowOff>0</xdr:rowOff>
    </xdr:from>
    <xdr:to>
      <xdr:col>0</xdr:col>
      <xdr:colOff>825024</xdr:colOff>
      <xdr:row>26</xdr:row>
      <xdr:rowOff>8335</xdr:rowOff>
    </xdr:to>
    <xdr:cxnSp macro="">
      <xdr:nvCxnSpPr>
        <xdr:cNvPr id="13" name="3 Conector recto">
          <a:extLst>
            <a:ext uri="{FF2B5EF4-FFF2-40B4-BE49-F238E27FC236}">
              <a16:creationId xmlns:a16="http://schemas.microsoft.com/office/drawing/2014/main" id="{CA175F18-AE9C-46E0-807E-0C64DE1082E6}"/>
            </a:ext>
          </a:extLst>
        </xdr:cNvPr>
        <xdr:cNvCxnSpPr/>
      </xdr:nvCxnSpPr>
      <xdr:spPr>
        <a:xfrm rot="5400000">
          <a:off x="5422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26</xdr:row>
      <xdr:rowOff>0</xdr:rowOff>
    </xdr:from>
    <xdr:to>
      <xdr:col>0</xdr:col>
      <xdr:colOff>825024</xdr:colOff>
      <xdr:row>26</xdr:row>
      <xdr:rowOff>8335</xdr:rowOff>
    </xdr:to>
    <xdr:cxnSp macro="">
      <xdr:nvCxnSpPr>
        <xdr:cNvPr id="14" name="3 Conector recto">
          <a:extLst>
            <a:ext uri="{FF2B5EF4-FFF2-40B4-BE49-F238E27FC236}">
              <a16:creationId xmlns:a16="http://schemas.microsoft.com/office/drawing/2014/main" id="{F0F6A0E0-D036-4950-BD2A-5D40A2F7D9D3}"/>
            </a:ext>
          </a:extLst>
        </xdr:cNvPr>
        <xdr:cNvCxnSpPr/>
      </xdr:nvCxnSpPr>
      <xdr:spPr>
        <a:xfrm rot="5400000">
          <a:off x="5422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30</xdr:row>
      <xdr:rowOff>0</xdr:rowOff>
    </xdr:from>
    <xdr:to>
      <xdr:col>0</xdr:col>
      <xdr:colOff>825024</xdr:colOff>
      <xdr:row>30</xdr:row>
      <xdr:rowOff>13494</xdr:rowOff>
    </xdr:to>
    <xdr:cxnSp macro="">
      <xdr:nvCxnSpPr>
        <xdr:cNvPr id="15" name="3 Conector recto">
          <a:extLst>
            <a:ext uri="{FF2B5EF4-FFF2-40B4-BE49-F238E27FC236}">
              <a16:creationId xmlns:a16="http://schemas.microsoft.com/office/drawing/2014/main" id="{2D68B111-EA8F-4830-B3EE-16D49B925EC7}"/>
            </a:ext>
          </a:extLst>
        </xdr:cNvPr>
        <xdr:cNvCxnSpPr/>
      </xdr:nvCxnSpPr>
      <xdr:spPr>
        <a:xfrm rot="5400000">
          <a:off x="539670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8335</xdr:rowOff>
    </xdr:to>
    <xdr:cxnSp macro="">
      <xdr:nvCxnSpPr>
        <xdr:cNvPr id="16" name="3 Conector recto">
          <a:extLst>
            <a:ext uri="{FF2B5EF4-FFF2-40B4-BE49-F238E27FC236}">
              <a16:creationId xmlns:a16="http://schemas.microsoft.com/office/drawing/2014/main" id="{29801120-7AA0-454B-86BD-65BC93EFDAB8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8335</xdr:rowOff>
    </xdr:to>
    <xdr:cxnSp macro="">
      <xdr:nvCxnSpPr>
        <xdr:cNvPr id="17" name="3 Conector recto">
          <a:extLst>
            <a:ext uri="{FF2B5EF4-FFF2-40B4-BE49-F238E27FC236}">
              <a16:creationId xmlns:a16="http://schemas.microsoft.com/office/drawing/2014/main" id="{CB6E98DA-6D5F-4CD5-B20C-73AB88181B7D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30</xdr:row>
      <xdr:rowOff>0</xdr:rowOff>
    </xdr:from>
    <xdr:to>
      <xdr:col>0</xdr:col>
      <xdr:colOff>831374</xdr:colOff>
      <xdr:row>30</xdr:row>
      <xdr:rowOff>13494</xdr:rowOff>
    </xdr:to>
    <xdr:cxnSp macro="">
      <xdr:nvCxnSpPr>
        <xdr:cNvPr id="18" name="3 Conector recto">
          <a:extLst>
            <a:ext uri="{FF2B5EF4-FFF2-40B4-BE49-F238E27FC236}">
              <a16:creationId xmlns:a16="http://schemas.microsoft.com/office/drawing/2014/main" id="{292545C2-7598-4CFC-BD52-A02633A55561}"/>
            </a:ext>
          </a:extLst>
        </xdr:cNvPr>
        <xdr:cNvCxnSpPr/>
      </xdr:nvCxnSpPr>
      <xdr:spPr>
        <a:xfrm rot="5400000">
          <a:off x="549195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26</xdr:row>
      <xdr:rowOff>0</xdr:rowOff>
    </xdr:from>
    <xdr:to>
      <xdr:col>0</xdr:col>
      <xdr:colOff>825024</xdr:colOff>
      <xdr:row>26</xdr:row>
      <xdr:rowOff>8335</xdr:rowOff>
    </xdr:to>
    <xdr:cxnSp macro="">
      <xdr:nvCxnSpPr>
        <xdr:cNvPr id="19" name="3 Conector recto">
          <a:extLst>
            <a:ext uri="{FF2B5EF4-FFF2-40B4-BE49-F238E27FC236}">
              <a16:creationId xmlns:a16="http://schemas.microsoft.com/office/drawing/2014/main" id="{6FA8B546-7BD9-4600-AF23-EA85497571A9}"/>
            </a:ext>
          </a:extLst>
        </xdr:cNvPr>
        <xdr:cNvCxnSpPr/>
      </xdr:nvCxnSpPr>
      <xdr:spPr>
        <a:xfrm rot="5400000">
          <a:off x="5422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26</xdr:row>
      <xdr:rowOff>0</xdr:rowOff>
    </xdr:from>
    <xdr:to>
      <xdr:col>0</xdr:col>
      <xdr:colOff>825024</xdr:colOff>
      <xdr:row>26</xdr:row>
      <xdr:rowOff>8335</xdr:rowOff>
    </xdr:to>
    <xdr:cxnSp macro="">
      <xdr:nvCxnSpPr>
        <xdr:cNvPr id="20" name="3 Conector recto">
          <a:extLst>
            <a:ext uri="{FF2B5EF4-FFF2-40B4-BE49-F238E27FC236}">
              <a16:creationId xmlns:a16="http://schemas.microsoft.com/office/drawing/2014/main" id="{7C2486E2-3B41-42AD-95DB-B2C5A2C6E1C9}"/>
            </a:ext>
          </a:extLst>
        </xdr:cNvPr>
        <xdr:cNvCxnSpPr/>
      </xdr:nvCxnSpPr>
      <xdr:spPr>
        <a:xfrm rot="5400000">
          <a:off x="5422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30</xdr:row>
      <xdr:rowOff>0</xdr:rowOff>
    </xdr:from>
    <xdr:to>
      <xdr:col>0</xdr:col>
      <xdr:colOff>825024</xdr:colOff>
      <xdr:row>30</xdr:row>
      <xdr:rowOff>13494</xdr:rowOff>
    </xdr:to>
    <xdr:cxnSp macro="">
      <xdr:nvCxnSpPr>
        <xdr:cNvPr id="21" name="3 Conector recto">
          <a:extLst>
            <a:ext uri="{FF2B5EF4-FFF2-40B4-BE49-F238E27FC236}">
              <a16:creationId xmlns:a16="http://schemas.microsoft.com/office/drawing/2014/main" id="{F52EDDBB-742A-4894-95A6-41C5750AC221}"/>
            </a:ext>
          </a:extLst>
        </xdr:cNvPr>
        <xdr:cNvCxnSpPr/>
      </xdr:nvCxnSpPr>
      <xdr:spPr>
        <a:xfrm rot="5400000">
          <a:off x="539670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3</xdr:col>
      <xdr:colOff>1562100</xdr:colOff>
      <xdr:row>45</xdr:row>
      <xdr:rowOff>38100</xdr:rowOff>
    </xdr:from>
    <xdr:to>
      <xdr:col>4</xdr:col>
      <xdr:colOff>877574</xdr:colOff>
      <xdr:row>49</xdr:row>
      <xdr:rowOff>59531</xdr:rowOff>
    </xdr:to>
    <xdr:pic>
      <xdr:nvPicPr>
        <xdr:cNvPr id="2065300" name="Imagen 77">
          <a:extLst>
            <a:ext uri="{FF2B5EF4-FFF2-40B4-BE49-F238E27FC236}">
              <a16:creationId xmlns:a16="http://schemas.microsoft.com/office/drawing/2014/main" id="{F17D2992-280E-4EBF-B300-DB06E8B012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34163" y="9336881"/>
          <a:ext cx="1006161" cy="8310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859949</xdr:colOff>
      <xdr:row>45</xdr:row>
      <xdr:rowOff>198437</xdr:rowOff>
    </xdr:from>
    <xdr:to>
      <xdr:col>0</xdr:col>
      <xdr:colOff>861537</xdr:colOff>
      <xdr:row>45</xdr:row>
      <xdr:rowOff>198437</xdr:rowOff>
    </xdr:to>
    <xdr:cxnSp macro="">
      <xdr:nvCxnSpPr>
        <xdr:cNvPr id="2" name="3 Conector recto">
          <a:extLst>
            <a:ext uri="{FF2B5EF4-FFF2-40B4-BE49-F238E27FC236}">
              <a16:creationId xmlns:a16="http://schemas.microsoft.com/office/drawing/2014/main" id="{695537F8-1CD9-4314-AF9A-1DD335C0DAAA}"/>
            </a:ext>
          </a:extLst>
        </xdr:cNvPr>
        <xdr:cNvCxnSpPr/>
      </xdr:nvCxnSpPr>
      <xdr:spPr>
        <a:xfrm rot="5400000">
          <a:off x="557927" y="9163447"/>
          <a:ext cx="34131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859949</xdr:colOff>
      <xdr:row>45</xdr:row>
      <xdr:rowOff>198437</xdr:rowOff>
    </xdr:from>
    <xdr:to>
      <xdr:col>0</xdr:col>
      <xdr:colOff>861537</xdr:colOff>
      <xdr:row>45</xdr:row>
      <xdr:rowOff>198437</xdr:rowOff>
    </xdr:to>
    <xdr:cxnSp macro="">
      <xdr:nvCxnSpPr>
        <xdr:cNvPr id="3" name="3 Conector recto">
          <a:extLst>
            <a:ext uri="{FF2B5EF4-FFF2-40B4-BE49-F238E27FC236}">
              <a16:creationId xmlns:a16="http://schemas.microsoft.com/office/drawing/2014/main" id="{C31CFFD1-11F4-4C7B-8128-B94E5D3604A3}"/>
            </a:ext>
          </a:extLst>
        </xdr:cNvPr>
        <xdr:cNvCxnSpPr/>
      </xdr:nvCxnSpPr>
      <xdr:spPr>
        <a:xfrm rot="5400000">
          <a:off x="557927" y="9163447"/>
          <a:ext cx="34131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852011</xdr:colOff>
      <xdr:row>47</xdr:row>
      <xdr:rowOff>794</xdr:rowOff>
    </xdr:from>
    <xdr:to>
      <xdr:col>0</xdr:col>
      <xdr:colOff>853599</xdr:colOff>
      <xdr:row>47</xdr:row>
      <xdr:rowOff>794</xdr:rowOff>
    </xdr:to>
    <xdr:cxnSp macro="">
      <xdr:nvCxnSpPr>
        <xdr:cNvPr id="4" name="3 Conector recto">
          <a:extLst>
            <a:ext uri="{FF2B5EF4-FFF2-40B4-BE49-F238E27FC236}">
              <a16:creationId xmlns:a16="http://schemas.microsoft.com/office/drawing/2014/main" id="{DB5F9EFC-0ED5-4459-AE12-10F52C0467FE}"/>
            </a:ext>
          </a:extLst>
        </xdr:cNvPr>
        <xdr:cNvCxnSpPr/>
      </xdr:nvCxnSpPr>
      <xdr:spPr>
        <a:xfrm rot="5400000">
          <a:off x="555347" y="9368433"/>
          <a:ext cx="17066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832465</xdr:colOff>
      <xdr:row>25</xdr:row>
      <xdr:rowOff>225326</xdr:rowOff>
    </xdr:from>
    <xdr:to>
      <xdr:col>0</xdr:col>
      <xdr:colOff>841991</xdr:colOff>
      <xdr:row>26</xdr:row>
      <xdr:rowOff>2481</xdr:rowOff>
    </xdr:to>
    <xdr:cxnSp macro="">
      <xdr:nvCxnSpPr>
        <xdr:cNvPr id="5" name="3 Conector recto">
          <a:extLst>
            <a:ext uri="{FF2B5EF4-FFF2-40B4-BE49-F238E27FC236}">
              <a16:creationId xmlns:a16="http://schemas.microsoft.com/office/drawing/2014/main" id="{A771A8C9-72E0-49E9-BD89-39062A87A84D}"/>
            </a:ext>
          </a:extLst>
        </xdr:cNvPr>
        <xdr:cNvCxnSpPr/>
      </xdr:nvCxnSpPr>
      <xdr:spPr>
        <a:xfrm rot="5400000">
          <a:off x="555347" y="7405688"/>
          <a:ext cx="3374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832465</xdr:colOff>
      <xdr:row>25</xdr:row>
      <xdr:rowOff>225326</xdr:rowOff>
    </xdr:from>
    <xdr:to>
      <xdr:col>0</xdr:col>
      <xdr:colOff>841991</xdr:colOff>
      <xdr:row>26</xdr:row>
      <xdr:rowOff>2481</xdr:rowOff>
    </xdr:to>
    <xdr:cxnSp macro="">
      <xdr:nvCxnSpPr>
        <xdr:cNvPr id="6" name="3 Conector recto">
          <a:extLst>
            <a:ext uri="{FF2B5EF4-FFF2-40B4-BE49-F238E27FC236}">
              <a16:creationId xmlns:a16="http://schemas.microsoft.com/office/drawing/2014/main" id="{7C33419E-ED85-4FFF-A583-E15A44CDAA00}"/>
            </a:ext>
          </a:extLst>
        </xdr:cNvPr>
        <xdr:cNvCxnSpPr/>
      </xdr:nvCxnSpPr>
      <xdr:spPr>
        <a:xfrm rot="5400000">
          <a:off x="555347" y="7405688"/>
          <a:ext cx="3374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851217</xdr:colOff>
      <xdr:row>27</xdr:row>
      <xdr:rowOff>0</xdr:rowOff>
    </xdr:from>
    <xdr:to>
      <xdr:col>0</xdr:col>
      <xdr:colOff>852805</xdr:colOff>
      <xdr:row>27</xdr:row>
      <xdr:rowOff>0</xdr:rowOff>
    </xdr:to>
    <xdr:cxnSp macro="">
      <xdr:nvCxnSpPr>
        <xdr:cNvPr id="7" name="3 Conector recto">
          <a:extLst>
            <a:ext uri="{FF2B5EF4-FFF2-40B4-BE49-F238E27FC236}">
              <a16:creationId xmlns:a16="http://schemas.microsoft.com/office/drawing/2014/main" id="{568539C6-43AB-47A8-B982-F23F19FEC0A0}"/>
            </a:ext>
          </a:extLst>
        </xdr:cNvPr>
        <xdr:cNvCxnSpPr/>
      </xdr:nvCxnSpPr>
      <xdr:spPr>
        <a:xfrm rot="5400000">
          <a:off x="557927" y="7627541"/>
          <a:ext cx="10318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0</xdr:colOff>
      <xdr:row>0</xdr:row>
      <xdr:rowOff>285750</xdr:rowOff>
    </xdr:from>
    <xdr:to>
      <xdr:col>1</xdr:col>
      <xdr:colOff>738187</xdr:colOff>
      <xdr:row>4</xdr:row>
      <xdr:rowOff>23812</xdr:rowOff>
    </xdr:to>
    <xdr:pic>
      <xdr:nvPicPr>
        <xdr:cNvPr id="2066310" name="Imagen 18">
          <a:extLst>
            <a:ext uri="{FF2B5EF4-FFF2-40B4-BE49-F238E27FC236}">
              <a16:creationId xmlns:a16="http://schemas.microsoft.com/office/drawing/2014/main" id="{D3BA7DAB-DE5B-4488-A54B-7250335561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0"/>
          <a:ext cx="2428875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800100</xdr:colOff>
      <xdr:row>0</xdr:row>
      <xdr:rowOff>390525</xdr:rowOff>
    </xdr:from>
    <xdr:to>
      <xdr:col>5</xdr:col>
      <xdr:colOff>1447800</xdr:colOff>
      <xdr:row>4</xdr:row>
      <xdr:rowOff>47625</xdr:rowOff>
    </xdr:to>
    <xdr:pic>
      <xdr:nvPicPr>
        <xdr:cNvPr id="2066311" name="Imagen 19">
          <a:extLst>
            <a:ext uri="{FF2B5EF4-FFF2-40B4-BE49-F238E27FC236}">
              <a16:creationId xmlns:a16="http://schemas.microsoft.com/office/drawing/2014/main" id="{0FC6C664-8464-4518-A116-EA34F96110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86700" y="390525"/>
          <a:ext cx="1943100" cy="923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832465</xdr:colOff>
      <xdr:row>25</xdr:row>
      <xdr:rowOff>225326</xdr:rowOff>
    </xdr:from>
    <xdr:to>
      <xdr:col>0</xdr:col>
      <xdr:colOff>841991</xdr:colOff>
      <xdr:row>26</xdr:row>
      <xdr:rowOff>2481</xdr:rowOff>
    </xdr:to>
    <xdr:cxnSp macro="">
      <xdr:nvCxnSpPr>
        <xdr:cNvPr id="10" name="3 Conector recto">
          <a:extLst>
            <a:ext uri="{FF2B5EF4-FFF2-40B4-BE49-F238E27FC236}">
              <a16:creationId xmlns:a16="http://schemas.microsoft.com/office/drawing/2014/main" id="{F55928F7-C96E-4808-A137-6F8DB83A6AEC}"/>
            </a:ext>
          </a:extLst>
        </xdr:cNvPr>
        <xdr:cNvCxnSpPr/>
      </xdr:nvCxnSpPr>
      <xdr:spPr>
        <a:xfrm rot="5400000">
          <a:off x="555347" y="7405688"/>
          <a:ext cx="3374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832465</xdr:colOff>
      <xdr:row>25</xdr:row>
      <xdr:rowOff>225326</xdr:rowOff>
    </xdr:from>
    <xdr:to>
      <xdr:col>0</xdr:col>
      <xdr:colOff>841991</xdr:colOff>
      <xdr:row>26</xdr:row>
      <xdr:rowOff>2481</xdr:rowOff>
    </xdr:to>
    <xdr:cxnSp macro="">
      <xdr:nvCxnSpPr>
        <xdr:cNvPr id="11" name="3 Conector recto">
          <a:extLst>
            <a:ext uri="{FF2B5EF4-FFF2-40B4-BE49-F238E27FC236}">
              <a16:creationId xmlns:a16="http://schemas.microsoft.com/office/drawing/2014/main" id="{FB5B1ED0-D7C1-4ACF-A787-149915A430ED}"/>
            </a:ext>
          </a:extLst>
        </xdr:cNvPr>
        <xdr:cNvCxnSpPr/>
      </xdr:nvCxnSpPr>
      <xdr:spPr>
        <a:xfrm rot="5400000">
          <a:off x="555347" y="7405688"/>
          <a:ext cx="3374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851217</xdr:colOff>
      <xdr:row>27</xdr:row>
      <xdr:rowOff>0</xdr:rowOff>
    </xdr:from>
    <xdr:to>
      <xdr:col>0</xdr:col>
      <xdr:colOff>852805</xdr:colOff>
      <xdr:row>27</xdr:row>
      <xdr:rowOff>0</xdr:rowOff>
    </xdr:to>
    <xdr:cxnSp macro="">
      <xdr:nvCxnSpPr>
        <xdr:cNvPr id="12" name="3 Conector recto">
          <a:extLst>
            <a:ext uri="{FF2B5EF4-FFF2-40B4-BE49-F238E27FC236}">
              <a16:creationId xmlns:a16="http://schemas.microsoft.com/office/drawing/2014/main" id="{F7CDBA26-F557-4FF5-AAFA-54126AD0040F}"/>
            </a:ext>
          </a:extLst>
        </xdr:cNvPr>
        <xdr:cNvCxnSpPr/>
      </xdr:nvCxnSpPr>
      <xdr:spPr>
        <a:xfrm rot="5400000">
          <a:off x="557927" y="7627541"/>
          <a:ext cx="10318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826115</xdr:colOff>
      <xdr:row>25</xdr:row>
      <xdr:rowOff>225326</xdr:rowOff>
    </xdr:from>
    <xdr:to>
      <xdr:col>0</xdr:col>
      <xdr:colOff>824528</xdr:colOff>
      <xdr:row>26</xdr:row>
      <xdr:rowOff>2481</xdr:rowOff>
    </xdr:to>
    <xdr:cxnSp macro="">
      <xdr:nvCxnSpPr>
        <xdr:cNvPr id="13" name="3 Conector recto">
          <a:extLst>
            <a:ext uri="{FF2B5EF4-FFF2-40B4-BE49-F238E27FC236}">
              <a16:creationId xmlns:a16="http://schemas.microsoft.com/office/drawing/2014/main" id="{65E69436-9CE9-440D-8BC5-9E22AF967434}"/>
            </a:ext>
          </a:extLst>
        </xdr:cNvPr>
        <xdr:cNvCxnSpPr/>
      </xdr:nvCxnSpPr>
      <xdr:spPr>
        <a:xfrm rot="5400000">
          <a:off x="545822" y="7405688"/>
          <a:ext cx="3374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826115</xdr:colOff>
      <xdr:row>25</xdr:row>
      <xdr:rowOff>225326</xdr:rowOff>
    </xdr:from>
    <xdr:to>
      <xdr:col>0</xdr:col>
      <xdr:colOff>824528</xdr:colOff>
      <xdr:row>26</xdr:row>
      <xdr:rowOff>2481</xdr:rowOff>
    </xdr:to>
    <xdr:cxnSp macro="">
      <xdr:nvCxnSpPr>
        <xdr:cNvPr id="14" name="3 Conector recto">
          <a:extLst>
            <a:ext uri="{FF2B5EF4-FFF2-40B4-BE49-F238E27FC236}">
              <a16:creationId xmlns:a16="http://schemas.microsoft.com/office/drawing/2014/main" id="{C4604626-8313-4FB1-8317-E542B892A8D8}"/>
            </a:ext>
          </a:extLst>
        </xdr:cNvPr>
        <xdr:cNvCxnSpPr/>
      </xdr:nvCxnSpPr>
      <xdr:spPr>
        <a:xfrm rot="5400000">
          <a:off x="545822" y="7405688"/>
          <a:ext cx="3374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828992</xdr:colOff>
      <xdr:row>27</xdr:row>
      <xdr:rowOff>0</xdr:rowOff>
    </xdr:from>
    <xdr:to>
      <xdr:col>0</xdr:col>
      <xdr:colOff>830580</xdr:colOff>
      <xdr:row>27</xdr:row>
      <xdr:rowOff>0</xdr:rowOff>
    </xdr:to>
    <xdr:cxnSp macro="">
      <xdr:nvCxnSpPr>
        <xdr:cNvPr id="15" name="3 Conector recto">
          <a:extLst>
            <a:ext uri="{FF2B5EF4-FFF2-40B4-BE49-F238E27FC236}">
              <a16:creationId xmlns:a16="http://schemas.microsoft.com/office/drawing/2014/main" id="{207AFE17-E537-4ABE-A023-1B39CB6802A9}"/>
            </a:ext>
          </a:extLst>
        </xdr:cNvPr>
        <xdr:cNvCxnSpPr/>
      </xdr:nvCxnSpPr>
      <xdr:spPr>
        <a:xfrm rot="5400000">
          <a:off x="548402" y="7627541"/>
          <a:ext cx="10318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832465</xdr:colOff>
      <xdr:row>25</xdr:row>
      <xdr:rowOff>225326</xdr:rowOff>
    </xdr:from>
    <xdr:to>
      <xdr:col>0</xdr:col>
      <xdr:colOff>841991</xdr:colOff>
      <xdr:row>26</xdr:row>
      <xdr:rowOff>2481</xdr:rowOff>
    </xdr:to>
    <xdr:cxnSp macro="">
      <xdr:nvCxnSpPr>
        <xdr:cNvPr id="16" name="3 Conector recto">
          <a:extLst>
            <a:ext uri="{FF2B5EF4-FFF2-40B4-BE49-F238E27FC236}">
              <a16:creationId xmlns:a16="http://schemas.microsoft.com/office/drawing/2014/main" id="{A79EDF01-E0F3-4A9C-B194-1CA5351AEB60}"/>
            </a:ext>
          </a:extLst>
        </xdr:cNvPr>
        <xdr:cNvCxnSpPr/>
      </xdr:nvCxnSpPr>
      <xdr:spPr>
        <a:xfrm rot="5400000">
          <a:off x="555347" y="7405688"/>
          <a:ext cx="3374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832465</xdr:colOff>
      <xdr:row>25</xdr:row>
      <xdr:rowOff>225326</xdr:rowOff>
    </xdr:from>
    <xdr:to>
      <xdr:col>0</xdr:col>
      <xdr:colOff>841991</xdr:colOff>
      <xdr:row>26</xdr:row>
      <xdr:rowOff>2481</xdr:rowOff>
    </xdr:to>
    <xdr:cxnSp macro="">
      <xdr:nvCxnSpPr>
        <xdr:cNvPr id="17" name="3 Conector recto">
          <a:extLst>
            <a:ext uri="{FF2B5EF4-FFF2-40B4-BE49-F238E27FC236}">
              <a16:creationId xmlns:a16="http://schemas.microsoft.com/office/drawing/2014/main" id="{B344C1AC-2587-4DF4-8CE2-AD2E7EB1DF4E}"/>
            </a:ext>
          </a:extLst>
        </xdr:cNvPr>
        <xdr:cNvCxnSpPr/>
      </xdr:nvCxnSpPr>
      <xdr:spPr>
        <a:xfrm rot="5400000">
          <a:off x="555347" y="7405688"/>
          <a:ext cx="3374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851217</xdr:colOff>
      <xdr:row>27</xdr:row>
      <xdr:rowOff>0</xdr:rowOff>
    </xdr:from>
    <xdr:to>
      <xdr:col>0</xdr:col>
      <xdr:colOff>852805</xdr:colOff>
      <xdr:row>27</xdr:row>
      <xdr:rowOff>0</xdr:rowOff>
    </xdr:to>
    <xdr:cxnSp macro="">
      <xdr:nvCxnSpPr>
        <xdr:cNvPr id="18" name="3 Conector recto">
          <a:extLst>
            <a:ext uri="{FF2B5EF4-FFF2-40B4-BE49-F238E27FC236}">
              <a16:creationId xmlns:a16="http://schemas.microsoft.com/office/drawing/2014/main" id="{3D6EAEEA-7DC1-4A8A-B121-A99F48C1812A}"/>
            </a:ext>
          </a:extLst>
        </xdr:cNvPr>
        <xdr:cNvCxnSpPr/>
      </xdr:nvCxnSpPr>
      <xdr:spPr>
        <a:xfrm rot="5400000">
          <a:off x="557927" y="7627541"/>
          <a:ext cx="10318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826115</xdr:colOff>
      <xdr:row>25</xdr:row>
      <xdr:rowOff>225326</xdr:rowOff>
    </xdr:from>
    <xdr:to>
      <xdr:col>0</xdr:col>
      <xdr:colOff>824528</xdr:colOff>
      <xdr:row>26</xdr:row>
      <xdr:rowOff>2481</xdr:rowOff>
    </xdr:to>
    <xdr:cxnSp macro="">
      <xdr:nvCxnSpPr>
        <xdr:cNvPr id="19" name="3 Conector recto">
          <a:extLst>
            <a:ext uri="{FF2B5EF4-FFF2-40B4-BE49-F238E27FC236}">
              <a16:creationId xmlns:a16="http://schemas.microsoft.com/office/drawing/2014/main" id="{29352B82-689B-476F-97D5-F8BFEBD15BBC}"/>
            </a:ext>
          </a:extLst>
        </xdr:cNvPr>
        <xdr:cNvCxnSpPr/>
      </xdr:nvCxnSpPr>
      <xdr:spPr>
        <a:xfrm rot="5400000">
          <a:off x="545822" y="7405688"/>
          <a:ext cx="3374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826115</xdr:colOff>
      <xdr:row>25</xdr:row>
      <xdr:rowOff>225326</xdr:rowOff>
    </xdr:from>
    <xdr:to>
      <xdr:col>0</xdr:col>
      <xdr:colOff>824528</xdr:colOff>
      <xdr:row>26</xdr:row>
      <xdr:rowOff>2481</xdr:rowOff>
    </xdr:to>
    <xdr:cxnSp macro="">
      <xdr:nvCxnSpPr>
        <xdr:cNvPr id="20" name="3 Conector recto">
          <a:extLst>
            <a:ext uri="{FF2B5EF4-FFF2-40B4-BE49-F238E27FC236}">
              <a16:creationId xmlns:a16="http://schemas.microsoft.com/office/drawing/2014/main" id="{E8869A23-099F-4C01-B997-F10266470F8C}"/>
            </a:ext>
          </a:extLst>
        </xdr:cNvPr>
        <xdr:cNvCxnSpPr/>
      </xdr:nvCxnSpPr>
      <xdr:spPr>
        <a:xfrm rot="5400000">
          <a:off x="545822" y="7405688"/>
          <a:ext cx="3374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828992</xdr:colOff>
      <xdr:row>27</xdr:row>
      <xdr:rowOff>0</xdr:rowOff>
    </xdr:from>
    <xdr:to>
      <xdr:col>0</xdr:col>
      <xdr:colOff>830580</xdr:colOff>
      <xdr:row>27</xdr:row>
      <xdr:rowOff>0</xdr:rowOff>
    </xdr:to>
    <xdr:cxnSp macro="">
      <xdr:nvCxnSpPr>
        <xdr:cNvPr id="21" name="3 Conector recto">
          <a:extLst>
            <a:ext uri="{FF2B5EF4-FFF2-40B4-BE49-F238E27FC236}">
              <a16:creationId xmlns:a16="http://schemas.microsoft.com/office/drawing/2014/main" id="{4FD5F516-A466-4000-BE1B-CE7BC73F4CF5}"/>
            </a:ext>
          </a:extLst>
        </xdr:cNvPr>
        <xdr:cNvCxnSpPr/>
      </xdr:nvCxnSpPr>
      <xdr:spPr>
        <a:xfrm rot="5400000">
          <a:off x="548402" y="7627541"/>
          <a:ext cx="10318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3</xdr:col>
      <xdr:colOff>1450181</xdr:colOff>
      <xdr:row>47</xdr:row>
      <xdr:rowOff>50006</xdr:rowOff>
    </xdr:from>
    <xdr:to>
      <xdr:col>4</xdr:col>
      <xdr:colOff>792956</xdr:colOff>
      <xdr:row>50</xdr:row>
      <xdr:rowOff>107156</xdr:rowOff>
    </xdr:to>
    <xdr:pic>
      <xdr:nvPicPr>
        <xdr:cNvPr id="2066324" name="Imagen 77">
          <a:extLst>
            <a:ext uri="{FF2B5EF4-FFF2-40B4-BE49-F238E27FC236}">
              <a16:creationId xmlns:a16="http://schemas.microsoft.com/office/drawing/2014/main" id="{5BC26718-A216-46BA-9A44-0185F6EDA0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5619" y="11134725"/>
          <a:ext cx="1033462" cy="6643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829786</xdr:colOff>
      <xdr:row>42</xdr:row>
      <xdr:rowOff>0</xdr:rowOff>
    </xdr:from>
    <xdr:to>
      <xdr:col>0</xdr:col>
      <xdr:colOff>831374</xdr:colOff>
      <xdr:row>42</xdr:row>
      <xdr:rowOff>13494</xdr:rowOff>
    </xdr:to>
    <xdr:cxnSp macro="">
      <xdr:nvCxnSpPr>
        <xdr:cNvPr id="2" name="3 Conector recto">
          <a:extLst>
            <a:ext uri="{FF2B5EF4-FFF2-40B4-BE49-F238E27FC236}">
              <a16:creationId xmlns:a16="http://schemas.microsoft.com/office/drawing/2014/main" id="{B50BBB4A-38C1-407C-B0D2-787BB69641D1}"/>
            </a:ext>
          </a:extLst>
        </xdr:cNvPr>
        <xdr:cNvCxnSpPr/>
      </xdr:nvCxnSpPr>
      <xdr:spPr>
        <a:xfrm rot="5400000">
          <a:off x="549195" y="10386616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42</xdr:row>
      <xdr:rowOff>0</xdr:rowOff>
    </xdr:from>
    <xdr:to>
      <xdr:col>0</xdr:col>
      <xdr:colOff>831374</xdr:colOff>
      <xdr:row>42</xdr:row>
      <xdr:rowOff>13494</xdr:rowOff>
    </xdr:to>
    <xdr:cxnSp macro="">
      <xdr:nvCxnSpPr>
        <xdr:cNvPr id="3" name="3 Conector recto">
          <a:extLst>
            <a:ext uri="{FF2B5EF4-FFF2-40B4-BE49-F238E27FC236}">
              <a16:creationId xmlns:a16="http://schemas.microsoft.com/office/drawing/2014/main" id="{4112CA68-DD46-4D8F-8909-179968A2231A}"/>
            </a:ext>
          </a:extLst>
        </xdr:cNvPr>
        <xdr:cNvCxnSpPr/>
      </xdr:nvCxnSpPr>
      <xdr:spPr>
        <a:xfrm rot="5400000">
          <a:off x="549195" y="10386616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43</xdr:row>
      <xdr:rowOff>0</xdr:rowOff>
    </xdr:from>
    <xdr:to>
      <xdr:col>0</xdr:col>
      <xdr:colOff>831374</xdr:colOff>
      <xdr:row>43</xdr:row>
      <xdr:rowOff>8335</xdr:rowOff>
    </xdr:to>
    <xdr:cxnSp macro="">
      <xdr:nvCxnSpPr>
        <xdr:cNvPr id="4" name="3 Conector recto">
          <a:extLst>
            <a:ext uri="{FF2B5EF4-FFF2-40B4-BE49-F238E27FC236}">
              <a16:creationId xmlns:a16="http://schemas.microsoft.com/office/drawing/2014/main" id="{9904E36B-FCFA-4219-BE17-BCEB31C2CB3F}"/>
            </a:ext>
          </a:extLst>
        </xdr:cNvPr>
        <xdr:cNvCxnSpPr/>
      </xdr:nvCxnSpPr>
      <xdr:spPr>
        <a:xfrm rot="5400000">
          <a:off x="551775" y="10574536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8335</xdr:rowOff>
    </xdr:to>
    <xdr:cxnSp macro="">
      <xdr:nvCxnSpPr>
        <xdr:cNvPr id="5" name="3 Conector recto">
          <a:extLst>
            <a:ext uri="{FF2B5EF4-FFF2-40B4-BE49-F238E27FC236}">
              <a16:creationId xmlns:a16="http://schemas.microsoft.com/office/drawing/2014/main" id="{6170D3A6-0E76-4F11-B8E5-64522837A3CB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8335</xdr:rowOff>
    </xdr:to>
    <xdr:cxnSp macro="">
      <xdr:nvCxnSpPr>
        <xdr:cNvPr id="6" name="3 Conector recto">
          <a:extLst>
            <a:ext uri="{FF2B5EF4-FFF2-40B4-BE49-F238E27FC236}">
              <a16:creationId xmlns:a16="http://schemas.microsoft.com/office/drawing/2014/main" id="{A506055A-AC9D-4475-9049-5FD069B3B275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29</xdr:row>
      <xdr:rowOff>0</xdr:rowOff>
    </xdr:from>
    <xdr:to>
      <xdr:col>0</xdr:col>
      <xdr:colOff>831374</xdr:colOff>
      <xdr:row>29</xdr:row>
      <xdr:rowOff>13494</xdr:rowOff>
    </xdr:to>
    <xdr:cxnSp macro="">
      <xdr:nvCxnSpPr>
        <xdr:cNvPr id="7" name="3 Conector recto">
          <a:extLst>
            <a:ext uri="{FF2B5EF4-FFF2-40B4-BE49-F238E27FC236}">
              <a16:creationId xmlns:a16="http://schemas.microsoft.com/office/drawing/2014/main" id="{38DCF779-2FA1-4B1E-AA2E-43077590DE04}"/>
            </a:ext>
          </a:extLst>
        </xdr:cNvPr>
        <xdr:cNvCxnSpPr/>
      </xdr:nvCxnSpPr>
      <xdr:spPr>
        <a:xfrm rot="5400000">
          <a:off x="549195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0</xdr:colOff>
      <xdr:row>0</xdr:row>
      <xdr:rowOff>285750</xdr:rowOff>
    </xdr:from>
    <xdr:to>
      <xdr:col>1</xdr:col>
      <xdr:colOff>726281</xdr:colOff>
      <xdr:row>4</xdr:row>
      <xdr:rowOff>23812</xdr:rowOff>
    </xdr:to>
    <xdr:pic>
      <xdr:nvPicPr>
        <xdr:cNvPr id="2067334" name="Imagen 18">
          <a:extLst>
            <a:ext uri="{FF2B5EF4-FFF2-40B4-BE49-F238E27FC236}">
              <a16:creationId xmlns:a16="http://schemas.microsoft.com/office/drawing/2014/main" id="{3456C474-7B2F-440E-84A1-778C957F06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0"/>
          <a:ext cx="2416969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800100</xdr:colOff>
      <xdr:row>0</xdr:row>
      <xdr:rowOff>390525</xdr:rowOff>
    </xdr:from>
    <xdr:to>
      <xdr:col>5</xdr:col>
      <xdr:colOff>1447800</xdr:colOff>
      <xdr:row>4</xdr:row>
      <xdr:rowOff>47625</xdr:rowOff>
    </xdr:to>
    <xdr:pic>
      <xdr:nvPicPr>
        <xdr:cNvPr id="2067335" name="Imagen 19">
          <a:extLst>
            <a:ext uri="{FF2B5EF4-FFF2-40B4-BE49-F238E27FC236}">
              <a16:creationId xmlns:a16="http://schemas.microsoft.com/office/drawing/2014/main" id="{8A1617E0-BD2D-4AB2-8808-92EC3DE38B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0" y="390525"/>
          <a:ext cx="1666875" cy="923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8335</xdr:rowOff>
    </xdr:to>
    <xdr:cxnSp macro="">
      <xdr:nvCxnSpPr>
        <xdr:cNvPr id="10" name="3 Conector recto">
          <a:extLst>
            <a:ext uri="{FF2B5EF4-FFF2-40B4-BE49-F238E27FC236}">
              <a16:creationId xmlns:a16="http://schemas.microsoft.com/office/drawing/2014/main" id="{7B5ADF69-BB0E-4B1B-BEFE-6AD0BCE285F3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8335</xdr:rowOff>
    </xdr:to>
    <xdr:cxnSp macro="">
      <xdr:nvCxnSpPr>
        <xdr:cNvPr id="11" name="3 Conector recto">
          <a:extLst>
            <a:ext uri="{FF2B5EF4-FFF2-40B4-BE49-F238E27FC236}">
              <a16:creationId xmlns:a16="http://schemas.microsoft.com/office/drawing/2014/main" id="{C4D82A15-208E-48DB-908F-BBDE62CF257F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29</xdr:row>
      <xdr:rowOff>0</xdr:rowOff>
    </xdr:from>
    <xdr:to>
      <xdr:col>0</xdr:col>
      <xdr:colOff>831374</xdr:colOff>
      <xdr:row>29</xdr:row>
      <xdr:rowOff>13494</xdr:rowOff>
    </xdr:to>
    <xdr:cxnSp macro="">
      <xdr:nvCxnSpPr>
        <xdr:cNvPr id="12" name="3 Conector recto">
          <a:extLst>
            <a:ext uri="{FF2B5EF4-FFF2-40B4-BE49-F238E27FC236}">
              <a16:creationId xmlns:a16="http://schemas.microsoft.com/office/drawing/2014/main" id="{B756F764-8C8D-4EC7-A463-91BA0C67923B}"/>
            </a:ext>
          </a:extLst>
        </xdr:cNvPr>
        <xdr:cNvCxnSpPr/>
      </xdr:nvCxnSpPr>
      <xdr:spPr>
        <a:xfrm rot="5400000">
          <a:off x="549195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26</xdr:row>
      <xdr:rowOff>0</xdr:rowOff>
    </xdr:from>
    <xdr:to>
      <xdr:col>0</xdr:col>
      <xdr:colOff>825024</xdr:colOff>
      <xdr:row>26</xdr:row>
      <xdr:rowOff>8335</xdr:rowOff>
    </xdr:to>
    <xdr:cxnSp macro="">
      <xdr:nvCxnSpPr>
        <xdr:cNvPr id="13" name="3 Conector recto">
          <a:extLst>
            <a:ext uri="{FF2B5EF4-FFF2-40B4-BE49-F238E27FC236}">
              <a16:creationId xmlns:a16="http://schemas.microsoft.com/office/drawing/2014/main" id="{3AF23C86-3799-43ED-8CD3-61AF3ED6889A}"/>
            </a:ext>
          </a:extLst>
        </xdr:cNvPr>
        <xdr:cNvCxnSpPr/>
      </xdr:nvCxnSpPr>
      <xdr:spPr>
        <a:xfrm rot="5400000">
          <a:off x="5422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26</xdr:row>
      <xdr:rowOff>0</xdr:rowOff>
    </xdr:from>
    <xdr:to>
      <xdr:col>0</xdr:col>
      <xdr:colOff>825024</xdr:colOff>
      <xdr:row>26</xdr:row>
      <xdr:rowOff>8335</xdr:rowOff>
    </xdr:to>
    <xdr:cxnSp macro="">
      <xdr:nvCxnSpPr>
        <xdr:cNvPr id="14" name="3 Conector recto">
          <a:extLst>
            <a:ext uri="{FF2B5EF4-FFF2-40B4-BE49-F238E27FC236}">
              <a16:creationId xmlns:a16="http://schemas.microsoft.com/office/drawing/2014/main" id="{4F1CEFE1-1333-4537-B70D-E1EAE62FA7EF}"/>
            </a:ext>
          </a:extLst>
        </xdr:cNvPr>
        <xdr:cNvCxnSpPr/>
      </xdr:nvCxnSpPr>
      <xdr:spPr>
        <a:xfrm rot="5400000">
          <a:off x="5422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29</xdr:row>
      <xdr:rowOff>0</xdr:rowOff>
    </xdr:from>
    <xdr:to>
      <xdr:col>0</xdr:col>
      <xdr:colOff>825024</xdr:colOff>
      <xdr:row>29</xdr:row>
      <xdr:rowOff>13494</xdr:rowOff>
    </xdr:to>
    <xdr:cxnSp macro="">
      <xdr:nvCxnSpPr>
        <xdr:cNvPr id="15" name="3 Conector recto">
          <a:extLst>
            <a:ext uri="{FF2B5EF4-FFF2-40B4-BE49-F238E27FC236}">
              <a16:creationId xmlns:a16="http://schemas.microsoft.com/office/drawing/2014/main" id="{90DA2101-C2CF-4F90-9E90-B9210209A51A}"/>
            </a:ext>
          </a:extLst>
        </xdr:cNvPr>
        <xdr:cNvCxnSpPr/>
      </xdr:nvCxnSpPr>
      <xdr:spPr>
        <a:xfrm rot="5400000">
          <a:off x="539670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8335</xdr:rowOff>
    </xdr:to>
    <xdr:cxnSp macro="">
      <xdr:nvCxnSpPr>
        <xdr:cNvPr id="16" name="3 Conector recto">
          <a:extLst>
            <a:ext uri="{FF2B5EF4-FFF2-40B4-BE49-F238E27FC236}">
              <a16:creationId xmlns:a16="http://schemas.microsoft.com/office/drawing/2014/main" id="{505029E9-D07E-47B1-8AE9-57DB10094101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8335</xdr:rowOff>
    </xdr:to>
    <xdr:cxnSp macro="">
      <xdr:nvCxnSpPr>
        <xdr:cNvPr id="17" name="3 Conector recto">
          <a:extLst>
            <a:ext uri="{FF2B5EF4-FFF2-40B4-BE49-F238E27FC236}">
              <a16:creationId xmlns:a16="http://schemas.microsoft.com/office/drawing/2014/main" id="{1E0A37A5-C252-4B7A-ACFD-E5291283C763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29</xdr:row>
      <xdr:rowOff>0</xdr:rowOff>
    </xdr:from>
    <xdr:to>
      <xdr:col>0</xdr:col>
      <xdr:colOff>831374</xdr:colOff>
      <xdr:row>29</xdr:row>
      <xdr:rowOff>13494</xdr:rowOff>
    </xdr:to>
    <xdr:cxnSp macro="">
      <xdr:nvCxnSpPr>
        <xdr:cNvPr id="18" name="3 Conector recto">
          <a:extLst>
            <a:ext uri="{FF2B5EF4-FFF2-40B4-BE49-F238E27FC236}">
              <a16:creationId xmlns:a16="http://schemas.microsoft.com/office/drawing/2014/main" id="{52D865BC-DF1E-4C66-BFDE-65FE1F81A3A6}"/>
            </a:ext>
          </a:extLst>
        </xdr:cNvPr>
        <xdr:cNvCxnSpPr/>
      </xdr:nvCxnSpPr>
      <xdr:spPr>
        <a:xfrm rot="5400000">
          <a:off x="549195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26</xdr:row>
      <xdr:rowOff>0</xdr:rowOff>
    </xdr:from>
    <xdr:to>
      <xdr:col>0</xdr:col>
      <xdr:colOff>825024</xdr:colOff>
      <xdr:row>26</xdr:row>
      <xdr:rowOff>8335</xdr:rowOff>
    </xdr:to>
    <xdr:cxnSp macro="">
      <xdr:nvCxnSpPr>
        <xdr:cNvPr id="19" name="3 Conector recto">
          <a:extLst>
            <a:ext uri="{FF2B5EF4-FFF2-40B4-BE49-F238E27FC236}">
              <a16:creationId xmlns:a16="http://schemas.microsoft.com/office/drawing/2014/main" id="{7AC11225-B9C3-4B79-9D44-FCA281DAF089}"/>
            </a:ext>
          </a:extLst>
        </xdr:cNvPr>
        <xdr:cNvCxnSpPr/>
      </xdr:nvCxnSpPr>
      <xdr:spPr>
        <a:xfrm rot="5400000">
          <a:off x="5422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26</xdr:row>
      <xdr:rowOff>0</xdr:rowOff>
    </xdr:from>
    <xdr:to>
      <xdr:col>0</xdr:col>
      <xdr:colOff>825024</xdr:colOff>
      <xdr:row>26</xdr:row>
      <xdr:rowOff>8335</xdr:rowOff>
    </xdr:to>
    <xdr:cxnSp macro="">
      <xdr:nvCxnSpPr>
        <xdr:cNvPr id="20" name="3 Conector recto">
          <a:extLst>
            <a:ext uri="{FF2B5EF4-FFF2-40B4-BE49-F238E27FC236}">
              <a16:creationId xmlns:a16="http://schemas.microsoft.com/office/drawing/2014/main" id="{269F7720-C6DC-4378-AF1A-9F07622355F2}"/>
            </a:ext>
          </a:extLst>
        </xdr:cNvPr>
        <xdr:cNvCxnSpPr/>
      </xdr:nvCxnSpPr>
      <xdr:spPr>
        <a:xfrm rot="5400000">
          <a:off x="5422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29</xdr:row>
      <xdr:rowOff>0</xdr:rowOff>
    </xdr:from>
    <xdr:to>
      <xdr:col>0</xdr:col>
      <xdr:colOff>825024</xdr:colOff>
      <xdr:row>29</xdr:row>
      <xdr:rowOff>13494</xdr:rowOff>
    </xdr:to>
    <xdr:cxnSp macro="">
      <xdr:nvCxnSpPr>
        <xdr:cNvPr id="21" name="3 Conector recto">
          <a:extLst>
            <a:ext uri="{FF2B5EF4-FFF2-40B4-BE49-F238E27FC236}">
              <a16:creationId xmlns:a16="http://schemas.microsoft.com/office/drawing/2014/main" id="{69C2B54D-F842-4A84-B6EC-6D0171977064}"/>
            </a:ext>
          </a:extLst>
        </xdr:cNvPr>
        <xdr:cNvCxnSpPr/>
      </xdr:nvCxnSpPr>
      <xdr:spPr>
        <a:xfrm rot="5400000">
          <a:off x="539670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3</xdr:col>
      <xdr:colOff>450055</xdr:colOff>
      <xdr:row>43</xdr:row>
      <xdr:rowOff>154782</xdr:rowOff>
    </xdr:from>
    <xdr:to>
      <xdr:col>3</xdr:col>
      <xdr:colOff>1543326</xdr:colOff>
      <xdr:row>47</xdr:row>
      <xdr:rowOff>190500</xdr:rowOff>
    </xdr:to>
    <xdr:pic>
      <xdr:nvPicPr>
        <xdr:cNvPr id="2067348" name="Imagen 77">
          <a:extLst>
            <a:ext uri="{FF2B5EF4-FFF2-40B4-BE49-F238E27FC236}">
              <a16:creationId xmlns:a16="http://schemas.microsoft.com/office/drawing/2014/main" id="{AC6EEE7B-E8A4-4C45-B84C-F6E34D9041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22118" y="10537032"/>
          <a:ext cx="1093271" cy="8453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829786</xdr:colOff>
      <xdr:row>40</xdr:row>
      <xdr:rowOff>0</xdr:rowOff>
    </xdr:from>
    <xdr:to>
      <xdr:col>0</xdr:col>
      <xdr:colOff>831374</xdr:colOff>
      <xdr:row>40</xdr:row>
      <xdr:rowOff>13494</xdr:rowOff>
    </xdr:to>
    <xdr:cxnSp macro="">
      <xdr:nvCxnSpPr>
        <xdr:cNvPr id="2" name="3 Conector recto">
          <a:extLst>
            <a:ext uri="{FF2B5EF4-FFF2-40B4-BE49-F238E27FC236}">
              <a16:creationId xmlns:a16="http://schemas.microsoft.com/office/drawing/2014/main" id="{9294E4DF-FC7E-4591-AA80-AFAF488F16E8}"/>
            </a:ext>
          </a:extLst>
        </xdr:cNvPr>
        <xdr:cNvCxnSpPr/>
      </xdr:nvCxnSpPr>
      <xdr:spPr>
        <a:xfrm rot="5400000">
          <a:off x="549195" y="6957616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40</xdr:row>
      <xdr:rowOff>0</xdr:rowOff>
    </xdr:from>
    <xdr:to>
      <xdr:col>0</xdr:col>
      <xdr:colOff>831374</xdr:colOff>
      <xdr:row>40</xdr:row>
      <xdr:rowOff>13494</xdr:rowOff>
    </xdr:to>
    <xdr:cxnSp macro="">
      <xdr:nvCxnSpPr>
        <xdr:cNvPr id="3" name="3 Conector recto">
          <a:extLst>
            <a:ext uri="{FF2B5EF4-FFF2-40B4-BE49-F238E27FC236}">
              <a16:creationId xmlns:a16="http://schemas.microsoft.com/office/drawing/2014/main" id="{F8FDFF20-57C9-4186-A3B2-6FA7F6E0CA5F}"/>
            </a:ext>
          </a:extLst>
        </xdr:cNvPr>
        <xdr:cNvCxnSpPr/>
      </xdr:nvCxnSpPr>
      <xdr:spPr>
        <a:xfrm rot="5400000">
          <a:off x="549195" y="6957616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41</xdr:row>
      <xdr:rowOff>0</xdr:rowOff>
    </xdr:from>
    <xdr:to>
      <xdr:col>0</xdr:col>
      <xdr:colOff>831374</xdr:colOff>
      <xdr:row>41</xdr:row>
      <xdr:rowOff>16670</xdr:rowOff>
    </xdr:to>
    <xdr:cxnSp macro="">
      <xdr:nvCxnSpPr>
        <xdr:cNvPr id="4" name="3 Conector recto">
          <a:extLst>
            <a:ext uri="{FF2B5EF4-FFF2-40B4-BE49-F238E27FC236}">
              <a16:creationId xmlns:a16="http://schemas.microsoft.com/office/drawing/2014/main" id="{4E424CFF-6E60-4549-8F81-38DBBF4B3498}"/>
            </a:ext>
          </a:extLst>
        </xdr:cNvPr>
        <xdr:cNvCxnSpPr/>
      </xdr:nvCxnSpPr>
      <xdr:spPr>
        <a:xfrm rot="5400000">
          <a:off x="551775" y="7145536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16670</xdr:rowOff>
    </xdr:to>
    <xdr:cxnSp macro="">
      <xdr:nvCxnSpPr>
        <xdr:cNvPr id="5" name="3 Conector recto">
          <a:extLst>
            <a:ext uri="{FF2B5EF4-FFF2-40B4-BE49-F238E27FC236}">
              <a16:creationId xmlns:a16="http://schemas.microsoft.com/office/drawing/2014/main" id="{3D968B8A-29B9-4387-B5B1-940825C517B6}"/>
            </a:ext>
          </a:extLst>
        </xdr:cNvPr>
        <xdr:cNvCxnSpPr/>
      </xdr:nvCxnSpPr>
      <xdr:spPr>
        <a:xfrm rot="5400000">
          <a:off x="551775" y="5383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16670</xdr:rowOff>
    </xdr:to>
    <xdr:cxnSp macro="">
      <xdr:nvCxnSpPr>
        <xdr:cNvPr id="6" name="3 Conector recto">
          <a:extLst>
            <a:ext uri="{FF2B5EF4-FFF2-40B4-BE49-F238E27FC236}">
              <a16:creationId xmlns:a16="http://schemas.microsoft.com/office/drawing/2014/main" id="{DF761752-F49F-4293-A82B-184AA74C648E}"/>
            </a:ext>
          </a:extLst>
        </xdr:cNvPr>
        <xdr:cNvCxnSpPr/>
      </xdr:nvCxnSpPr>
      <xdr:spPr>
        <a:xfrm rot="5400000">
          <a:off x="551775" y="5383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27</xdr:row>
      <xdr:rowOff>0</xdr:rowOff>
    </xdr:from>
    <xdr:to>
      <xdr:col>0</xdr:col>
      <xdr:colOff>831374</xdr:colOff>
      <xdr:row>27</xdr:row>
      <xdr:rowOff>13494</xdr:rowOff>
    </xdr:to>
    <xdr:cxnSp macro="">
      <xdr:nvCxnSpPr>
        <xdr:cNvPr id="7" name="3 Conector recto">
          <a:extLst>
            <a:ext uri="{FF2B5EF4-FFF2-40B4-BE49-F238E27FC236}">
              <a16:creationId xmlns:a16="http://schemas.microsoft.com/office/drawing/2014/main" id="{9EDE55BC-C473-4437-810B-CDFCA0D68921}"/>
            </a:ext>
          </a:extLst>
        </xdr:cNvPr>
        <xdr:cNvCxnSpPr/>
      </xdr:nvCxnSpPr>
      <xdr:spPr>
        <a:xfrm rot="5400000">
          <a:off x="549195" y="5576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0</xdr:colOff>
      <xdr:row>0</xdr:row>
      <xdr:rowOff>285750</xdr:rowOff>
    </xdr:from>
    <xdr:to>
      <xdr:col>1</xdr:col>
      <xdr:colOff>726281</xdr:colOff>
      <xdr:row>4</xdr:row>
      <xdr:rowOff>23812</xdr:rowOff>
    </xdr:to>
    <xdr:pic>
      <xdr:nvPicPr>
        <xdr:cNvPr id="2068358" name="Imagen 18">
          <a:extLst>
            <a:ext uri="{FF2B5EF4-FFF2-40B4-BE49-F238E27FC236}">
              <a16:creationId xmlns:a16="http://schemas.microsoft.com/office/drawing/2014/main" id="{86F0FF7F-D7A6-4F8F-BB7B-4B055EAF70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0"/>
          <a:ext cx="2416969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800100</xdr:colOff>
      <xdr:row>0</xdr:row>
      <xdr:rowOff>390525</xdr:rowOff>
    </xdr:from>
    <xdr:to>
      <xdr:col>5</xdr:col>
      <xdr:colOff>1447800</xdr:colOff>
      <xdr:row>4</xdr:row>
      <xdr:rowOff>47625</xdr:rowOff>
    </xdr:to>
    <xdr:pic>
      <xdr:nvPicPr>
        <xdr:cNvPr id="2068359" name="Imagen 19">
          <a:extLst>
            <a:ext uri="{FF2B5EF4-FFF2-40B4-BE49-F238E27FC236}">
              <a16:creationId xmlns:a16="http://schemas.microsoft.com/office/drawing/2014/main" id="{72CFD1BB-F1B2-4D28-B399-3884E56030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43825" y="390525"/>
          <a:ext cx="1666875" cy="923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16670</xdr:rowOff>
    </xdr:to>
    <xdr:cxnSp macro="">
      <xdr:nvCxnSpPr>
        <xdr:cNvPr id="10" name="3 Conector recto">
          <a:extLst>
            <a:ext uri="{FF2B5EF4-FFF2-40B4-BE49-F238E27FC236}">
              <a16:creationId xmlns:a16="http://schemas.microsoft.com/office/drawing/2014/main" id="{169DB81E-2E03-4BE6-89DB-9503E46F9B79}"/>
            </a:ext>
          </a:extLst>
        </xdr:cNvPr>
        <xdr:cNvCxnSpPr/>
      </xdr:nvCxnSpPr>
      <xdr:spPr>
        <a:xfrm rot="5400000">
          <a:off x="551775" y="5383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16670</xdr:rowOff>
    </xdr:to>
    <xdr:cxnSp macro="">
      <xdr:nvCxnSpPr>
        <xdr:cNvPr id="11" name="3 Conector recto">
          <a:extLst>
            <a:ext uri="{FF2B5EF4-FFF2-40B4-BE49-F238E27FC236}">
              <a16:creationId xmlns:a16="http://schemas.microsoft.com/office/drawing/2014/main" id="{6716A62C-88A3-46A1-8E05-D4D97740A7BD}"/>
            </a:ext>
          </a:extLst>
        </xdr:cNvPr>
        <xdr:cNvCxnSpPr/>
      </xdr:nvCxnSpPr>
      <xdr:spPr>
        <a:xfrm rot="5400000">
          <a:off x="551775" y="5383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27</xdr:row>
      <xdr:rowOff>0</xdr:rowOff>
    </xdr:from>
    <xdr:to>
      <xdr:col>0</xdr:col>
      <xdr:colOff>831374</xdr:colOff>
      <xdr:row>27</xdr:row>
      <xdr:rowOff>13494</xdr:rowOff>
    </xdr:to>
    <xdr:cxnSp macro="">
      <xdr:nvCxnSpPr>
        <xdr:cNvPr id="12" name="3 Conector recto">
          <a:extLst>
            <a:ext uri="{FF2B5EF4-FFF2-40B4-BE49-F238E27FC236}">
              <a16:creationId xmlns:a16="http://schemas.microsoft.com/office/drawing/2014/main" id="{0C2CF1AA-52B5-41F3-A8FB-9160ADC8CED4}"/>
            </a:ext>
          </a:extLst>
        </xdr:cNvPr>
        <xdr:cNvCxnSpPr/>
      </xdr:nvCxnSpPr>
      <xdr:spPr>
        <a:xfrm rot="5400000">
          <a:off x="549195" y="5576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26</xdr:row>
      <xdr:rowOff>0</xdr:rowOff>
    </xdr:from>
    <xdr:to>
      <xdr:col>0</xdr:col>
      <xdr:colOff>825024</xdr:colOff>
      <xdr:row>26</xdr:row>
      <xdr:rowOff>16670</xdr:rowOff>
    </xdr:to>
    <xdr:cxnSp macro="">
      <xdr:nvCxnSpPr>
        <xdr:cNvPr id="13" name="3 Conector recto">
          <a:extLst>
            <a:ext uri="{FF2B5EF4-FFF2-40B4-BE49-F238E27FC236}">
              <a16:creationId xmlns:a16="http://schemas.microsoft.com/office/drawing/2014/main" id="{E28E3C24-2655-4AE5-AA23-0F6C4C88A809}"/>
            </a:ext>
          </a:extLst>
        </xdr:cNvPr>
        <xdr:cNvCxnSpPr/>
      </xdr:nvCxnSpPr>
      <xdr:spPr>
        <a:xfrm rot="5400000">
          <a:off x="542250" y="5383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26</xdr:row>
      <xdr:rowOff>0</xdr:rowOff>
    </xdr:from>
    <xdr:to>
      <xdr:col>0</xdr:col>
      <xdr:colOff>825024</xdr:colOff>
      <xdr:row>26</xdr:row>
      <xdr:rowOff>16670</xdr:rowOff>
    </xdr:to>
    <xdr:cxnSp macro="">
      <xdr:nvCxnSpPr>
        <xdr:cNvPr id="14" name="3 Conector recto">
          <a:extLst>
            <a:ext uri="{FF2B5EF4-FFF2-40B4-BE49-F238E27FC236}">
              <a16:creationId xmlns:a16="http://schemas.microsoft.com/office/drawing/2014/main" id="{6F9F5834-9761-4795-B089-662A58115DE1}"/>
            </a:ext>
          </a:extLst>
        </xdr:cNvPr>
        <xdr:cNvCxnSpPr/>
      </xdr:nvCxnSpPr>
      <xdr:spPr>
        <a:xfrm rot="5400000">
          <a:off x="542250" y="5383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27</xdr:row>
      <xdr:rowOff>0</xdr:rowOff>
    </xdr:from>
    <xdr:to>
      <xdr:col>0</xdr:col>
      <xdr:colOff>825024</xdr:colOff>
      <xdr:row>27</xdr:row>
      <xdr:rowOff>13494</xdr:rowOff>
    </xdr:to>
    <xdr:cxnSp macro="">
      <xdr:nvCxnSpPr>
        <xdr:cNvPr id="15" name="3 Conector recto">
          <a:extLst>
            <a:ext uri="{FF2B5EF4-FFF2-40B4-BE49-F238E27FC236}">
              <a16:creationId xmlns:a16="http://schemas.microsoft.com/office/drawing/2014/main" id="{FB3E9F85-77B2-474A-9B70-6E57213B78FE}"/>
            </a:ext>
          </a:extLst>
        </xdr:cNvPr>
        <xdr:cNvCxnSpPr/>
      </xdr:nvCxnSpPr>
      <xdr:spPr>
        <a:xfrm rot="5400000">
          <a:off x="539670" y="5576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16670</xdr:rowOff>
    </xdr:to>
    <xdr:cxnSp macro="">
      <xdr:nvCxnSpPr>
        <xdr:cNvPr id="16" name="3 Conector recto">
          <a:extLst>
            <a:ext uri="{FF2B5EF4-FFF2-40B4-BE49-F238E27FC236}">
              <a16:creationId xmlns:a16="http://schemas.microsoft.com/office/drawing/2014/main" id="{D7D1CB92-BF1A-4C94-9661-8336DE4FD49A}"/>
            </a:ext>
          </a:extLst>
        </xdr:cNvPr>
        <xdr:cNvCxnSpPr/>
      </xdr:nvCxnSpPr>
      <xdr:spPr>
        <a:xfrm rot="5400000">
          <a:off x="551775" y="5383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16670</xdr:rowOff>
    </xdr:to>
    <xdr:cxnSp macro="">
      <xdr:nvCxnSpPr>
        <xdr:cNvPr id="17" name="3 Conector recto">
          <a:extLst>
            <a:ext uri="{FF2B5EF4-FFF2-40B4-BE49-F238E27FC236}">
              <a16:creationId xmlns:a16="http://schemas.microsoft.com/office/drawing/2014/main" id="{0222A502-3486-419B-B45C-C8856345E51A}"/>
            </a:ext>
          </a:extLst>
        </xdr:cNvPr>
        <xdr:cNvCxnSpPr/>
      </xdr:nvCxnSpPr>
      <xdr:spPr>
        <a:xfrm rot="5400000">
          <a:off x="551775" y="5383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27</xdr:row>
      <xdr:rowOff>0</xdr:rowOff>
    </xdr:from>
    <xdr:to>
      <xdr:col>0</xdr:col>
      <xdr:colOff>831374</xdr:colOff>
      <xdr:row>27</xdr:row>
      <xdr:rowOff>13494</xdr:rowOff>
    </xdr:to>
    <xdr:cxnSp macro="">
      <xdr:nvCxnSpPr>
        <xdr:cNvPr id="18" name="3 Conector recto">
          <a:extLst>
            <a:ext uri="{FF2B5EF4-FFF2-40B4-BE49-F238E27FC236}">
              <a16:creationId xmlns:a16="http://schemas.microsoft.com/office/drawing/2014/main" id="{A84E8DE3-6A58-4D11-AB2D-331CD472E4EE}"/>
            </a:ext>
          </a:extLst>
        </xdr:cNvPr>
        <xdr:cNvCxnSpPr/>
      </xdr:nvCxnSpPr>
      <xdr:spPr>
        <a:xfrm rot="5400000">
          <a:off x="549195" y="5576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26</xdr:row>
      <xdr:rowOff>0</xdr:rowOff>
    </xdr:from>
    <xdr:to>
      <xdr:col>0</xdr:col>
      <xdr:colOff>825024</xdr:colOff>
      <xdr:row>26</xdr:row>
      <xdr:rowOff>16670</xdr:rowOff>
    </xdr:to>
    <xdr:cxnSp macro="">
      <xdr:nvCxnSpPr>
        <xdr:cNvPr id="19" name="3 Conector recto">
          <a:extLst>
            <a:ext uri="{FF2B5EF4-FFF2-40B4-BE49-F238E27FC236}">
              <a16:creationId xmlns:a16="http://schemas.microsoft.com/office/drawing/2014/main" id="{DC6B7D53-6A0C-49B8-8C2F-6328286CDA46}"/>
            </a:ext>
          </a:extLst>
        </xdr:cNvPr>
        <xdr:cNvCxnSpPr/>
      </xdr:nvCxnSpPr>
      <xdr:spPr>
        <a:xfrm rot="5400000">
          <a:off x="542250" y="5383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26</xdr:row>
      <xdr:rowOff>0</xdr:rowOff>
    </xdr:from>
    <xdr:to>
      <xdr:col>0</xdr:col>
      <xdr:colOff>825024</xdr:colOff>
      <xdr:row>26</xdr:row>
      <xdr:rowOff>16670</xdr:rowOff>
    </xdr:to>
    <xdr:cxnSp macro="">
      <xdr:nvCxnSpPr>
        <xdr:cNvPr id="20" name="3 Conector recto">
          <a:extLst>
            <a:ext uri="{FF2B5EF4-FFF2-40B4-BE49-F238E27FC236}">
              <a16:creationId xmlns:a16="http://schemas.microsoft.com/office/drawing/2014/main" id="{3AFA32EE-13ED-400C-BB39-60F5F050FF7B}"/>
            </a:ext>
          </a:extLst>
        </xdr:cNvPr>
        <xdr:cNvCxnSpPr/>
      </xdr:nvCxnSpPr>
      <xdr:spPr>
        <a:xfrm rot="5400000">
          <a:off x="542250" y="5383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27</xdr:row>
      <xdr:rowOff>0</xdr:rowOff>
    </xdr:from>
    <xdr:to>
      <xdr:col>0</xdr:col>
      <xdr:colOff>825024</xdr:colOff>
      <xdr:row>27</xdr:row>
      <xdr:rowOff>13494</xdr:rowOff>
    </xdr:to>
    <xdr:cxnSp macro="">
      <xdr:nvCxnSpPr>
        <xdr:cNvPr id="21" name="3 Conector recto">
          <a:extLst>
            <a:ext uri="{FF2B5EF4-FFF2-40B4-BE49-F238E27FC236}">
              <a16:creationId xmlns:a16="http://schemas.microsoft.com/office/drawing/2014/main" id="{2ECD7DD4-FA99-4622-AF21-EB127359D451}"/>
            </a:ext>
          </a:extLst>
        </xdr:cNvPr>
        <xdr:cNvCxnSpPr/>
      </xdr:nvCxnSpPr>
      <xdr:spPr>
        <a:xfrm rot="5400000">
          <a:off x="539670" y="5576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3</xdr:col>
      <xdr:colOff>1221581</xdr:colOff>
      <xdr:row>40</xdr:row>
      <xdr:rowOff>178593</xdr:rowOff>
    </xdr:from>
    <xdr:to>
      <xdr:col>4</xdr:col>
      <xdr:colOff>554831</xdr:colOff>
      <xdr:row>44</xdr:row>
      <xdr:rowOff>64293</xdr:rowOff>
    </xdr:to>
    <xdr:pic>
      <xdr:nvPicPr>
        <xdr:cNvPr id="2068372" name="Imagen 77">
          <a:extLst>
            <a:ext uri="{FF2B5EF4-FFF2-40B4-BE49-F238E27FC236}">
              <a16:creationId xmlns:a16="http://schemas.microsoft.com/office/drawing/2014/main" id="{1706C72C-3600-4A95-A4D1-88578022D6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84144" y="8596312"/>
          <a:ext cx="1023937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846852</xdr:colOff>
      <xdr:row>24</xdr:row>
      <xdr:rowOff>228997</xdr:rowOff>
    </xdr:from>
    <xdr:to>
      <xdr:col>0</xdr:col>
      <xdr:colOff>848440</xdr:colOff>
      <xdr:row>25</xdr:row>
      <xdr:rowOff>9128</xdr:rowOff>
    </xdr:to>
    <xdr:cxnSp macro="">
      <xdr:nvCxnSpPr>
        <xdr:cNvPr id="7" name="3 Conector recto">
          <a:extLst>
            <a:ext uri="{FF2B5EF4-FFF2-40B4-BE49-F238E27FC236}">
              <a16:creationId xmlns:a16="http://schemas.microsoft.com/office/drawing/2014/main" id="{B0C9AB9F-D239-4DFE-B388-F3A2B7A66006}"/>
            </a:ext>
          </a:extLst>
        </xdr:cNvPr>
        <xdr:cNvCxnSpPr/>
      </xdr:nvCxnSpPr>
      <xdr:spPr>
        <a:xfrm rot="5400000">
          <a:off x="553561" y="6131719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1</xdr:colOff>
      <xdr:row>0</xdr:row>
      <xdr:rowOff>285750</xdr:rowOff>
    </xdr:from>
    <xdr:to>
      <xdr:col>1</xdr:col>
      <xdr:colOff>773907</xdr:colOff>
      <xdr:row>4</xdr:row>
      <xdr:rowOff>23812</xdr:rowOff>
    </xdr:to>
    <xdr:pic>
      <xdr:nvPicPr>
        <xdr:cNvPr id="2087044" name="Imagen 18">
          <a:extLst>
            <a:ext uri="{FF2B5EF4-FFF2-40B4-BE49-F238E27FC236}">
              <a16:creationId xmlns:a16="http://schemas.microsoft.com/office/drawing/2014/main" id="{91A71031-E602-4599-A041-E462E4AD92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285750"/>
          <a:ext cx="2464594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800100</xdr:colOff>
      <xdr:row>0</xdr:row>
      <xdr:rowOff>390525</xdr:rowOff>
    </xdr:from>
    <xdr:to>
      <xdr:col>5</xdr:col>
      <xdr:colOff>1447800</xdr:colOff>
      <xdr:row>4</xdr:row>
      <xdr:rowOff>47625</xdr:rowOff>
    </xdr:to>
    <xdr:pic>
      <xdr:nvPicPr>
        <xdr:cNvPr id="2087045" name="Imagen 19">
          <a:extLst>
            <a:ext uri="{FF2B5EF4-FFF2-40B4-BE49-F238E27FC236}">
              <a16:creationId xmlns:a16="http://schemas.microsoft.com/office/drawing/2014/main" id="{0155C060-009F-4735-8489-2D59BEEBC1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43825" y="390525"/>
          <a:ext cx="1666875" cy="923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846852</xdr:colOff>
      <xdr:row>24</xdr:row>
      <xdr:rowOff>228997</xdr:rowOff>
    </xdr:from>
    <xdr:to>
      <xdr:col>0</xdr:col>
      <xdr:colOff>848440</xdr:colOff>
      <xdr:row>25</xdr:row>
      <xdr:rowOff>9128</xdr:rowOff>
    </xdr:to>
    <xdr:cxnSp macro="">
      <xdr:nvCxnSpPr>
        <xdr:cNvPr id="12" name="3 Conector recto">
          <a:extLst>
            <a:ext uri="{FF2B5EF4-FFF2-40B4-BE49-F238E27FC236}">
              <a16:creationId xmlns:a16="http://schemas.microsoft.com/office/drawing/2014/main" id="{C10C1CFB-BA8E-4ABA-A70C-F957B626ADC1}"/>
            </a:ext>
          </a:extLst>
        </xdr:cNvPr>
        <xdr:cNvCxnSpPr/>
      </xdr:nvCxnSpPr>
      <xdr:spPr>
        <a:xfrm rot="5400000">
          <a:off x="553561" y="6131719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824627</xdr:colOff>
      <xdr:row>24</xdr:row>
      <xdr:rowOff>228997</xdr:rowOff>
    </xdr:from>
    <xdr:to>
      <xdr:col>0</xdr:col>
      <xdr:colOff>826215</xdr:colOff>
      <xdr:row>25</xdr:row>
      <xdr:rowOff>9128</xdr:rowOff>
    </xdr:to>
    <xdr:cxnSp macro="">
      <xdr:nvCxnSpPr>
        <xdr:cNvPr id="15" name="3 Conector recto">
          <a:extLst>
            <a:ext uri="{FF2B5EF4-FFF2-40B4-BE49-F238E27FC236}">
              <a16:creationId xmlns:a16="http://schemas.microsoft.com/office/drawing/2014/main" id="{0BE7C0E4-C930-4B1B-A1F0-24165A5CD641}"/>
            </a:ext>
          </a:extLst>
        </xdr:cNvPr>
        <xdr:cNvCxnSpPr/>
      </xdr:nvCxnSpPr>
      <xdr:spPr>
        <a:xfrm rot="5400000">
          <a:off x="544036" y="6131719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846852</xdr:colOff>
      <xdr:row>24</xdr:row>
      <xdr:rowOff>228997</xdr:rowOff>
    </xdr:from>
    <xdr:to>
      <xdr:col>0</xdr:col>
      <xdr:colOff>848440</xdr:colOff>
      <xdr:row>25</xdr:row>
      <xdr:rowOff>9128</xdr:rowOff>
    </xdr:to>
    <xdr:cxnSp macro="">
      <xdr:nvCxnSpPr>
        <xdr:cNvPr id="18" name="3 Conector recto">
          <a:extLst>
            <a:ext uri="{FF2B5EF4-FFF2-40B4-BE49-F238E27FC236}">
              <a16:creationId xmlns:a16="http://schemas.microsoft.com/office/drawing/2014/main" id="{AA1AE0C7-3A90-4997-BEC1-7459EC79C1FD}"/>
            </a:ext>
          </a:extLst>
        </xdr:cNvPr>
        <xdr:cNvCxnSpPr/>
      </xdr:nvCxnSpPr>
      <xdr:spPr>
        <a:xfrm rot="5400000">
          <a:off x="553561" y="6131719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824627</xdr:colOff>
      <xdr:row>24</xdr:row>
      <xdr:rowOff>228997</xdr:rowOff>
    </xdr:from>
    <xdr:to>
      <xdr:col>0</xdr:col>
      <xdr:colOff>826215</xdr:colOff>
      <xdr:row>25</xdr:row>
      <xdr:rowOff>9128</xdr:rowOff>
    </xdr:to>
    <xdr:cxnSp macro="">
      <xdr:nvCxnSpPr>
        <xdr:cNvPr id="21" name="3 Conector recto">
          <a:extLst>
            <a:ext uri="{FF2B5EF4-FFF2-40B4-BE49-F238E27FC236}">
              <a16:creationId xmlns:a16="http://schemas.microsoft.com/office/drawing/2014/main" id="{54414D13-AE63-4176-AA85-3811E066E0AE}"/>
            </a:ext>
          </a:extLst>
        </xdr:cNvPr>
        <xdr:cNvCxnSpPr/>
      </xdr:nvCxnSpPr>
      <xdr:spPr>
        <a:xfrm rot="5400000">
          <a:off x="544036" y="6131719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3</xdr:col>
      <xdr:colOff>1345407</xdr:colOff>
      <xdr:row>38</xdr:row>
      <xdr:rowOff>109538</xdr:rowOff>
    </xdr:from>
    <xdr:to>
      <xdr:col>4</xdr:col>
      <xdr:colOff>516732</xdr:colOff>
      <xdr:row>42</xdr:row>
      <xdr:rowOff>21432</xdr:rowOff>
    </xdr:to>
    <xdr:pic>
      <xdr:nvPicPr>
        <xdr:cNvPr id="2087050" name="Imagen 77">
          <a:extLst>
            <a:ext uri="{FF2B5EF4-FFF2-40B4-BE49-F238E27FC236}">
              <a16:creationId xmlns:a16="http://schemas.microsoft.com/office/drawing/2014/main" id="{94561F33-D5B7-49A1-ACD5-7A285BE50D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07970" y="8277226"/>
          <a:ext cx="862012" cy="7215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829786</xdr:colOff>
      <xdr:row>36</xdr:row>
      <xdr:rowOff>0</xdr:rowOff>
    </xdr:from>
    <xdr:to>
      <xdr:col>0</xdr:col>
      <xdr:colOff>831374</xdr:colOff>
      <xdr:row>36</xdr:row>
      <xdr:rowOff>13494</xdr:rowOff>
    </xdr:to>
    <xdr:cxnSp macro="">
      <xdr:nvCxnSpPr>
        <xdr:cNvPr id="2" name="3 Conector recto">
          <a:extLst>
            <a:ext uri="{FF2B5EF4-FFF2-40B4-BE49-F238E27FC236}">
              <a16:creationId xmlns:a16="http://schemas.microsoft.com/office/drawing/2014/main" id="{2E2D798C-6071-43D9-99DF-2815C91FCA2A}"/>
            </a:ext>
          </a:extLst>
        </xdr:cNvPr>
        <xdr:cNvCxnSpPr/>
      </xdr:nvCxnSpPr>
      <xdr:spPr>
        <a:xfrm rot="5400000">
          <a:off x="549195" y="6271816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36</xdr:row>
      <xdr:rowOff>0</xdr:rowOff>
    </xdr:from>
    <xdr:to>
      <xdr:col>0</xdr:col>
      <xdr:colOff>831374</xdr:colOff>
      <xdr:row>36</xdr:row>
      <xdr:rowOff>13494</xdr:rowOff>
    </xdr:to>
    <xdr:cxnSp macro="">
      <xdr:nvCxnSpPr>
        <xdr:cNvPr id="3" name="3 Conector recto">
          <a:extLst>
            <a:ext uri="{FF2B5EF4-FFF2-40B4-BE49-F238E27FC236}">
              <a16:creationId xmlns:a16="http://schemas.microsoft.com/office/drawing/2014/main" id="{446B2D3E-8444-4832-843F-2C5611C11397}"/>
            </a:ext>
          </a:extLst>
        </xdr:cNvPr>
        <xdr:cNvCxnSpPr/>
      </xdr:nvCxnSpPr>
      <xdr:spPr>
        <a:xfrm rot="5400000">
          <a:off x="549195" y="6271816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37</xdr:row>
      <xdr:rowOff>0</xdr:rowOff>
    </xdr:from>
    <xdr:to>
      <xdr:col>0</xdr:col>
      <xdr:colOff>831374</xdr:colOff>
      <xdr:row>37</xdr:row>
      <xdr:rowOff>8335</xdr:rowOff>
    </xdr:to>
    <xdr:cxnSp macro="">
      <xdr:nvCxnSpPr>
        <xdr:cNvPr id="4" name="3 Conector recto">
          <a:extLst>
            <a:ext uri="{FF2B5EF4-FFF2-40B4-BE49-F238E27FC236}">
              <a16:creationId xmlns:a16="http://schemas.microsoft.com/office/drawing/2014/main" id="{B6390749-E0E3-40A7-B08E-95F432C11ADF}"/>
            </a:ext>
          </a:extLst>
        </xdr:cNvPr>
        <xdr:cNvCxnSpPr/>
      </xdr:nvCxnSpPr>
      <xdr:spPr>
        <a:xfrm rot="5400000">
          <a:off x="551775" y="6459736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20</xdr:row>
      <xdr:rowOff>0</xdr:rowOff>
    </xdr:from>
    <xdr:to>
      <xdr:col>0</xdr:col>
      <xdr:colOff>831374</xdr:colOff>
      <xdr:row>20</xdr:row>
      <xdr:rowOff>8335</xdr:rowOff>
    </xdr:to>
    <xdr:cxnSp macro="">
      <xdr:nvCxnSpPr>
        <xdr:cNvPr id="5" name="3 Conector recto">
          <a:extLst>
            <a:ext uri="{FF2B5EF4-FFF2-40B4-BE49-F238E27FC236}">
              <a16:creationId xmlns:a16="http://schemas.microsoft.com/office/drawing/2014/main" id="{B27BD115-F4DC-4430-913A-210BD0F6148B}"/>
            </a:ext>
          </a:extLst>
        </xdr:cNvPr>
        <xdr:cNvCxnSpPr/>
      </xdr:nvCxnSpPr>
      <xdr:spPr>
        <a:xfrm rot="5400000">
          <a:off x="551775" y="46976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20</xdr:row>
      <xdr:rowOff>0</xdr:rowOff>
    </xdr:from>
    <xdr:to>
      <xdr:col>0</xdr:col>
      <xdr:colOff>831374</xdr:colOff>
      <xdr:row>20</xdr:row>
      <xdr:rowOff>8335</xdr:rowOff>
    </xdr:to>
    <xdr:cxnSp macro="">
      <xdr:nvCxnSpPr>
        <xdr:cNvPr id="6" name="3 Conector recto">
          <a:extLst>
            <a:ext uri="{FF2B5EF4-FFF2-40B4-BE49-F238E27FC236}">
              <a16:creationId xmlns:a16="http://schemas.microsoft.com/office/drawing/2014/main" id="{814A5CA5-E08F-4BF8-BA82-D3FFCF9920AA}"/>
            </a:ext>
          </a:extLst>
        </xdr:cNvPr>
        <xdr:cNvCxnSpPr/>
      </xdr:nvCxnSpPr>
      <xdr:spPr>
        <a:xfrm rot="5400000">
          <a:off x="551775" y="46976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23</xdr:row>
      <xdr:rowOff>0</xdr:rowOff>
    </xdr:from>
    <xdr:to>
      <xdr:col>0</xdr:col>
      <xdr:colOff>831374</xdr:colOff>
      <xdr:row>23</xdr:row>
      <xdr:rowOff>13494</xdr:rowOff>
    </xdr:to>
    <xdr:cxnSp macro="">
      <xdr:nvCxnSpPr>
        <xdr:cNvPr id="7" name="3 Conector recto">
          <a:extLst>
            <a:ext uri="{FF2B5EF4-FFF2-40B4-BE49-F238E27FC236}">
              <a16:creationId xmlns:a16="http://schemas.microsoft.com/office/drawing/2014/main" id="{AA7AC1A4-F2E7-4136-87D6-0C974E5C8F22}"/>
            </a:ext>
          </a:extLst>
        </xdr:cNvPr>
        <xdr:cNvCxnSpPr/>
      </xdr:nvCxnSpPr>
      <xdr:spPr>
        <a:xfrm rot="5400000">
          <a:off x="549195" y="48906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1</xdr:colOff>
      <xdr:row>0</xdr:row>
      <xdr:rowOff>285750</xdr:rowOff>
    </xdr:from>
    <xdr:to>
      <xdr:col>1</xdr:col>
      <xdr:colOff>654843</xdr:colOff>
      <xdr:row>4</xdr:row>
      <xdr:rowOff>23812</xdr:rowOff>
    </xdr:to>
    <xdr:pic>
      <xdr:nvPicPr>
        <xdr:cNvPr id="2079110" name="Imagen 18">
          <a:extLst>
            <a:ext uri="{FF2B5EF4-FFF2-40B4-BE49-F238E27FC236}">
              <a16:creationId xmlns:a16="http://schemas.microsoft.com/office/drawing/2014/main" id="{FA569E2F-7588-405A-9B6B-C551A8A7B7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285750"/>
          <a:ext cx="234553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800100</xdr:colOff>
      <xdr:row>0</xdr:row>
      <xdr:rowOff>390525</xdr:rowOff>
    </xdr:from>
    <xdr:to>
      <xdr:col>5</xdr:col>
      <xdr:colOff>1447800</xdr:colOff>
      <xdr:row>4</xdr:row>
      <xdr:rowOff>47625</xdr:rowOff>
    </xdr:to>
    <xdr:pic>
      <xdr:nvPicPr>
        <xdr:cNvPr id="2079111" name="Imagen 19">
          <a:extLst>
            <a:ext uri="{FF2B5EF4-FFF2-40B4-BE49-F238E27FC236}">
              <a16:creationId xmlns:a16="http://schemas.microsoft.com/office/drawing/2014/main" id="{A3ADA361-2DCA-46C8-8E09-C07FD23941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43825" y="390525"/>
          <a:ext cx="1666875" cy="923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829786</xdr:colOff>
      <xdr:row>20</xdr:row>
      <xdr:rowOff>0</xdr:rowOff>
    </xdr:from>
    <xdr:to>
      <xdr:col>0</xdr:col>
      <xdr:colOff>831374</xdr:colOff>
      <xdr:row>20</xdr:row>
      <xdr:rowOff>8335</xdr:rowOff>
    </xdr:to>
    <xdr:cxnSp macro="">
      <xdr:nvCxnSpPr>
        <xdr:cNvPr id="10" name="3 Conector recto">
          <a:extLst>
            <a:ext uri="{FF2B5EF4-FFF2-40B4-BE49-F238E27FC236}">
              <a16:creationId xmlns:a16="http://schemas.microsoft.com/office/drawing/2014/main" id="{2AC66AFB-C235-4759-9479-1F03655FC397}"/>
            </a:ext>
          </a:extLst>
        </xdr:cNvPr>
        <xdr:cNvCxnSpPr/>
      </xdr:nvCxnSpPr>
      <xdr:spPr>
        <a:xfrm rot="5400000">
          <a:off x="551775" y="46976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20</xdr:row>
      <xdr:rowOff>0</xdr:rowOff>
    </xdr:from>
    <xdr:to>
      <xdr:col>0</xdr:col>
      <xdr:colOff>831374</xdr:colOff>
      <xdr:row>20</xdr:row>
      <xdr:rowOff>8335</xdr:rowOff>
    </xdr:to>
    <xdr:cxnSp macro="">
      <xdr:nvCxnSpPr>
        <xdr:cNvPr id="11" name="3 Conector recto">
          <a:extLst>
            <a:ext uri="{FF2B5EF4-FFF2-40B4-BE49-F238E27FC236}">
              <a16:creationId xmlns:a16="http://schemas.microsoft.com/office/drawing/2014/main" id="{6A3C136D-6B47-458E-B014-C8ED111B58EA}"/>
            </a:ext>
          </a:extLst>
        </xdr:cNvPr>
        <xdr:cNvCxnSpPr/>
      </xdr:nvCxnSpPr>
      <xdr:spPr>
        <a:xfrm rot="5400000">
          <a:off x="551775" y="46976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23</xdr:row>
      <xdr:rowOff>0</xdr:rowOff>
    </xdr:from>
    <xdr:to>
      <xdr:col>0</xdr:col>
      <xdr:colOff>831374</xdr:colOff>
      <xdr:row>23</xdr:row>
      <xdr:rowOff>13494</xdr:rowOff>
    </xdr:to>
    <xdr:cxnSp macro="">
      <xdr:nvCxnSpPr>
        <xdr:cNvPr id="12" name="3 Conector recto">
          <a:extLst>
            <a:ext uri="{FF2B5EF4-FFF2-40B4-BE49-F238E27FC236}">
              <a16:creationId xmlns:a16="http://schemas.microsoft.com/office/drawing/2014/main" id="{73D03EFB-1951-4D0F-8A0D-1C31C81A8966}"/>
            </a:ext>
          </a:extLst>
        </xdr:cNvPr>
        <xdr:cNvCxnSpPr/>
      </xdr:nvCxnSpPr>
      <xdr:spPr>
        <a:xfrm rot="5400000">
          <a:off x="549195" y="48906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20</xdr:row>
      <xdr:rowOff>0</xdr:rowOff>
    </xdr:from>
    <xdr:to>
      <xdr:col>0</xdr:col>
      <xdr:colOff>825024</xdr:colOff>
      <xdr:row>20</xdr:row>
      <xdr:rowOff>8335</xdr:rowOff>
    </xdr:to>
    <xdr:cxnSp macro="">
      <xdr:nvCxnSpPr>
        <xdr:cNvPr id="13" name="3 Conector recto">
          <a:extLst>
            <a:ext uri="{FF2B5EF4-FFF2-40B4-BE49-F238E27FC236}">
              <a16:creationId xmlns:a16="http://schemas.microsoft.com/office/drawing/2014/main" id="{F4C53E6B-A8C0-4F34-9BDF-CD250A43139F}"/>
            </a:ext>
          </a:extLst>
        </xdr:cNvPr>
        <xdr:cNvCxnSpPr/>
      </xdr:nvCxnSpPr>
      <xdr:spPr>
        <a:xfrm rot="5400000">
          <a:off x="542250" y="46976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20</xdr:row>
      <xdr:rowOff>0</xdr:rowOff>
    </xdr:from>
    <xdr:to>
      <xdr:col>0</xdr:col>
      <xdr:colOff>825024</xdr:colOff>
      <xdr:row>20</xdr:row>
      <xdr:rowOff>8335</xdr:rowOff>
    </xdr:to>
    <xdr:cxnSp macro="">
      <xdr:nvCxnSpPr>
        <xdr:cNvPr id="14" name="3 Conector recto">
          <a:extLst>
            <a:ext uri="{FF2B5EF4-FFF2-40B4-BE49-F238E27FC236}">
              <a16:creationId xmlns:a16="http://schemas.microsoft.com/office/drawing/2014/main" id="{239CB6DB-9704-4E38-A9E4-16B5509A3B26}"/>
            </a:ext>
          </a:extLst>
        </xdr:cNvPr>
        <xdr:cNvCxnSpPr/>
      </xdr:nvCxnSpPr>
      <xdr:spPr>
        <a:xfrm rot="5400000">
          <a:off x="542250" y="46976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23</xdr:row>
      <xdr:rowOff>0</xdr:rowOff>
    </xdr:from>
    <xdr:to>
      <xdr:col>0</xdr:col>
      <xdr:colOff>825024</xdr:colOff>
      <xdr:row>23</xdr:row>
      <xdr:rowOff>13494</xdr:rowOff>
    </xdr:to>
    <xdr:cxnSp macro="">
      <xdr:nvCxnSpPr>
        <xdr:cNvPr id="15" name="3 Conector recto">
          <a:extLst>
            <a:ext uri="{FF2B5EF4-FFF2-40B4-BE49-F238E27FC236}">
              <a16:creationId xmlns:a16="http://schemas.microsoft.com/office/drawing/2014/main" id="{4292BC4D-539E-4ECF-AD6E-364A979FDB0F}"/>
            </a:ext>
          </a:extLst>
        </xdr:cNvPr>
        <xdr:cNvCxnSpPr/>
      </xdr:nvCxnSpPr>
      <xdr:spPr>
        <a:xfrm rot="5400000">
          <a:off x="539670" y="48906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20</xdr:row>
      <xdr:rowOff>0</xdr:rowOff>
    </xdr:from>
    <xdr:to>
      <xdr:col>0</xdr:col>
      <xdr:colOff>831374</xdr:colOff>
      <xdr:row>20</xdr:row>
      <xdr:rowOff>8335</xdr:rowOff>
    </xdr:to>
    <xdr:cxnSp macro="">
      <xdr:nvCxnSpPr>
        <xdr:cNvPr id="16" name="3 Conector recto">
          <a:extLst>
            <a:ext uri="{FF2B5EF4-FFF2-40B4-BE49-F238E27FC236}">
              <a16:creationId xmlns:a16="http://schemas.microsoft.com/office/drawing/2014/main" id="{F8F90A6E-D439-4265-BBD5-A138B2558D46}"/>
            </a:ext>
          </a:extLst>
        </xdr:cNvPr>
        <xdr:cNvCxnSpPr/>
      </xdr:nvCxnSpPr>
      <xdr:spPr>
        <a:xfrm rot="5400000">
          <a:off x="551775" y="46976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20</xdr:row>
      <xdr:rowOff>0</xdr:rowOff>
    </xdr:from>
    <xdr:to>
      <xdr:col>0</xdr:col>
      <xdr:colOff>831374</xdr:colOff>
      <xdr:row>20</xdr:row>
      <xdr:rowOff>8335</xdr:rowOff>
    </xdr:to>
    <xdr:cxnSp macro="">
      <xdr:nvCxnSpPr>
        <xdr:cNvPr id="17" name="3 Conector recto">
          <a:extLst>
            <a:ext uri="{FF2B5EF4-FFF2-40B4-BE49-F238E27FC236}">
              <a16:creationId xmlns:a16="http://schemas.microsoft.com/office/drawing/2014/main" id="{8026D0B0-8D03-421A-B8BB-450F80A0F660}"/>
            </a:ext>
          </a:extLst>
        </xdr:cNvPr>
        <xdr:cNvCxnSpPr/>
      </xdr:nvCxnSpPr>
      <xdr:spPr>
        <a:xfrm rot="5400000">
          <a:off x="551775" y="46976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23</xdr:row>
      <xdr:rowOff>0</xdr:rowOff>
    </xdr:from>
    <xdr:to>
      <xdr:col>0</xdr:col>
      <xdr:colOff>831374</xdr:colOff>
      <xdr:row>23</xdr:row>
      <xdr:rowOff>13494</xdr:rowOff>
    </xdr:to>
    <xdr:cxnSp macro="">
      <xdr:nvCxnSpPr>
        <xdr:cNvPr id="18" name="3 Conector recto">
          <a:extLst>
            <a:ext uri="{FF2B5EF4-FFF2-40B4-BE49-F238E27FC236}">
              <a16:creationId xmlns:a16="http://schemas.microsoft.com/office/drawing/2014/main" id="{DE35DA99-CE39-4C75-A0DD-57B8A1AD7CE0}"/>
            </a:ext>
          </a:extLst>
        </xdr:cNvPr>
        <xdr:cNvCxnSpPr/>
      </xdr:nvCxnSpPr>
      <xdr:spPr>
        <a:xfrm rot="5400000">
          <a:off x="549195" y="48906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20</xdr:row>
      <xdr:rowOff>0</xdr:rowOff>
    </xdr:from>
    <xdr:to>
      <xdr:col>0</xdr:col>
      <xdr:colOff>825024</xdr:colOff>
      <xdr:row>20</xdr:row>
      <xdr:rowOff>8335</xdr:rowOff>
    </xdr:to>
    <xdr:cxnSp macro="">
      <xdr:nvCxnSpPr>
        <xdr:cNvPr id="19" name="3 Conector recto">
          <a:extLst>
            <a:ext uri="{FF2B5EF4-FFF2-40B4-BE49-F238E27FC236}">
              <a16:creationId xmlns:a16="http://schemas.microsoft.com/office/drawing/2014/main" id="{6A794295-CDD0-46F4-A0F6-70BB2C08739D}"/>
            </a:ext>
          </a:extLst>
        </xdr:cNvPr>
        <xdr:cNvCxnSpPr/>
      </xdr:nvCxnSpPr>
      <xdr:spPr>
        <a:xfrm rot="5400000">
          <a:off x="542250" y="46976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20</xdr:row>
      <xdr:rowOff>0</xdr:rowOff>
    </xdr:from>
    <xdr:to>
      <xdr:col>0</xdr:col>
      <xdr:colOff>825024</xdr:colOff>
      <xdr:row>20</xdr:row>
      <xdr:rowOff>8335</xdr:rowOff>
    </xdr:to>
    <xdr:cxnSp macro="">
      <xdr:nvCxnSpPr>
        <xdr:cNvPr id="20" name="3 Conector recto">
          <a:extLst>
            <a:ext uri="{FF2B5EF4-FFF2-40B4-BE49-F238E27FC236}">
              <a16:creationId xmlns:a16="http://schemas.microsoft.com/office/drawing/2014/main" id="{9FF09E54-6464-4D12-861F-4899215311A3}"/>
            </a:ext>
          </a:extLst>
        </xdr:cNvPr>
        <xdr:cNvCxnSpPr/>
      </xdr:nvCxnSpPr>
      <xdr:spPr>
        <a:xfrm rot="5400000">
          <a:off x="542250" y="46976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23</xdr:row>
      <xdr:rowOff>0</xdr:rowOff>
    </xdr:from>
    <xdr:to>
      <xdr:col>0</xdr:col>
      <xdr:colOff>825024</xdr:colOff>
      <xdr:row>23</xdr:row>
      <xdr:rowOff>13494</xdr:rowOff>
    </xdr:to>
    <xdr:cxnSp macro="">
      <xdr:nvCxnSpPr>
        <xdr:cNvPr id="21" name="3 Conector recto">
          <a:extLst>
            <a:ext uri="{FF2B5EF4-FFF2-40B4-BE49-F238E27FC236}">
              <a16:creationId xmlns:a16="http://schemas.microsoft.com/office/drawing/2014/main" id="{C773AA18-020F-4912-A370-37C0405B5DB7}"/>
            </a:ext>
          </a:extLst>
        </xdr:cNvPr>
        <xdr:cNvCxnSpPr/>
      </xdr:nvCxnSpPr>
      <xdr:spPr>
        <a:xfrm rot="5400000">
          <a:off x="539670" y="48906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839311</xdr:colOff>
      <xdr:row>28</xdr:row>
      <xdr:rowOff>0</xdr:rowOff>
    </xdr:from>
    <xdr:to>
      <xdr:col>3</xdr:col>
      <xdr:colOff>840899</xdr:colOff>
      <xdr:row>28</xdr:row>
      <xdr:rowOff>8335</xdr:rowOff>
    </xdr:to>
    <xdr:cxnSp macro="">
      <xdr:nvCxnSpPr>
        <xdr:cNvPr id="28" name="3 Conector recto">
          <a:extLst>
            <a:ext uri="{FF2B5EF4-FFF2-40B4-BE49-F238E27FC236}">
              <a16:creationId xmlns:a16="http://schemas.microsoft.com/office/drawing/2014/main" id="{E0965B8C-7D11-41C5-945B-79101C674B6C}"/>
            </a:ext>
          </a:extLst>
        </xdr:cNvPr>
        <xdr:cNvCxnSpPr/>
      </xdr:nvCxnSpPr>
      <xdr:spPr>
        <a:xfrm rot="5400000">
          <a:off x="5609550" y="8098036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839311</xdr:colOff>
      <xdr:row>28</xdr:row>
      <xdr:rowOff>0</xdr:rowOff>
    </xdr:from>
    <xdr:to>
      <xdr:col>3</xdr:col>
      <xdr:colOff>840899</xdr:colOff>
      <xdr:row>28</xdr:row>
      <xdr:rowOff>8335</xdr:rowOff>
    </xdr:to>
    <xdr:cxnSp macro="">
      <xdr:nvCxnSpPr>
        <xdr:cNvPr id="29" name="3 Conector recto">
          <a:extLst>
            <a:ext uri="{FF2B5EF4-FFF2-40B4-BE49-F238E27FC236}">
              <a16:creationId xmlns:a16="http://schemas.microsoft.com/office/drawing/2014/main" id="{B76E323B-FE1B-488A-BCFD-916C52B81EFE}"/>
            </a:ext>
          </a:extLst>
        </xdr:cNvPr>
        <xdr:cNvCxnSpPr/>
      </xdr:nvCxnSpPr>
      <xdr:spPr>
        <a:xfrm rot="5400000">
          <a:off x="5609550" y="8098036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813911</xdr:colOff>
      <xdr:row>28</xdr:row>
      <xdr:rowOff>0</xdr:rowOff>
    </xdr:from>
    <xdr:to>
      <xdr:col>3</xdr:col>
      <xdr:colOff>815499</xdr:colOff>
      <xdr:row>28</xdr:row>
      <xdr:rowOff>8335</xdr:rowOff>
    </xdr:to>
    <xdr:cxnSp macro="">
      <xdr:nvCxnSpPr>
        <xdr:cNvPr id="31" name="3 Conector recto">
          <a:extLst>
            <a:ext uri="{FF2B5EF4-FFF2-40B4-BE49-F238E27FC236}">
              <a16:creationId xmlns:a16="http://schemas.microsoft.com/office/drawing/2014/main" id="{043EF134-A7FA-4774-AE3C-F8CFA213BC5D}"/>
            </a:ext>
          </a:extLst>
        </xdr:cNvPr>
        <xdr:cNvCxnSpPr/>
      </xdr:nvCxnSpPr>
      <xdr:spPr>
        <a:xfrm rot="5400000">
          <a:off x="5600025" y="8098036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813911</xdr:colOff>
      <xdr:row>28</xdr:row>
      <xdr:rowOff>0</xdr:rowOff>
    </xdr:from>
    <xdr:to>
      <xdr:col>3</xdr:col>
      <xdr:colOff>815499</xdr:colOff>
      <xdr:row>28</xdr:row>
      <xdr:rowOff>8335</xdr:rowOff>
    </xdr:to>
    <xdr:cxnSp macro="">
      <xdr:nvCxnSpPr>
        <xdr:cNvPr id="32" name="3 Conector recto">
          <a:extLst>
            <a:ext uri="{FF2B5EF4-FFF2-40B4-BE49-F238E27FC236}">
              <a16:creationId xmlns:a16="http://schemas.microsoft.com/office/drawing/2014/main" id="{9B7DAC7B-8804-4F63-9569-C8D94FCECD13}"/>
            </a:ext>
          </a:extLst>
        </xdr:cNvPr>
        <xdr:cNvCxnSpPr/>
      </xdr:nvCxnSpPr>
      <xdr:spPr>
        <a:xfrm rot="5400000">
          <a:off x="5600025" y="8098036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3</xdr:col>
      <xdr:colOff>1307306</xdr:colOff>
      <xdr:row>37</xdr:row>
      <xdr:rowOff>190501</xdr:rowOff>
    </xdr:from>
    <xdr:to>
      <xdr:col>4</xdr:col>
      <xdr:colOff>640556</xdr:colOff>
      <xdr:row>41</xdr:row>
      <xdr:rowOff>38101</xdr:rowOff>
    </xdr:to>
    <xdr:pic>
      <xdr:nvPicPr>
        <xdr:cNvPr id="2079128" name="Imagen 77">
          <a:extLst>
            <a:ext uri="{FF2B5EF4-FFF2-40B4-BE49-F238E27FC236}">
              <a16:creationId xmlns:a16="http://schemas.microsoft.com/office/drawing/2014/main" id="{4930DD14-AACF-4DC8-A7F9-FE99CF0924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69869" y="8155782"/>
          <a:ext cx="1023937" cy="65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829786</xdr:colOff>
      <xdr:row>36</xdr:row>
      <xdr:rowOff>0</xdr:rowOff>
    </xdr:from>
    <xdr:to>
      <xdr:col>0</xdr:col>
      <xdr:colOff>831374</xdr:colOff>
      <xdr:row>36</xdr:row>
      <xdr:rowOff>13494</xdr:rowOff>
    </xdr:to>
    <xdr:cxnSp macro="">
      <xdr:nvCxnSpPr>
        <xdr:cNvPr id="2" name="3 Conector recto">
          <a:extLst>
            <a:ext uri="{FF2B5EF4-FFF2-40B4-BE49-F238E27FC236}">
              <a16:creationId xmlns:a16="http://schemas.microsoft.com/office/drawing/2014/main" id="{9FE4BBF0-AB72-450A-B9C0-D190AEC8E607}"/>
            </a:ext>
          </a:extLst>
        </xdr:cNvPr>
        <xdr:cNvCxnSpPr/>
      </xdr:nvCxnSpPr>
      <xdr:spPr>
        <a:xfrm rot="5400000">
          <a:off x="549195" y="647184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36</xdr:row>
      <xdr:rowOff>0</xdr:rowOff>
    </xdr:from>
    <xdr:to>
      <xdr:col>0</xdr:col>
      <xdr:colOff>831374</xdr:colOff>
      <xdr:row>36</xdr:row>
      <xdr:rowOff>13494</xdr:rowOff>
    </xdr:to>
    <xdr:cxnSp macro="">
      <xdr:nvCxnSpPr>
        <xdr:cNvPr id="3" name="3 Conector recto">
          <a:extLst>
            <a:ext uri="{FF2B5EF4-FFF2-40B4-BE49-F238E27FC236}">
              <a16:creationId xmlns:a16="http://schemas.microsoft.com/office/drawing/2014/main" id="{345076A8-8829-411A-A55D-AF669E0417E9}"/>
            </a:ext>
          </a:extLst>
        </xdr:cNvPr>
        <xdr:cNvCxnSpPr/>
      </xdr:nvCxnSpPr>
      <xdr:spPr>
        <a:xfrm rot="5400000">
          <a:off x="549195" y="647184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37</xdr:row>
      <xdr:rowOff>0</xdr:rowOff>
    </xdr:from>
    <xdr:to>
      <xdr:col>0</xdr:col>
      <xdr:colOff>831374</xdr:colOff>
      <xdr:row>37</xdr:row>
      <xdr:rowOff>8335</xdr:rowOff>
    </xdr:to>
    <xdr:cxnSp macro="">
      <xdr:nvCxnSpPr>
        <xdr:cNvPr id="4" name="3 Conector recto">
          <a:extLst>
            <a:ext uri="{FF2B5EF4-FFF2-40B4-BE49-F238E27FC236}">
              <a16:creationId xmlns:a16="http://schemas.microsoft.com/office/drawing/2014/main" id="{6582DA71-98E0-41DB-9944-40DF3B275DC8}"/>
            </a:ext>
          </a:extLst>
        </xdr:cNvPr>
        <xdr:cNvCxnSpPr/>
      </xdr:nvCxnSpPr>
      <xdr:spPr>
        <a:xfrm rot="5400000">
          <a:off x="551775" y="665976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20</xdr:row>
      <xdr:rowOff>0</xdr:rowOff>
    </xdr:from>
    <xdr:to>
      <xdr:col>0</xdr:col>
      <xdr:colOff>831374</xdr:colOff>
      <xdr:row>20</xdr:row>
      <xdr:rowOff>8335</xdr:rowOff>
    </xdr:to>
    <xdr:cxnSp macro="">
      <xdr:nvCxnSpPr>
        <xdr:cNvPr id="5" name="3 Conector recto">
          <a:extLst>
            <a:ext uri="{FF2B5EF4-FFF2-40B4-BE49-F238E27FC236}">
              <a16:creationId xmlns:a16="http://schemas.microsoft.com/office/drawing/2014/main" id="{0DB4D4B8-83D2-4BD3-87D1-77CB51C69429}"/>
            </a:ext>
          </a:extLst>
        </xdr:cNvPr>
        <xdr:cNvCxnSpPr/>
      </xdr:nvCxnSpPr>
      <xdr:spPr>
        <a:xfrm rot="5400000">
          <a:off x="551775" y="4897636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20</xdr:row>
      <xdr:rowOff>0</xdr:rowOff>
    </xdr:from>
    <xdr:to>
      <xdr:col>0</xdr:col>
      <xdr:colOff>831374</xdr:colOff>
      <xdr:row>20</xdr:row>
      <xdr:rowOff>8335</xdr:rowOff>
    </xdr:to>
    <xdr:cxnSp macro="">
      <xdr:nvCxnSpPr>
        <xdr:cNvPr id="6" name="3 Conector recto">
          <a:extLst>
            <a:ext uri="{FF2B5EF4-FFF2-40B4-BE49-F238E27FC236}">
              <a16:creationId xmlns:a16="http://schemas.microsoft.com/office/drawing/2014/main" id="{8E2A8B98-7A03-49CF-A8EB-C9756238B864}"/>
            </a:ext>
          </a:extLst>
        </xdr:cNvPr>
        <xdr:cNvCxnSpPr/>
      </xdr:nvCxnSpPr>
      <xdr:spPr>
        <a:xfrm rot="5400000">
          <a:off x="551775" y="4897636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23</xdr:row>
      <xdr:rowOff>0</xdr:rowOff>
    </xdr:from>
    <xdr:to>
      <xdr:col>0</xdr:col>
      <xdr:colOff>831374</xdr:colOff>
      <xdr:row>23</xdr:row>
      <xdr:rowOff>13494</xdr:rowOff>
    </xdr:to>
    <xdr:cxnSp macro="">
      <xdr:nvCxnSpPr>
        <xdr:cNvPr id="7" name="3 Conector recto">
          <a:extLst>
            <a:ext uri="{FF2B5EF4-FFF2-40B4-BE49-F238E27FC236}">
              <a16:creationId xmlns:a16="http://schemas.microsoft.com/office/drawing/2014/main" id="{3A57D94B-075A-4FC5-8508-EC8768F0B6B8}"/>
            </a:ext>
          </a:extLst>
        </xdr:cNvPr>
        <xdr:cNvCxnSpPr/>
      </xdr:nvCxnSpPr>
      <xdr:spPr>
        <a:xfrm rot="5400000">
          <a:off x="549195" y="5090716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0</xdr:colOff>
      <xdr:row>0</xdr:row>
      <xdr:rowOff>285750</xdr:rowOff>
    </xdr:from>
    <xdr:to>
      <xdr:col>1</xdr:col>
      <xdr:colOff>119062</xdr:colOff>
      <xdr:row>4</xdr:row>
      <xdr:rowOff>23812</xdr:rowOff>
    </xdr:to>
    <xdr:pic>
      <xdr:nvPicPr>
        <xdr:cNvPr id="2069382" name="Imagen 18">
          <a:extLst>
            <a:ext uri="{FF2B5EF4-FFF2-40B4-BE49-F238E27FC236}">
              <a16:creationId xmlns:a16="http://schemas.microsoft.com/office/drawing/2014/main" id="{CE5C3BB7-3CD6-4644-85DF-0FB3349EC1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0"/>
          <a:ext cx="18097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800100</xdr:colOff>
      <xdr:row>0</xdr:row>
      <xdr:rowOff>390525</xdr:rowOff>
    </xdr:from>
    <xdr:to>
      <xdr:col>5</xdr:col>
      <xdr:colOff>1447800</xdr:colOff>
      <xdr:row>4</xdr:row>
      <xdr:rowOff>47625</xdr:rowOff>
    </xdr:to>
    <xdr:pic>
      <xdr:nvPicPr>
        <xdr:cNvPr id="2069383" name="Imagen 19">
          <a:extLst>
            <a:ext uri="{FF2B5EF4-FFF2-40B4-BE49-F238E27FC236}">
              <a16:creationId xmlns:a16="http://schemas.microsoft.com/office/drawing/2014/main" id="{88E7A9FB-3953-4D46-B645-E23C1614BD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43825" y="390525"/>
          <a:ext cx="1666875" cy="923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829786</xdr:colOff>
      <xdr:row>20</xdr:row>
      <xdr:rowOff>0</xdr:rowOff>
    </xdr:from>
    <xdr:to>
      <xdr:col>0</xdr:col>
      <xdr:colOff>831374</xdr:colOff>
      <xdr:row>20</xdr:row>
      <xdr:rowOff>8335</xdr:rowOff>
    </xdr:to>
    <xdr:cxnSp macro="">
      <xdr:nvCxnSpPr>
        <xdr:cNvPr id="10" name="3 Conector recto">
          <a:extLst>
            <a:ext uri="{FF2B5EF4-FFF2-40B4-BE49-F238E27FC236}">
              <a16:creationId xmlns:a16="http://schemas.microsoft.com/office/drawing/2014/main" id="{30D72AA2-6884-4B1D-B319-3A0F197689CF}"/>
            </a:ext>
          </a:extLst>
        </xdr:cNvPr>
        <xdr:cNvCxnSpPr/>
      </xdr:nvCxnSpPr>
      <xdr:spPr>
        <a:xfrm rot="5400000">
          <a:off x="551775" y="4897636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20</xdr:row>
      <xdr:rowOff>0</xdr:rowOff>
    </xdr:from>
    <xdr:to>
      <xdr:col>0</xdr:col>
      <xdr:colOff>831374</xdr:colOff>
      <xdr:row>20</xdr:row>
      <xdr:rowOff>8335</xdr:rowOff>
    </xdr:to>
    <xdr:cxnSp macro="">
      <xdr:nvCxnSpPr>
        <xdr:cNvPr id="11" name="3 Conector recto">
          <a:extLst>
            <a:ext uri="{FF2B5EF4-FFF2-40B4-BE49-F238E27FC236}">
              <a16:creationId xmlns:a16="http://schemas.microsoft.com/office/drawing/2014/main" id="{4EB01FD6-1F4F-41B3-8C2F-4A0AAF042CE1}"/>
            </a:ext>
          </a:extLst>
        </xdr:cNvPr>
        <xdr:cNvCxnSpPr/>
      </xdr:nvCxnSpPr>
      <xdr:spPr>
        <a:xfrm rot="5400000">
          <a:off x="551775" y="4897636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23</xdr:row>
      <xdr:rowOff>0</xdr:rowOff>
    </xdr:from>
    <xdr:to>
      <xdr:col>0</xdr:col>
      <xdr:colOff>831374</xdr:colOff>
      <xdr:row>23</xdr:row>
      <xdr:rowOff>13494</xdr:rowOff>
    </xdr:to>
    <xdr:cxnSp macro="">
      <xdr:nvCxnSpPr>
        <xdr:cNvPr id="12" name="3 Conector recto">
          <a:extLst>
            <a:ext uri="{FF2B5EF4-FFF2-40B4-BE49-F238E27FC236}">
              <a16:creationId xmlns:a16="http://schemas.microsoft.com/office/drawing/2014/main" id="{07233572-7CC5-44D2-A80C-F55DC5236E84}"/>
            </a:ext>
          </a:extLst>
        </xdr:cNvPr>
        <xdr:cNvCxnSpPr/>
      </xdr:nvCxnSpPr>
      <xdr:spPr>
        <a:xfrm rot="5400000">
          <a:off x="549195" y="5090716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20</xdr:row>
      <xdr:rowOff>0</xdr:rowOff>
    </xdr:from>
    <xdr:to>
      <xdr:col>0</xdr:col>
      <xdr:colOff>825024</xdr:colOff>
      <xdr:row>20</xdr:row>
      <xdr:rowOff>8335</xdr:rowOff>
    </xdr:to>
    <xdr:cxnSp macro="">
      <xdr:nvCxnSpPr>
        <xdr:cNvPr id="13" name="3 Conector recto">
          <a:extLst>
            <a:ext uri="{FF2B5EF4-FFF2-40B4-BE49-F238E27FC236}">
              <a16:creationId xmlns:a16="http://schemas.microsoft.com/office/drawing/2014/main" id="{67C94629-EF02-444F-B067-7AA4A4E6467A}"/>
            </a:ext>
          </a:extLst>
        </xdr:cNvPr>
        <xdr:cNvCxnSpPr/>
      </xdr:nvCxnSpPr>
      <xdr:spPr>
        <a:xfrm rot="5400000">
          <a:off x="542250" y="4897636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20</xdr:row>
      <xdr:rowOff>0</xdr:rowOff>
    </xdr:from>
    <xdr:to>
      <xdr:col>0</xdr:col>
      <xdr:colOff>825024</xdr:colOff>
      <xdr:row>20</xdr:row>
      <xdr:rowOff>8335</xdr:rowOff>
    </xdr:to>
    <xdr:cxnSp macro="">
      <xdr:nvCxnSpPr>
        <xdr:cNvPr id="14" name="3 Conector recto">
          <a:extLst>
            <a:ext uri="{FF2B5EF4-FFF2-40B4-BE49-F238E27FC236}">
              <a16:creationId xmlns:a16="http://schemas.microsoft.com/office/drawing/2014/main" id="{ED9EF3E0-11CE-481B-B957-757FBD709BA9}"/>
            </a:ext>
          </a:extLst>
        </xdr:cNvPr>
        <xdr:cNvCxnSpPr/>
      </xdr:nvCxnSpPr>
      <xdr:spPr>
        <a:xfrm rot="5400000">
          <a:off x="542250" y="4897636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23</xdr:row>
      <xdr:rowOff>0</xdr:rowOff>
    </xdr:from>
    <xdr:to>
      <xdr:col>0</xdr:col>
      <xdr:colOff>825024</xdr:colOff>
      <xdr:row>23</xdr:row>
      <xdr:rowOff>13494</xdr:rowOff>
    </xdr:to>
    <xdr:cxnSp macro="">
      <xdr:nvCxnSpPr>
        <xdr:cNvPr id="15" name="3 Conector recto">
          <a:extLst>
            <a:ext uri="{FF2B5EF4-FFF2-40B4-BE49-F238E27FC236}">
              <a16:creationId xmlns:a16="http://schemas.microsoft.com/office/drawing/2014/main" id="{B94B6E0A-48BA-4B7D-9C4C-968AA462BAF7}"/>
            </a:ext>
          </a:extLst>
        </xdr:cNvPr>
        <xdr:cNvCxnSpPr/>
      </xdr:nvCxnSpPr>
      <xdr:spPr>
        <a:xfrm rot="5400000">
          <a:off x="539670" y="5090716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20</xdr:row>
      <xdr:rowOff>0</xdr:rowOff>
    </xdr:from>
    <xdr:to>
      <xdr:col>0</xdr:col>
      <xdr:colOff>831374</xdr:colOff>
      <xdr:row>20</xdr:row>
      <xdr:rowOff>8335</xdr:rowOff>
    </xdr:to>
    <xdr:cxnSp macro="">
      <xdr:nvCxnSpPr>
        <xdr:cNvPr id="16" name="3 Conector recto">
          <a:extLst>
            <a:ext uri="{FF2B5EF4-FFF2-40B4-BE49-F238E27FC236}">
              <a16:creationId xmlns:a16="http://schemas.microsoft.com/office/drawing/2014/main" id="{A63B8E28-5B96-4A71-AEA0-38BCA1156E6C}"/>
            </a:ext>
          </a:extLst>
        </xdr:cNvPr>
        <xdr:cNvCxnSpPr/>
      </xdr:nvCxnSpPr>
      <xdr:spPr>
        <a:xfrm rot="5400000">
          <a:off x="551775" y="4897636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20</xdr:row>
      <xdr:rowOff>0</xdr:rowOff>
    </xdr:from>
    <xdr:to>
      <xdr:col>0</xdr:col>
      <xdr:colOff>831374</xdr:colOff>
      <xdr:row>20</xdr:row>
      <xdr:rowOff>8335</xdr:rowOff>
    </xdr:to>
    <xdr:cxnSp macro="">
      <xdr:nvCxnSpPr>
        <xdr:cNvPr id="17" name="3 Conector recto">
          <a:extLst>
            <a:ext uri="{FF2B5EF4-FFF2-40B4-BE49-F238E27FC236}">
              <a16:creationId xmlns:a16="http://schemas.microsoft.com/office/drawing/2014/main" id="{FC83EDB9-FC3C-45D2-8129-377A397D1E0C}"/>
            </a:ext>
          </a:extLst>
        </xdr:cNvPr>
        <xdr:cNvCxnSpPr/>
      </xdr:nvCxnSpPr>
      <xdr:spPr>
        <a:xfrm rot="5400000">
          <a:off x="551775" y="4897636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23</xdr:row>
      <xdr:rowOff>0</xdr:rowOff>
    </xdr:from>
    <xdr:to>
      <xdr:col>0</xdr:col>
      <xdr:colOff>831374</xdr:colOff>
      <xdr:row>23</xdr:row>
      <xdr:rowOff>13494</xdr:rowOff>
    </xdr:to>
    <xdr:cxnSp macro="">
      <xdr:nvCxnSpPr>
        <xdr:cNvPr id="18" name="3 Conector recto">
          <a:extLst>
            <a:ext uri="{FF2B5EF4-FFF2-40B4-BE49-F238E27FC236}">
              <a16:creationId xmlns:a16="http://schemas.microsoft.com/office/drawing/2014/main" id="{E905F5AA-B7CA-4D97-9B0B-E95FF31DD9B6}"/>
            </a:ext>
          </a:extLst>
        </xdr:cNvPr>
        <xdr:cNvCxnSpPr/>
      </xdr:nvCxnSpPr>
      <xdr:spPr>
        <a:xfrm rot="5400000">
          <a:off x="549195" y="5090716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20</xdr:row>
      <xdr:rowOff>0</xdr:rowOff>
    </xdr:from>
    <xdr:to>
      <xdr:col>0</xdr:col>
      <xdr:colOff>825024</xdr:colOff>
      <xdr:row>20</xdr:row>
      <xdr:rowOff>8335</xdr:rowOff>
    </xdr:to>
    <xdr:cxnSp macro="">
      <xdr:nvCxnSpPr>
        <xdr:cNvPr id="19" name="3 Conector recto">
          <a:extLst>
            <a:ext uri="{FF2B5EF4-FFF2-40B4-BE49-F238E27FC236}">
              <a16:creationId xmlns:a16="http://schemas.microsoft.com/office/drawing/2014/main" id="{AAA3F940-D1B8-4DD2-9717-CFF4BA8535FA}"/>
            </a:ext>
          </a:extLst>
        </xdr:cNvPr>
        <xdr:cNvCxnSpPr/>
      </xdr:nvCxnSpPr>
      <xdr:spPr>
        <a:xfrm rot="5400000">
          <a:off x="542250" y="4897636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20</xdr:row>
      <xdr:rowOff>0</xdr:rowOff>
    </xdr:from>
    <xdr:to>
      <xdr:col>0</xdr:col>
      <xdr:colOff>825024</xdr:colOff>
      <xdr:row>20</xdr:row>
      <xdr:rowOff>8335</xdr:rowOff>
    </xdr:to>
    <xdr:cxnSp macro="">
      <xdr:nvCxnSpPr>
        <xdr:cNvPr id="20" name="3 Conector recto">
          <a:extLst>
            <a:ext uri="{FF2B5EF4-FFF2-40B4-BE49-F238E27FC236}">
              <a16:creationId xmlns:a16="http://schemas.microsoft.com/office/drawing/2014/main" id="{B7AF41A1-6A58-4C3E-9A61-45792108557E}"/>
            </a:ext>
          </a:extLst>
        </xdr:cNvPr>
        <xdr:cNvCxnSpPr/>
      </xdr:nvCxnSpPr>
      <xdr:spPr>
        <a:xfrm rot="5400000">
          <a:off x="542250" y="4897636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23</xdr:row>
      <xdr:rowOff>0</xdr:rowOff>
    </xdr:from>
    <xdr:to>
      <xdr:col>0</xdr:col>
      <xdr:colOff>825024</xdr:colOff>
      <xdr:row>23</xdr:row>
      <xdr:rowOff>13494</xdr:rowOff>
    </xdr:to>
    <xdr:cxnSp macro="">
      <xdr:nvCxnSpPr>
        <xdr:cNvPr id="21" name="3 Conector recto">
          <a:extLst>
            <a:ext uri="{FF2B5EF4-FFF2-40B4-BE49-F238E27FC236}">
              <a16:creationId xmlns:a16="http://schemas.microsoft.com/office/drawing/2014/main" id="{5D9372A8-4798-46F2-8811-38E55FC2C5B0}"/>
            </a:ext>
          </a:extLst>
        </xdr:cNvPr>
        <xdr:cNvCxnSpPr/>
      </xdr:nvCxnSpPr>
      <xdr:spPr>
        <a:xfrm rot="5400000">
          <a:off x="539670" y="5090716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3</xdr:col>
      <xdr:colOff>1026319</xdr:colOff>
      <xdr:row>38</xdr:row>
      <xdr:rowOff>9525</xdr:rowOff>
    </xdr:from>
    <xdr:to>
      <xdr:col>4</xdr:col>
      <xdr:colOff>216694</xdr:colOff>
      <xdr:row>41</xdr:row>
      <xdr:rowOff>38099</xdr:rowOff>
    </xdr:to>
    <xdr:pic>
      <xdr:nvPicPr>
        <xdr:cNvPr id="2069396" name="Imagen 77">
          <a:extLst>
            <a:ext uri="{FF2B5EF4-FFF2-40B4-BE49-F238E27FC236}">
              <a16:creationId xmlns:a16="http://schemas.microsoft.com/office/drawing/2014/main" id="{CE6E4DD0-8C8E-4304-A6E2-D304480ED2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88882" y="8177213"/>
          <a:ext cx="881062" cy="6357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829786</xdr:colOff>
      <xdr:row>34</xdr:row>
      <xdr:rowOff>0</xdr:rowOff>
    </xdr:from>
    <xdr:to>
      <xdr:col>0</xdr:col>
      <xdr:colOff>831374</xdr:colOff>
      <xdr:row>34</xdr:row>
      <xdr:rowOff>13494</xdr:rowOff>
    </xdr:to>
    <xdr:cxnSp macro="">
      <xdr:nvCxnSpPr>
        <xdr:cNvPr id="2" name="3 Conector recto">
          <a:extLst>
            <a:ext uri="{FF2B5EF4-FFF2-40B4-BE49-F238E27FC236}">
              <a16:creationId xmlns:a16="http://schemas.microsoft.com/office/drawing/2014/main" id="{EE57A3C4-DE96-40A6-9258-FFF3689161A2}"/>
            </a:ext>
          </a:extLst>
        </xdr:cNvPr>
        <xdr:cNvCxnSpPr/>
      </xdr:nvCxnSpPr>
      <xdr:spPr>
        <a:xfrm rot="5400000">
          <a:off x="549195" y="6729016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34</xdr:row>
      <xdr:rowOff>0</xdr:rowOff>
    </xdr:from>
    <xdr:to>
      <xdr:col>0</xdr:col>
      <xdr:colOff>831374</xdr:colOff>
      <xdr:row>34</xdr:row>
      <xdr:rowOff>13494</xdr:rowOff>
    </xdr:to>
    <xdr:cxnSp macro="">
      <xdr:nvCxnSpPr>
        <xdr:cNvPr id="3" name="3 Conector recto">
          <a:extLst>
            <a:ext uri="{FF2B5EF4-FFF2-40B4-BE49-F238E27FC236}">
              <a16:creationId xmlns:a16="http://schemas.microsoft.com/office/drawing/2014/main" id="{C7A66C9A-17A5-4F88-B59F-D4F37580C5D7}"/>
            </a:ext>
          </a:extLst>
        </xdr:cNvPr>
        <xdr:cNvCxnSpPr/>
      </xdr:nvCxnSpPr>
      <xdr:spPr>
        <a:xfrm rot="5400000">
          <a:off x="549195" y="6729016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35</xdr:row>
      <xdr:rowOff>0</xdr:rowOff>
    </xdr:from>
    <xdr:to>
      <xdr:col>0</xdr:col>
      <xdr:colOff>831374</xdr:colOff>
      <xdr:row>35</xdr:row>
      <xdr:rowOff>8335</xdr:rowOff>
    </xdr:to>
    <xdr:cxnSp macro="">
      <xdr:nvCxnSpPr>
        <xdr:cNvPr id="4" name="3 Conector recto">
          <a:extLst>
            <a:ext uri="{FF2B5EF4-FFF2-40B4-BE49-F238E27FC236}">
              <a16:creationId xmlns:a16="http://schemas.microsoft.com/office/drawing/2014/main" id="{0C48085D-907A-4054-9184-DCE71C8D0C02}"/>
            </a:ext>
          </a:extLst>
        </xdr:cNvPr>
        <xdr:cNvCxnSpPr/>
      </xdr:nvCxnSpPr>
      <xdr:spPr>
        <a:xfrm rot="5400000">
          <a:off x="551775" y="6916936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18</xdr:row>
      <xdr:rowOff>0</xdr:rowOff>
    </xdr:from>
    <xdr:to>
      <xdr:col>0</xdr:col>
      <xdr:colOff>831374</xdr:colOff>
      <xdr:row>18</xdr:row>
      <xdr:rowOff>8335</xdr:rowOff>
    </xdr:to>
    <xdr:cxnSp macro="">
      <xdr:nvCxnSpPr>
        <xdr:cNvPr id="5" name="3 Conector recto">
          <a:extLst>
            <a:ext uri="{FF2B5EF4-FFF2-40B4-BE49-F238E27FC236}">
              <a16:creationId xmlns:a16="http://schemas.microsoft.com/office/drawing/2014/main" id="{99E5B346-7D3F-4EC0-A14A-3312C98B1C0B}"/>
            </a:ext>
          </a:extLst>
        </xdr:cNvPr>
        <xdr:cNvCxnSpPr/>
      </xdr:nvCxnSpPr>
      <xdr:spPr>
        <a:xfrm rot="5400000">
          <a:off x="551775" y="51548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18</xdr:row>
      <xdr:rowOff>0</xdr:rowOff>
    </xdr:from>
    <xdr:to>
      <xdr:col>0</xdr:col>
      <xdr:colOff>831374</xdr:colOff>
      <xdr:row>18</xdr:row>
      <xdr:rowOff>8335</xdr:rowOff>
    </xdr:to>
    <xdr:cxnSp macro="">
      <xdr:nvCxnSpPr>
        <xdr:cNvPr id="6" name="3 Conector recto">
          <a:extLst>
            <a:ext uri="{FF2B5EF4-FFF2-40B4-BE49-F238E27FC236}">
              <a16:creationId xmlns:a16="http://schemas.microsoft.com/office/drawing/2014/main" id="{6FA0FFC0-0AC1-4D49-A8B1-C2BB57178B20}"/>
            </a:ext>
          </a:extLst>
        </xdr:cNvPr>
        <xdr:cNvCxnSpPr/>
      </xdr:nvCxnSpPr>
      <xdr:spPr>
        <a:xfrm rot="5400000">
          <a:off x="551775" y="51548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21</xdr:row>
      <xdr:rowOff>0</xdr:rowOff>
    </xdr:from>
    <xdr:to>
      <xdr:col>0</xdr:col>
      <xdr:colOff>831374</xdr:colOff>
      <xdr:row>21</xdr:row>
      <xdr:rowOff>13494</xdr:rowOff>
    </xdr:to>
    <xdr:cxnSp macro="">
      <xdr:nvCxnSpPr>
        <xdr:cNvPr id="7" name="3 Conector recto">
          <a:extLst>
            <a:ext uri="{FF2B5EF4-FFF2-40B4-BE49-F238E27FC236}">
              <a16:creationId xmlns:a16="http://schemas.microsoft.com/office/drawing/2014/main" id="{29F36090-E7EB-4BE9-B6D0-77F7CB436FA6}"/>
            </a:ext>
          </a:extLst>
        </xdr:cNvPr>
        <xdr:cNvCxnSpPr/>
      </xdr:nvCxnSpPr>
      <xdr:spPr>
        <a:xfrm rot="5400000">
          <a:off x="549195" y="53478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0</xdr:colOff>
      <xdr:row>0</xdr:row>
      <xdr:rowOff>285750</xdr:rowOff>
    </xdr:from>
    <xdr:to>
      <xdr:col>1</xdr:col>
      <xdr:colOff>809624</xdr:colOff>
      <xdr:row>4</xdr:row>
      <xdr:rowOff>23812</xdr:rowOff>
    </xdr:to>
    <xdr:pic>
      <xdr:nvPicPr>
        <xdr:cNvPr id="2090118" name="Imagen 18">
          <a:extLst>
            <a:ext uri="{FF2B5EF4-FFF2-40B4-BE49-F238E27FC236}">
              <a16:creationId xmlns:a16="http://schemas.microsoft.com/office/drawing/2014/main" id="{89D571EE-47FF-456A-8FAA-55BE5CAB73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0"/>
          <a:ext cx="2500312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800100</xdr:colOff>
      <xdr:row>0</xdr:row>
      <xdr:rowOff>390525</xdr:rowOff>
    </xdr:from>
    <xdr:to>
      <xdr:col>5</xdr:col>
      <xdr:colOff>1447800</xdr:colOff>
      <xdr:row>4</xdr:row>
      <xdr:rowOff>47625</xdr:rowOff>
    </xdr:to>
    <xdr:pic>
      <xdr:nvPicPr>
        <xdr:cNvPr id="2090119" name="Imagen 19">
          <a:extLst>
            <a:ext uri="{FF2B5EF4-FFF2-40B4-BE49-F238E27FC236}">
              <a16:creationId xmlns:a16="http://schemas.microsoft.com/office/drawing/2014/main" id="{84FFC1E3-0AFA-43AD-A85B-93FE9A130F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43825" y="390525"/>
          <a:ext cx="1781175" cy="923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829786</xdr:colOff>
      <xdr:row>18</xdr:row>
      <xdr:rowOff>0</xdr:rowOff>
    </xdr:from>
    <xdr:to>
      <xdr:col>0</xdr:col>
      <xdr:colOff>831374</xdr:colOff>
      <xdr:row>18</xdr:row>
      <xdr:rowOff>8335</xdr:rowOff>
    </xdr:to>
    <xdr:cxnSp macro="">
      <xdr:nvCxnSpPr>
        <xdr:cNvPr id="10" name="3 Conector recto">
          <a:extLst>
            <a:ext uri="{FF2B5EF4-FFF2-40B4-BE49-F238E27FC236}">
              <a16:creationId xmlns:a16="http://schemas.microsoft.com/office/drawing/2014/main" id="{4F1B0A62-5682-4208-A99D-790282F038E3}"/>
            </a:ext>
          </a:extLst>
        </xdr:cNvPr>
        <xdr:cNvCxnSpPr/>
      </xdr:nvCxnSpPr>
      <xdr:spPr>
        <a:xfrm rot="5400000">
          <a:off x="551775" y="51548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18</xdr:row>
      <xdr:rowOff>0</xdr:rowOff>
    </xdr:from>
    <xdr:to>
      <xdr:col>0</xdr:col>
      <xdr:colOff>831374</xdr:colOff>
      <xdr:row>18</xdr:row>
      <xdr:rowOff>8335</xdr:rowOff>
    </xdr:to>
    <xdr:cxnSp macro="">
      <xdr:nvCxnSpPr>
        <xdr:cNvPr id="11" name="3 Conector recto">
          <a:extLst>
            <a:ext uri="{FF2B5EF4-FFF2-40B4-BE49-F238E27FC236}">
              <a16:creationId xmlns:a16="http://schemas.microsoft.com/office/drawing/2014/main" id="{8F332093-59E2-4A0C-B9CD-F29678ABC335}"/>
            </a:ext>
          </a:extLst>
        </xdr:cNvPr>
        <xdr:cNvCxnSpPr/>
      </xdr:nvCxnSpPr>
      <xdr:spPr>
        <a:xfrm rot="5400000">
          <a:off x="551775" y="51548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21</xdr:row>
      <xdr:rowOff>0</xdr:rowOff>
    </xdr:from>
    <xdr:to>
      <xdr:col>0</xdr:col>
      <xdr:colOff>831374</xdr:colOff>
      <xdr:row>21</xdr:row>
      <xdr:rowOff>13494</xdr:rowOff>
    </xdr:to>
    <xdr:cxnSp macro="">
      <xdr:nvCxnSpPr>
        <xdr:cNvPr id="12" name="3 Conector recto">
          <a:extLst>
            <a:ext uri="{FF2B5EF4-FFF2-40B4-BE49-F238E27FC236}">
              <a16:creationId xmlns:a16="http://schemas.microsoft.com/office/drawing/2014/main" id="{6174C164-DEBB-4D8F-811C-0FF87249ADFC}"/>
            </a:ext>
          </a:extLst>
        </xdr:cNvPr>
        <xdr:cNvCxnSpPr/>
      </xdr:nvCxnSpPr>
      <xdr:spPr>
        <a:xfrm rot="5400000">
          <a:off x="549195" y="53478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18</xdr:row>
      <xdr:rowOff>0</xdr:rowOff>
    </xdr:from>
    <xdr:to>
      <xdr:col>0</xdr:col>
      <xdr:colOff>825024</xdr:colOff>
      <xdr:row>18</xdr:row>
      <xdr:rowOff>8335</xdr:rowOff>
    </xdr:to>
    <xdr:cxnSp macro="">
      <xdr:nvCxnSpPr>
        <xdr:cNvPr id="13" name="3 Conector recto">
          <a:extLst>
            <a:ext uri="{FF2B5EF4-FFF2-40B4-BE49-F238E27FC236}">
              <a16:creationId xmlns:a16="http://schemas.microsoft.com/office/drawing/2014/main" id="{05DB3504-FD16-45E0-9F9C-AABB1D4BDEF9}"/>
            </a:ext>
          </a:extLst>
        </xdr:cNvPr>
        <xdr:cNvCxnSpPr/>
      </xdr:nvCxnSpPr>
      <xdr:spPr>
        <a:xfrm rot="5400000">
          <a:off x="542250" y="51548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18</xdr:row>
      <xdr:rowOff>0</xdr:rowOff>
    </xdr:from>
    <xdr:to>
      <xdr:col>0</xdr:col>
      <xdr:colOff>825024</xdr:colOff>
      <xdr:row>18</xdr:row>
      <xdr:rowOff>8335</xdr:rowOff>
    </xdr:to>
    <xdr:cxnSp macro="">
      <xdr:nvCxnSpPr>
        <xdr:cNvPr id="14" name="3 Conector recto">
          <a:extLst>
            <a:ext uri="{FF2B5EF4-FFF2-40B4-BE49-F238E27FC236}">
              <a16:creationId xmlns:a16="http://schemas.microsoft.com/office/drawing/2014/main" id="{0F28B9AC-1353-4140-81FE-9F7C78A38267}"/>
            </a:ext>
          </a:extLst>
        </xdr:cNvPr>
        <xdr:cNvCxnSpPr/>
      </xdr:nvCxnSpPr>
      <xdr:spPr>
        <a:xfrm rot="5400000">
          <a:off x="542250" y="51548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21</xdr:row>
      <xdr:rowOff>0</xdr:rowOff>
    </xdr:from>
    <xdr:to>
      <xdr:col>0</xdr:col>
      <xdr:colOff>825024</xdr:colOff>
      <xdr:row>21</xdr:row>
      <xdr:rowOff>13494</xdr:rowOff>
    </xdr:to>
    <xdr:cxnSp macro="">
      <xdr:nvCxnSpPr>
        <xdr:cNvPr id="15" name="3 Conector recto">
          <a:extLst>
            <a:ext uri="{FF2B5EF4-FFF2-40B4-BE49-F238E27FC236}">
              <a16:creationId xmlns:a16="http://schemas.microsoft.com/office/drawing/2014/main" id="{B3C8BC7E-FD18-42F0-A06B-30E3FB481BB4}"/>
            </a:ext>
          </a:extLst>
        </xdr:cNvPr>
        <xdr:cNvCxnSpPr/>
      </xdr:nvCxnSpPr>
      <xdr:spPr>
        <a:xfrm rot="5400000">
          <a:off x="539670" y="53478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18</xdr:row>
      <xdr:rowOff>0</xdr:rowOff>
    </xdr:from>
    <xdr:to>
      <xdr:col>0</xdr:col>
      <xdr:colOff>831374</xdr:colOff>
      <xdr:row>18</xdr:row>
      <xdr:rowOff>8335</xdr:rowOff>
    </xdr:to>
    <xdr:cxnSp macro="">
      <xdr:nvCxnSpPr>
        <xdr:cNvPr id="16" name="3 Conector recto">
          <a:extLst>
            <a:ext uri="{FF2B5EF4-FFF2-40B4-BE49-F238E27FC236}">
              <a16:creationId xmlns:a16="http://schemas.microsoft.com/office/drawing/2014/main" id="{26BE6442-4C7D-4941-9E94-B8AE5F3B5390}"/>
            </a:ext>
          </a:extLst>
        </xdr:cNvPr>
        <xdr:cNvCxnSpPr/>
      </xdr:nvCxnSpPr>
      <xdr:spPr>
        <a:xfrm rot="5400000">
          <a:off x="551775" y="51548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18</xdr:row>
      <xdr:rowOff>0</xdr:rowOff>
    </xdr:from>
    <xdr:to>
      <xdr:col>0</xdr:col>
      <xdr:colOff>831374</xdr:colOff>
      <xdr:row>18</xdr:row>
      <xdr:rowOff>8335</xdr:rowOff>
    </xdr:to>
    <xdr:cxnSp macro="">
      <xdr:nvCxnSpPr>
        <xdr:cNvPr id="17" name="3 Conector recto">
          <a:extLst>
            <a:ext uri="{FF2B5EF4-FFF2-40B4-BE49-F238E27FC236}">
              <a16:creationId xmlns:a16="http://schemas.microsoft.com/office/drawing/2014/main" id="{BC8DE446-4723-430A-AA03-6EE907454F04}"/>
            </a:ext>
          </a:extLst>
        </xdr:cNvPr>
        <xdr:cNvCxnSpPr/>
      </xdr:nvCxnSpPr>
      <xdr:spPr>
        <a:xfrm rot="5400000">
          <a:off x="551775" y="51548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21</xdr:row>
      <xdr:rowOff>0</xdr:rowOff>
    </xdr:from>
    <xdr:to>
      <xdr:col>0</xdr:col>
      <xdr:colOff>831374</xdr:colOff>
      <xdr:row>21</xdr:row>
      <xdr:rowOff>13494</xdr:rowOff>
    </xdr:to>
    <xdr:cxnSp macro="">
      <xdr:nvCxnSpPr>
        <xdr:cNvPr id="18" name="3 Conector recto">
          <a:extLst>
            <a:ext uri="{FF2B5EF4-FFF2-40B4-BE49-F238E27FC236}">
              <a16:creationId xmlns:a16="http://schemas.microsoft.com/office/drawing/2014/main" id="{F9255BC8-4686-4052-8715-D6AA2E3B7EF7}"/>
            </a:ext>
          </a:extLst>
        </xdr:cNvPr>
        <xdr:cNvCxnSpPr/>
      </xdr:nvCxnSpPr>
      <xdr:spPr>
        <a:xfrm rot="5400000">
          <a:off x="549195" y="53478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18</xdr:row>
      <xdr:rowOff>0</xdr:rowOff>
    </xdr:from>
    <xdr:to>
      <xdr:col>0</xdr:col>
      <xdr:colOff>825024</xdr:colOff>
      <xdr:row>18</xdr:row>
      <xdr:rowOff>8335</xdr:rowOff>
    </xdr:to>
    <xdr:cxnSp macro="">
      <xdr:nvCxnSpPr>
        <xdr:cNvPr id="19" name="3 Conector recto">
          <a:extLst>
            <a:ext uri="{FF2B5EF4-FFF2-40B4-BE49-F238E27FC236}">
              <a16:creationId xmlns:a16="http://schemas.microsoft.com/office/drawing/2014/main" id="{8BC97FCA-09B5-4C4A-886D-A26A08E5D1CB}"/>
            </a:ext>
          </a:extLst>
        </xdr:cNvPr>
        <xdr:cNvCxnSpPr/>
      </xdr:nvCxnSpPr>
      <xdr:spPr>
        <a:xfrm rot="5400000">
          <a:off x="542250" y="51548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18</xdr:row>
      <xdr:rowOff>0</xdr:rowOff>
    </xdr:from>
    <xdr:to>
      <xdr:col>0</xdr:col>
      <xdr:colOff>825024</xdr:colOff>
      <xdr:row>18</xdr:row>
      <xdr:rowOff>8335</xdr:rowOff>
    </xdr:to>
    <xdr:cxnSp macro="">
      <xdr:nvCxnSpPr>
        <xdr:cNvPr id="20" name="3 Conector recto">
          <a:extLst>
            <a:ext uri="{FF2B5EF4-FFF2-40B4-BE49-F238E27FC236}">
              <a16:creationId xmlns:a16="http://schemas.microsoft.com/office/drawing/2014/main" id="{F409F95D-011B-4CF1-9C22-F6B6EA0D56A1}"/>
            </a:ext>
          </a:extLst>
        </xdr:cNvPr>
        <xdr:cNvCxnSpPr/>
      </xdr:nvCxnSpPr>
      <xdr:spPr>
        <a:xfrm rot="5400000">
          <a:off x="542250" y="51548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21</xdr:row>
      <xdr:rowOff>0</xdr:rowOff>
    </xdr:from>
    <xdr:to>
      <xdr:col>0</xdr:col>
      <xdr:colOff>825024</xdr:colOff>
      <xdr:row>21</xdr:row>
      <xdr:rowOff>13494</xdr:rowOff>
    </xdr:to>
    <xdr:cxnSp macro="">
      <xdr:nvCxnSpPr>
        <xdr:cNvPr id="21" name="3 Conector recto">
          <a:extLst>
            <a:ext uri="{FF2B5EF4-FFF2-40B4-BE49-F238E27FC236}">
              <a16:creationId xmlns:a16="http://schemas.microsoft.com/office/drawing/2014/main" id="{8387288B-A640-48C1-82E4-33A58E319760}"/>
            </a:ext>
          </a:extLst>
        </xdr:cNvPr>
        <xdr:cNvCxnSpPr/>
      </xdr:nvCxnSpPr>
      <xdr:spPr>
        <a:xfrm rot="5400000">
          <a:off x="539670" y="53478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839311</xdr:colOff>
      <xdr:row>18</xdr:row>
      <xdr:rowOff>0</xdr:rowOff>
    </xdr:from>
    <xdr:to>
      <xdr:col>3</xdr:col>
      <xdr:colOff>840899</xdr:colOff>
      <xdr:row>18</xdr:row>
      <xdr:rowOff>8335</xdr:rowOff>
    </xdr:to>
    <xdr:cxnSp macro="">
      <xdr:nvCxnSpPr>
        <xdr:cNvPr id="22" name="3 Conector recto">
          <a:extLst>
            <a:ext uri="{FF2B5EF4-FFF2-40B4-BE49-F238E27FC236}">
              <a16:creationId xmlns:a16="http://schemas.microsoft.com/office/drawing/2014/main" id="{11C5BC7B-61C7-4F7F-B2F8-87D04B083EEB}"/>
            </a:ext>
          </a:extLst>
        </xdr:cNvPr>
        <xdr:cNvCxnSpPr/>
      </xdr:nvCxnSpPr>
      <xdr:spPr>
        <a:xfrm rot="5400000">
          <a:off x="5809575" y="51548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839311</xdr:colOff>
      <xdr:row>18</xdr:row>
      <xdr:rowOff>0</xdr:rowOff>
    </xdr:from>
    <xdr:to>
      <xdr:col>3</xdr:col>
      <xdr:colOff>840899</xdr:colOff>
      <xdr:row>18</xdr:row>
      <xdr:rowOff>8335</xdr:rowOff>
    </xdr:to>
    <xdr:cxnSp macro="">
      <xdr:nvCxnSpPr>
        <xdr:cNvPr id="23" name="3 Conector recto">
          <a:extLst>
            <a:ext uri="{FF2B5EF4-FFF2-40B4-BE49-F238E27FC236}">
              <a16:creationId xmlns:a16="http://schemas.microsoft.com/office/drawing/2014/main" id="{CF8B2BD5-A76A-4EAE-9F84-AA8D3656995E}"/>
            </a:ext>
          </a:extLst>
        </xdr:cNvPr>
        <xdr:cNvCxnSpPr/>
      </xdr:nvCxnSpPr>
      <xdr:spPr>
        <a:xfrm rot="5400000">
          <a:off x="5809575" y="51548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839311</xdr:colOff>
      <xdr:row>21</xdr:row>
      <xdr:rowOff>0</xdr:rowOff>
    </xdr:from>
    <xdr:to>
      <xdr:col>3</xdr:col>
      <xdr:colOff>840899</xdr:colOff>
      <xdr:row>21</xdr:row>
      <xdr:rowOff>13494</xdr:rowOff>
    </xdr:to>
    <xdr:cxnSp macro="">
      <xdr:nvCxnSpPr>
        <xdr:cNvPr id="24" name="3 Conector recto">
          <a:extLst>
            <a:ext uri="{FF2B5EF4-FFF2-40B4-BE49-F238E27FC236}">
              <a16:creationId xmlns:a16="http://schemas.microsoft.com/office/drawing/2014/main" id="{4F6D8C8A-AE07-4F35-AA20-F0718AC8A837}"/>
            </a:ext>
          </a:extLst>
        </xdr:cNvPr>
        <xdr:cNvCxnSpPr/>
      </xdr:nvCxnSpPr>
      <xdr:spPr>
        <a:xfrm rot="5400000">
          <a:off x="5806995" y="53478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813911</xdr:colOff>
      <xdr:row>18</xdr:row>
      <xdr:rowOff>0</xdr:rowOff>
    </xdr:from>
    <xdr:to>
      <xdr:col>3</xdr:col>
      <xdr:colOff>815499</xdr:colOff>
      <xdr:row>18</xdr:row>
      <xdr:rowOff>8335</xdr:rowOff>
    </xdr:to>
    <xdr:cxnSp macro="">
      <xdr:nvCxnSpPr>
        <xdr:cNvPr id="25" name="3 Conector recto">
          <a:extLst>
            <a:ext uri="{FF2B5EF4-FFF2-40B4-BE49-F238E27FC236}">
              <a16:creationId xmlns:a16="http://schemas.microsoft.com/office/drawing/2014/main" id="{A954041F-7858-41D9-8AE4-5904B51220AD}"/>
            </a:ext>
          </a:extLst>
        </xdr:cNvPr>
        <xdr:cNvCxnSpPr/>
      </xdr:nvCxnSpPr>
      <xdr:spPr>
        <a:xfrm rot="5400000">
          <a:off x="5800050" y="51548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813911</xdr:colOff>
      <xdr:row>18</xdr:row>
      <xdr:rowOff>0</xdr:rowOff>
    </xdr:from>
    <xdr:to>
      <xdr:col>3</xdr:col>
      <xdr:colOff>815499</xdr:colOff>
      <xdr:row>18</xdr:row>
      <xdr:rowOff>8335</xdr:rowOff>
    </xdr:to>
    <xdr:cxnSp macro="">
      <xdr:nvCxnSpPr>
        <xdr:cNvPr id="26" name="3 Conector recto">
          <a:extLst>
            <a:ext uri="{FF2B5EF4-FFF2-40B4-BE49-F238E27FC236}">
              <a16:creationId xmlns:a16="http://schemas.microsoft.com/office/drawing/2014/main" id="{228264D7-F62D-4B37-AA15-5CEDF393B6AC}"/>
            </a:ext>
          </a:extLst>
        </xdr:cNvPr>
        <xdr:cNvCxnSpPr/>
      </xdr:nvCxnSpPr>
      <xdr:spPr>
        <a:xfrm rot="5400000">
          <a:off x="5800050" y="51548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813911</xdr:colOff>
      <xdr:row>21</xdr:row>
      <xdr:rowOff>0</xdr:rowOff>
    </xdr:from>
    <xdr:to>
      <xdr:col>3</xdr:col>
      <xdr:colOff>815499</xdr:colOff>
      <xdr:row>21</xdr:row>
      <xdr:rowOff>13494</xdr:rowOff>
    </xdr:to>
    <xdr:cxnSp macro="">
      <xdr:nvCxnSpPr>
        <xdr:cNvPr id="27" name="3 Conector recto">
          <a:extLst>
            <a:ext uri="{FF2B5EF4-FFF2-40B4-BE49-F238E27FC236}">
              <a16:creationId xmlns:a16="http://schemas.microsoft.com/office/drawing/2014/main" id="{6012696B-FAB4-48A2-A854-B010283AD6FA}"/>
            </a:ext>
          </a:extLst>
        </xdr:cNvPr>
        <xdr:cNvCxnSpPr/>
      </xdr:nvCxnSpPr>
      <xdr:spPr>
        <a:xfrm rot="5400000">
          <a:off x="5797470" y="53478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3</xdr:col>
      <xdr:colOff>973931</xdr:colOff>
      <xdr:row>35</xdr:row>
      <xdr:rowOff>73818</xdr:rowOff>
    </xdr:from>
    <xdr:to>
      <xdr:col>4</xdr:col>
      <xdr:colOff>450056</xdr:colOff>
      <xdr:row>39</xdr:row>
      <xdr:rowOff>150018</xdr:rowOff>
    </xdr:to>
    <xdr:pic>
      <xdr:nvPicPr>
        <xdr:cNvPr id="2090138" name="Imagen 77">
          <a:extLst>
            <a:ext uri="{FF2B5EF4-FFF2-40B4-BE49-F238E27FC236}">
              <a16:creationId xmlns:a16="http://schemas.microsoft.com/office/drawing/2014/main" id="{CE72A7F0-A036-4A1C-B7D4-7E8DF4D3E1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6494" y="7586662"/>
          <a:ext cx="1166812" cy="885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829786</xdr:colOff>
      <xdr:row>35</xdr:row>
      <xdr:rowOff>0</xdr:rowOff>
    </xdr:from>
    <xdr:to>
      <xdr:col>0</xdr:col>
      <xdr:colOff>831374</xdr:colOff>
      <xdr:row>35</xdr:row>
      <xdr:rowOff>13494</xdr:rowOff>
    </xdr:to>
    <xdr:cxnSp macro="">
      <xdr:nvCxnSpPr>
        <xdr:cNvPr id="2" name="3 Conector recto">
          <a:extLst>
            <a:ext uri="{FF2B5EF4-FFF2-40B4-BE49-F238E27FC236}">
              <a16:creationId xmlns:a16="http://schemas.microsoft.com/office/drawing/2014/main" id="{404B0B98-AC3E-4D02-938E-B624162C0FDD}"/>
            </a:ext>
          </a:extLst>
        </xdr:cNvPr>
        <xdr:cNvCxnSpPr/>
      </xdr:nvCxnSpPr>
      <xdr:spPr>
        <a:xfrm rot="5400000">
          <a:off x="549195" y="6271816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35</xdr:row>
      <xdr:rowOff>0</xdr:rowOff>
    </xdr:from>
    <xdr:to>
      <xdr:col>0</xdr:col>
      <xdr:colOff>831374</xdr:colOff>
      <xdr:row>35</xdr:row>
      <xdr:rowOff>13494</xdr:rowOff>
    </xdr:to>
    <xdr:cxnSp macro="">
      <xdr:nvCxnSpPr>
        <xdr:cNvPr id="3" name="3 Conector recto">
          <a:extLst>
            <a:ext uri="{FF2B5EF4-FFF2-40B4-BE49-F238E27FC236}">
              <a16:creationId xmlns:a16="http://schemas.microsoft.com/office/drawing/2014/main" id="{709C4BFA-31F6-45A0-8140-7E745F8A505C}"/>
            </a:ext>
          </a:extLst>
        </xdr:cNvPr>
        <xdr:cNvCxnSpPr/>
      </xdr:nvCxnSpPr>
      <xdr:spPr>
        <a:xfrm rot="5400000">
          <a:off x="549195" y="6271816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36</xdr:row>
      <xdr:rowOff>0</xdr:rowOff>
    </xdr:from>
    <xdr:to>
      <xdr:col>0</xdr:col>
      <xdr:colOff>831374</xdr:colOff>
      <xdr:row>36</xdr:row>
      <xdr:rowOff>8335</xdr:rowOff>
    </xdr:to>
    <xdr:cxnSp macro="">
      <xdr:nvCxnSpPr>
        <xdr:cNvPr id="4" name="3 Conector recto">
          <a:extLst>
            <a:ext uri="{FF2B5EF4-FFF2-40B4-BE49-F238E27FC236}">
              <a16:creationId xmlns:a16="http://schemas.microsoft.com/office/drawing/2014/main" id="{2B607ABE-171A-4BD5-8F54-9C11F31EBF9D}"/>
            </a:ext>
          </a:extLst>
        </xdr:cNvPr>
        <xdr:cNvCxnSpPr/>
      </xdr:nvCxnSpPr>
      <xdr:spPr>
        <a:xfrm rot="5400000">
          <a:off x="551775" y="6459736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21</xdr:row>
      <xdr:rowOff>0</xdr:rowOff>
    </xdr:from>
    <xdr:to>
      <xdr:col>0</xdr:col>
      <xdr:colOff>831374</xdr:colOff>
      <xdr:row>21</xdr:row>
      <xdr:rowOff>8335</xdr:rowOff>
    </xdr:to>
    <xdr:cxnSp macro="">
      <xdr:nvCxnSpPr>
        <xdr:cNvPr id="5" name="3 Conector recto">
          <a:extLst>
            <a:ext uri="{FF2B5EF4-FFF2-40B4-BE49-F238E27FC236}">
              <a16:creationId xmlns:a16="http://schemas.microsoft.com/office/drawing/2014/main" id="{36F10707-AEBF-4425-A97D-EFAED11B83BF}"/>
            </a:ext>
          </a:extLst>
        </xdr:cNvPr>
        <xdr:cNvCxnSpPr/>
      </xdr:nvCxnSpPr>
      <xdr:spPr>
        <a:xfrm rot="5400000">
          <a:off x="551775" y="46976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21</xdr:row>
      <xdr:rowOff>0</xdr:rowOff>
    </xdr:from>
    <xdr:to>
      <xdr:col>0</xdr:col>
      <xdr:colOff>831374</xdr:colOff>
      <xdr:row>21</xdr:row>
      <xdr:rowOff>8335</xdr:rowOff>
    </xdr:to>
    <xdr:cxnSp macro="">
      <xdr:nvCxnSpPr>
        <xdr:cNvPr id="6" name="3 Conector recto">
          <a:extLst>
            <a:ext uri="{FF2B5EF4-FFF2-40B4-BE49-F238E27FC236}">
              <a16:creationId xmlns:a16="http://schemas.microsoft.com/office/drawing/2014/main" id="{AF247202-9E3A-493A-9C96-AAD8653DE557}"/>
            </a:ext>
          </a:extLst>
        </xdr:cNvPr>
        <xdr:cNvCxnSpPr/>
      </xdr:nvCxnSpPr>
      <xdr:spPr>
        <a:xfrm rot="5400000">
          <a:off x="551775" y="46976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22</xdr:row>
      <xdr:rowOff>0</xdr:rowOff>
    </xdr:from>
    <xdr:to>
      <xdr:col>0</xdr:col>
      <xdr:colOff>831374</xdr:colOff>
      <xdr:row>22</xdr:row>
      <xdr:rowOff>13494</xdr:rowOff>
    </xdr:to>
    <xdr:cxnSp macro="">
      <xdr:nvCxnSpPr>
        <xdr:cNvPr id="7" name="3 Conector recto">
          <a:extLst>
            <a:ext uri="{FF2B5EF4-FFF2-40B4-BE49-F238E27FC236}">
              <a16:creationId xmlns:a16="http://schemas.microsoft.com/office/drawing/2014/main" id="{FB9084D0-F9B9-4272-93C1-34EADB4F2A5B}"/>
            </a:ext>
          </a:extLst>
        </xdr:cNvPr>
        <xdr:cNvCxnSpPr/>
      </xdr:nvCxnSpPr>
      <xdr:spPr>
        <a:xfrm rot="5400000">
          <a:off x="549195" y="48906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0</xdr:colOff>
      <xdr:row>0</xdr:row>
      <xdr:rowOff>285750</xdr:rowOff>
    </xdr:from>
    <xdr:to>
      <xdr:col>1</xdr:col>
      <xdr:colOff>1228725</xdr:colOff>
      <xdr:row>4</xdr:row>
      <xdr:rowOff>23812</xdr:rowOff>
    </xdr:to>
    <xdr:pic>
      <xdr:nvPicPr>
        <xdr:cNvPr id="2071430" name="Imagen 18">
          <a:extLst>
            <a:ext uri="{FF2B5EF4-FFF2-40B4-BE49-F238E27FC236}">
              <a16:creationId xmlns:a16="http://schemas.microsoft.com/office/drawing/2014/main" id="{F4B853C0-3555-4294-AFFC-8C88C8E27D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0"/>
          <a:ext cx="29146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800100</xdr:colOff>
      <xdr:row>0</xdr:row>
      <xdr:rowOff>390525</xdr:rowOff>
    </xdr:from>
    <xdr:to>
      <xdr:col>5</xdr:col>
      <xdr:colOff>1447800</xdr:colOff>
      <xdr:row>4</xdr:row>
      <xdr:rowOff>47625</xdr:rowOff>
    </xdr:to>
    <xdr:pic>
      <xdr:nvPicPr>
        <xdr:cNvPr id="2071431" name="Imagen 19">
          <a:extLst>
            <a:ext uri="{FF2B5EF4-FFF2-40B4-BE49-F238E27FC236}">
              <a16:creationId xmlns:a16="http://schemas.microsoft.com/office/drawing/2014/main" id="{E0ED671A-3A86-4930-B3A6-324B0793C7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43825" y="390525"/>
          <a:ext cx="1666875" cy="923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829786</xdr:colOff>
      <xdr:row>21</xdr:row>
      <xdr:rowOff>0</xdr:rowOff>
    </xdr:from>
    <xdr:to>
      <xdr:col>0</xdr:col>
      <xdr:colOff>831374</xdr:colOff>
      <xdr:row>21</xdr:row>
      <xdr:rowOff>8335</xdr:rowOff>
    </xdr:to>
    <xdr:cxnSp macro="">
      <xdr:nvCxnSpPr>
        <xdr:cNvPr id="10" name="3 Conector recto">
          <a:extLst>
            <a:ext uri="{FF2B5EF4-FFF2-40B4-BE49-F238E27FC236}">
              <a16:creationId xmlns:a16="http://schemas.microsoft.com/office/drawing/2014/main" id="{635CECE8-B628-4806-865D-E8D9B52B4BA0}"/>
            </a:ext>
          </a:extLst>
        </xdr:cNvPr>
        <xdr:cNvCxnSpPr/>
      </xdr:nvCxnSpPr>
      <xdr:spPr>
        <a:xfrm rot="5400000">
          <a:off x="551775" y="46976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21</xdr:row>
      <xdr:rowOff>0</xdr:rowOff>
    </xdr:from>
    <xdr:to>
      <xdr:col>0</xdr:col>
      <xdr:colOff>831374</xdr:colOff>
      <xdr:row>21</xdr:row>
      <xdr:rowOff>8335</xdr:rowOff>
    </xdr:to>
    <xdr:cxnSp macro="">
      <xdr:nvCxnSpPr>
        <xdr:cNvPr id="11" name="3 Conector recto">
          <a:extLst>
            <a:ext uri="{FF2B5EF4-FFF2-40B4-BE49-F238E27FC236}">
              <a16:creationId xmlns:a16="http://schemas.microsoft.com/office/drawing/2014/main" id="{E347B3A1-E6A7-47C3-9174-46BF03E28646}"/>
            </a:ext>
          </a:extLst>
        </xdr:cNvPr>
        <xdr:cNvCxnSpPr/>
      </xdr:nvCxnSpPr>
      <xdr:spPr>
        <a:xfrm rot="5400000">
          <a:off x="551775" y="46976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22</xdr:row>
      <xdr:rowOff>0</xdr:rowOff>
    </xdr:from>
    <xdr:to>
      <xdr:col>0</xdr:col>
      <xdr:colOff>831374</xdr:colOff>
      <xdr:row>22</xdr:row>
      <xdr:rowOff>13494</xdr:rowOff>
    </xdr:to>
    <xdr:cxnSp macro="">
      <xdr:nvCxnSpPr>
        <xdr:cNvPr id="12" name="3 Conector recto">
          <a:extLst>
            <a:ext uri="{FF2B5EF4-FFF2-40B4-BE49-F238E27FC236}">
              <a16:creationId xmlns:a16="http://schemas.microsoft.com/office/drawing/2014/main" id="{797BD49F-9F10-4993-9A30-E6C9C1349489}"/>
            </a:ext>
          </a:extLst>
        </xdr:cNvPr>
        <xdr:cNvCxnSpPr/>
      </xdr:nvCxnSpPr>
      <xdr:spPr>
        <a:xfrm rot="5400000">
          <a:off x="549195" y="48906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21</xdr:row>
      <xdr:rowOff>0</xdr:rowOff>
    </xdr:from>
    <xdr:to>
      <xdr:col>0</xdr:col>
      <xdr:colOff>825024</xdr:colOff>
      <xdr:row>21</xdr:row>
      <xdr:rowOff>8335</xdr:rowOff>
    </xdr:to>
    <xdr:cxnSp macro="">
      <xdr:nvCxnSpPr>
        <xdr:cNvPr id="13" name="3 Conector recto">
          <a:extLst>
            <a:ext uri="{FF2B5EF4-FFF2-40B4-BE49-F238E27FC236}">
              <a16:creationId xmlns:a16="http://schemas.microsoft.com/office/drawing/2014/main" id="{3F6222AF-19D6-469B-BAAB-000A8CF08E27}"/>
            </a:ext>
          </a:extLst>
        </xdr:cNvPr>
        <xdr:cNvCxnSpPr/>
      </xdr:nvCxnSpPr>
      <xdr:spPr>
        <a:xfrm rot="5400000">
          <a:off x="542250" y="46976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21</xdr:row>
      <xdr:rowOff>0</xdr:rowOff>
    </xdr:from>
    <xdr:to>
      <xdr:col>0</xdr:col>
      <xdr:colOff>825024</xdr:colOff>
      <xdr:row>21</xdr:row>
      <xdr:rowOff>8335</xdr:rowOff>
    </xdr:to>
    <xdr:cxnSp macro="">
      <xdr:nvCxnSpPr>
        <xdr:cNvPr id="14" name="3 Conector recto">
          <a:extLst>
            <a:ext uri="{FF2B5EF4-FFF2-40B4-BE49-F238E27FC236}">
              <a16:creationId xmlns:a16="http://schemas.microsoft.com/office/drawing/2014/main" id="{6F6511D6-21FB-4214-B73D-398BCF99B699}"/>
            </a:ext>
          </a:extLst>
        </xdr:cNvPr>
        <xdr:cNvCxnSpPr/>
      </xdr:nvCxnSpPr>
      <xdr:spPr>
        <a:xfrm rot="5400000">
          <a:off x="542250" y="46976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22</xdr:row>
      <xdr:rowOff>0</xdr:rowOff>
    </xdr:from>
    <xdr:to>
      <xdr:col>0</xdr:col>
      <xdr:colOff>825024</xdr:colOff>
      <xdr:row>22</xdr:row>
      <xdr:rowOff>13494</xdr:rowOff>
    </xdr:to>
    <xdr:cxnSp macro="">
      <xdr:nvCxnSpPr>
        <xdr:cNvPr id="15" name="3 Conector recto">
          <a:extLst>
            <a:ext uri="{FF2B5EF4-FFF2-40B4-BE49-F238E27FC236}">
              <a16:creationId xmlns:a16="http://schemas.microsoft.com/office/drawing/2014/main" id="{8D81CBE7-FADB-40DB-803C-A4A39464FB0B}"/>
            </a:ext>
          </a:extLst>
        </xdr:cNvPr>
        <xdr:cNvCxnSpPr/>
      </xdr:nvCxnSpPr>
      <xdr:spPr>
        <a:xfrm rot="5400000">
          <a:off x="539670" y="48906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21</xdr:row>
      <xdr:rowOff>0</xdr:rowOff>
    </xdr:from>
    <xdr:to>
      <xdr:col>0</xdr:col>
      <xdr:colOff>831374</xdr:colOff>
      <xdr:row>21</xdr:row>
      <xdr:rowOff>8335</xdr:rowOff>
    </xdr:to>
    <xdr:cxnSp macro="">
      <xdr:nvCxnSpPr>
        <xdr:cNvPr id="16" name="3 Conector recto">
          <a:extLst>
            <a:ext uri="{FF2B5EF4-FFF2-40B4-BE49-F238E27FC236}">
              <a16:creationId xmlns:a16="http://schemas.microsoft.com/office/drawing/2014/main" id="{560E38FE-1C5A-4CAB-8A55-1F95F14ABFE1}"/>
            </a:ext>
          </a:extLst>
        </xdr:cNvPr>
        <xdr:cNvCxnSpPr/>
      </xdr:nvCxnSpPr>
      <xdr:spPr>
        <a:xfrm rot="5400000">
          <a:off x="551775" y="46976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21</xdr:row>
      <xdr:rowOff>0</xdr:rowOff>
    </xdr:from>
    <xdr:to>
      <xdr:col>0</xdr:col>
      <xdr:colOff>831374</xdr:colOff>
      <xdr:row>21</xdr:row>
      <xdr:rowOff>8335</xdr:rowOff>
    </xdr:to>
    <xdr:cxnSp macro="">
      <xdr:nvCxnSpPr>
        <xdr:cNvPr id="17" name="3 Conector recto">
          <a:extLst>
            <a:ext uri="{FF2B5EF4-FFF2-40B4-BE49-F238E27FC236}">
              <a16:creationId xmlns:a16="http://schemas.microsoft.com/office/drawing/2014/main" id="{77BD33E0-DA1B-4D8D-B075-D51DB6AE8D7B}"/>
            </a:ext>
          </a:extLst>
        </xdr:cNvPr>
        <xdr:cNvCxnSpPr/>
      </xdr:nvCxnSpPr>
      <xdr:spPr>
        <a:xfrm rot="5400000">
          <a:off x="551775" y="46976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22</xdr:row>
      <xdr:rowOff>0</xdr:rowOff>
    </xdr:from>
    <xdr:to>
      <xdr:col>0</xdr:col>
      <xdr:colOff>831374</xdr:colOff>
      <xdr:row>22</xdr:row>
      <xdr:rowOff>13494</xdr:rowOff>
    </xdr:to>
    <xdr:cxnSp macro="">
      <xdr:nvCxnSpPr>
        <xdr:cNvPr id="18" name="3 Conector recto">
          <a:extLst>
            <a:ext uri="{FF2B5EF4-FFF2-40B4-BE49-F238E27FC236}">
              <a16:creationId xmlns:a16="http://schemas.microsoft.com/office/drawing/2014/main" id="{3FBCBA87-7C0E-4BA5-A30A-AE11172C8D93}"/>
            </a:ext>
          </a:extLst>
        </xdr:cNvPr>
        <xdr:cNvCxnSpPr/>
      </xdr:nvCxnSpPr>
      <xdr:spPr>
        <a:xfrm rot="5400000">
          <a:off x="549195" y="48906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21</xdr:row>
      <xdr:rowOff>0</xdr:rowOff>
    </xdr:from>
    <xdr:to>
      <xdr:col>0</xdr:col>
      <xdr:colOff>825024</xdr:colOff>
      <xdr:row>21</xdr:row>
      <xdr:rowOff>8335</xdr:rowOff>
    </xdr:to>
    <xdr:cxnSp macro="">
      <xdr:nvCxnSpPr>
        <xdr:cNvPr id="19" name="3 Conector recto">
          <a:extLst>
            <a:ext uri="{FF2B5EF4-FFF2-40B4-BE49-F238E27FC236}">
              <a16:creationId xmlns:a16="http://schemas.microsoft.com/office/drawing/2014/main" id="{D9B6AB26-2F30-4509-8C0C-641C0649E3DA}"/>
            </a:ext>
          </a:extLst>
        </xdr:cNvPr>
        <xdr:cNvCxnSpPr/>
      </xdr:nvCxnSpPr>
      <xdr:spPr>
        <a:xfrm rot="5400000">
          <a:off x="542250" y="46976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21</xdr:row>
      <xdr:rowOff>0</xdr:rowOff>
    </xdr:from>
    <xdr:to>
      <xdr:col>0</xdr:col>
      <xdr:colOff>825024</xdr:colOff>
      <xdr:row>21</xdr:row>
      <xdr:rowOff>8335</xdr:rowOff>
    </xdr:to>
    <xdr:cxnSp macro="">
      <xdr:nvCxnSpPr>
        <xdr:cNvPr id="20" name="3 Conector recto">
          <a:extLst>
            <a:ext uri="{FF2B5EF4-FFF2-40B4-BE49-F238E27FC236}">
              <a16:creationId xmlns:a16="http://schemas.microsoft.com/office/drawing/2014/main" id="{287C5D44-5524-4B5B-8EA2-C290E91C1921}"/>
            </a:ext>
          </a:extLst>
        </xdr:cNvPr>
        <xdr:cNvCxnSpPr/>
      </xdr:nvCxnSpPr>
      <xdr:spPr>
        <a:xfrm rot="5400000">
          <a:off x="542250" y="46976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22</xdr:row>
      <xdr:rowOff>0</xdr:rowOff>
    </xdr:from>
    <xdr:to>
      <xdr:col>0</xdr:col>
      <xdr:colOff>825024</xdr:colOff>
      <xdr:row>22</xdr:row>
      <xdr:rowOff>13494</xdr:rowOff>
    </xdr:to>
    <xdr:cxnSp macro="">
      <xdr:nvCxnSpPr>
        <xdr:cNvPr id="21" name="3 Conector recto">
          <a:extLst>
            <a:ext uri="{FF2B5EF4-FFF2-40B4-BE49-F238E27FC236}">
              <a16:creationId xmlns:a16="http://schemas.microsoft.com/office/drawing/2014/main" id="{10A76C63-719A-438B-8681-8F151E833345}"/>
            </a:ext>
          </a:extLst>
        </xdr:cNvPr>
        <xdr:cNvCxnSpPr/>
      </xdr:nvCxnSpPr>
      <xdr:spPr>
        <a:xfrm rot="5400000">
          <a:off x="539670" y="48906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3</xdr:col>
      <xdr:colOff>1269206</xdr:colOff>
      <xdr:row>35</xdr:row>
      <xdr:rowOff>88106</xdr:rowOff>
    </xdr:from>
    <xdr:to>
      <xdr:col>4</xdr:col>
      <xdr:colOff>459581</xdr:colOff>
      <xdr:row>39</xdr:row>
      <xdr:rowOff>0</xdr:rowOff>
    </xdr:to>
    <xdr:pic>
      <xdr:nvPicPr>
        <xdr:cNvPr id="2071444" name="Imagen 77">
          <a:extLst>
            <a:ext uri="{FF2B5EF4-FFF2-40B4-BE49-F238E27FC236}">
              <a16:creationId xmlns:a16="http://schemas.microsoft.com/office/drawing/2014/main" id="{6923D54E-43BD-471C-B24E-FCEC954052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31769" y="7600950"/>
          <a:ext cx="881062" cy="7215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466725</xdr:colOff>
      <xdr:row>2</xdr:row>
      <xdr:rowOff>333375</xdr:rowOff>
    </xdr:to>
    <xdr:pic>
      <xdr:nvPicPr>
        <xdr:cNvPr id="1819392" name="Imagen 18">
          <a:extLst>
            <a:ext uri="{FF2B5EF4-FFF2-40B4-BE49-F238E27FC236}">
              <a16:creationId xmlns:a16="http://schemas.microsoft.com/office/drawing/2014/main" id="{7E187343-4C82-4ED8-AD1B-BBB456F694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714625" cy="117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252413</xdr:colOff>
      <xdr:row>2</xdr:row>
      <xdr:rowOff>219075</xdr:rowOff>
    </xdr:to>
    <xdr:pic>
      <xdr:nvPicPr>
        <xdr:cNvPr id="4" name="Imagen 18">
          <a:extLst>
            <a:ext uri="{FF2B5EF4-FFF2-40B4-BE49-F238E27FC236}">
              <a16:creationId xmlns:a16="http://schemas.microsoft.com/office/drawing/2014/main" id="{D6125E46-D514-4E97-BB63-766000FCC8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500313" cy="1057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828675</xdr:colOff>
      <xdr:row>0</xdr:row>
      <xdr:rowOff>0</xdr:rowOff>
    </xdr:from>
    <xdr:to>
      <xdr:col>10</xdr:col>
      <xdr:colOff>457200</xdr:colOff>
      <xdr:row>2</xdr:row>
      <xdr:rowOff>276225</xdr:rowOff>
    </xdr:to>
    <xdr:pic>
      <xdr:nvPicPr>
        <xdr:cNvPr id="5" name="Imagen 19">
          <a:extLst>
            <a:ext uri="{FF2B5EF4-FFF2-40B4-BE49-F238E27FC236}">
              <a16:creationId xmlns:a16="http://schemas.microsoft.com/office/drawing/2014/main" id="{E2751D90-ABD4-4F9C-86FA-E1562AB3CF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782425" y="0"/>
          <a:ext cx="2000250" cy="1114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252413</xdr:colOff>
      <xdr:row>2</xdr:row>
      <xdr:rowOff>219075</xdr:rowOff>
    </xdr:to>
    <xdr:pic>
      <xdr:nvPicPr>
        <xdr:cNvPr id="6" name="Imagen 18">
          <a:extLst>
            <a:ext uri="{FF2B5EF4-FFF2-40B4-BE49-F238E27FC236}">
              <a16:creationId xmlns:a16="http://schemas.microsoft.com/office/drawing/2014/main" id="{F8D9588C-02E8-4E82-938B-91DB609AFB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500313" cy="1057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828675</xdr:colOff>
      <xdr:row>0</xdr:row>
      <xdr:rowOff>0</xdr:rowOff>
    </xdr:from>
    <xdr:to>
      <xdr:col>10</xdr:col>
      <xdr:colOff>457200</xdr:colOff>
      <xdr:row>2</xdr:row>
      <xdr:rowOff>276225</xdr:rowOff>
    </xdr:to>
    <xdr:pic>
      <xdr:nvPicPr>
        <xdr:cNvPr id="7" name="Imagen 19">
          <a:extLst>
            <a:ext uri="{FF2B5EF4-FFF2-40B4-BE49-F238E27FC236}">
              <a16:creationId xmlns:a16="http://schemas.microsoft.com/office/drawing/2014/main" id="{A96A8621-18DB-4386-A4C0-E34C7AD194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782425" y="0"/>
          <a:ext cx="2000250" cy="1114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252413</xdr:colOff>
      <xdr:row>2</xdr:row>
      <xdr:rowOff>219075</xdr:rowOff>
    </xdr:to>
    <xdr:pic>
      <xdr:nvPicPr>
        <xdr:cNvPr id="8" name="Imagen 18">
          <a:extLst>
            <a:ext uri="{FF2B5EF4-FFF2-40B4-BE49-F238E27FC236}">
              <a16:creationId xmlns:a16="http://schemas.microsoft.com/office/drawing/2014/main" id="{25EBA4FA-DBE7-4C8C-AD49-21F4D78564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500313" cy="1057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828675</xdr:colOff>
      <xdr:row>0</xdr:row>
      <xdr:rowOff>0</xdr:rowOff>
    </xdr:from>
    <xdr:to>
      <xdr:col>10</xdr:col>
      <xdr:colOff>457200</xdr:colOff>
      <xdr:row>2</xdr:row>
      <xdr:rowOff>276225</xdr:rowOff>
    </xdr:to>
    <xdr:pic>
      <xdr:nvPicPr>
        <xdr:cNvPr id="9" name="Imagen 19">
          <a:extLst>
            <a:ext uri="{FF2B5EF4-FFF2-40B4-BE49-F238E27FC236}">
              <a16:creationId xmlns:a16="http://schemas.microsoft.com/office/drawing/2014/main" id="{A7537AB5-0D32-45C8-9B78-492BDD3256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782425" y="0"/>
          <a:ext cx="2000250" cy="1114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252413</xdr:colOff>
      <xdr:row>2</xdr:row>
      <xdr:rowOff>219075</xdr:rowOff>
    </xdr:to>
    <xdr:pic>
      <xdr:nvPicPr>
        <xdr:cNvPr id="10" name="Imagen 18">
          <a:extLst>
            <a:ext uri="{FF2B5EF4-FFF2-40B4-BE49-F238E27FC236}">
              <a16:creationId xmlns:a16="http://schemas.microsoft.com/office/drawing/2014/main" id="{AB4D0C70-A2B9-4ADD-9F8C-2E564BF7BD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500313" cy="1057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828675</xdr:colOff>
      <xdr:row>0</xdr:row>
      <xdr:rowOff>0</xdr:rowOff>
    </xdr:from>
    <xdr:to>
      <xdr:col>10</xdr:col>
      <xdr:colOff>457200</xdr:colOff>
      <xdr:row>2</xdr:row>
      <xdr:rowOff>276225</xdr:rowOff>
    </xdr:to>
    <xdr:pic>
      <xdr:nvPicPr>
        <xdr:cNvPr id="11" name="Imagen 19">
          <a:extLst>
            <a:ext uri="{FF2B5EF4-FFF2-40B4-BE49-F238E27FC236}">
              <a16:creationId xmlns:a16="http://schemas.microsoft.com/office/drawing/2014/main" id="{B056DA8C-AEB0-4C03-A6A3-9ECA827FDE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782425" y="0"/>
          <a:ext cx="2000250" cy="1114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252413</xdr:colOff>
      <xdr:row>2</xdr:row>
      <xdr:rowOff>219075</xdr:rowOff>
    </xdr:to>
    <xdr:pic>
      <xdr:nvPicPr>
        <xdr:cNvPr id="12" name="Imagen 18">
          <a:extLst>
            <a:ext uri="{FF2B5EF4-FFF2-40B4-BE49-F238E27FC236}">
              <a16:creationId xmlns:a16="http://schemas.microsoft.com/office/drawing/2014/main" id="{6CF7E0FA-EE1C-4F9E-8E17-2E057504EA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500313" cy="1057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828675</xdr:colOff>
      <xdr:row>0</xdr:row>
      <xdr:rowOff>0</xdr:rowOff>
    </xdr:from>
    <xdr:to>
      <xdr:col>10</xdr:col>
      <xdr:colOff>457200</xdr:colOff>
      <xdr:row>2</xdr:row>
      <xdr:rowOff>276225</xdr:rowOff>
    </xdr:to>
    <xdr:pic>
      <xdr:nvPicPr>
        <xdr:cNvPr id="13" name="Imagen 19">
          <a:extLst>
            <a:ext uri="{FF2B5EF4-FFF2-40B4-BE49-F238E27FC236}">
              <a16:creationId xmlns:a16="http://schemas.microsoft.com/office/drawing/2014/main" id="{E72E1765-B44C-4714-ABDC-4571CE9B46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782425" y="0"/>
          <a:ext cx="2000250" cy="1114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252413</xdr:colOff>
      <xdr:row>2</xdr:row>
      <xdr:rowOff>219075</xdr:rowOff>
    </xdr:to>
    <xdr:pic>
      <xdr:nvPicPr>
        <xdr:cNvPr id="14" name="Imagen 18">
          <a:extLst>
            <a:ext uri="{FF2B5EF4-FFF2-40B4-BE49-F238E27FC236}">
              <a16:creationId xmlns:a16="http://schemas.microsoft.com/office/drawing/2014/main" id="{5F52E056-CBF2-47D2-8260-D68D9E47EA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500313" cy="1057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828675</xdr:colOff>
      <xdr:row>0</xdr:row>
      <xdr:rowOff>0</xdr:rowOff>
    </xdr:from>
    <xdr:to>
      <xdr:col>10</xdr:col>
      <xdr:colOff>457200</xdr:colOff>
      <xdr:row>2</xdr:row>
      <xdr:rowOff>276225</xdr:rowOff>
    </xdr:to>
    <xdr:pic>
      <xdr:nvPicPr>
        <xdr:cNvPr id="15" name="Imagen 19">
          <a:extLst>
            <a:ext uri="{FF2B5EF4-FFF2-40B4-BE49-F238E27FC236}">
              <a16:creationId xmlns:a16="http://schemas.microsoft.com/office/drawing/2014/main" id="{7C2EFFBF-1DAB-43CE-955C-AB47A95FD9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782425" y="0"/>
          <a:ext cx="2000250" cy="1114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252413</xdr:colOff>
      <xdr:row>2</xdr:row>
      <xdr:rowOff>219075</xdr:rowOff>
    </xdr:to>
    <xdr:pic>
      <xdr:nvPicPr>
        <xdr:cNvPr id="16" name="Imagen 18">
          <a:extLst>
            <a:ext uri="{FF2B5EF4-FFF2-40B4-BE49-F238E27FC236}">
              <a16:creationId xmlns:a16="http://schemas.microsoft.com/office/drawing/2014/main" id="{E56328D3-E3A0-4583-BEEE-6BDF302B70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500313" cy="1057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828675</xdr:colOff>
      <xdr:row>0</xdr:row>
      <xdr:rowOff>0</xdr:rowOff>
    </xdr:from>
    <xdr:to>
      <xdr:col>10</xdr:col>
      <xdr:colOff>457200</xdr:colOff>
      <xdr:row>2</xdr:row>
      <xdr:rowOff>276225</xdr:rowOff>
    </xdr:to>
    <xdr:pic>
      <xdr:nvPicPr>
        <xdr:cNvPr id="17" name="Imagen 19">
          <a:extLst>
            <a:ext uri="{FF2B5EF4-FFF2-40B4-BE49-F238E27FC236}">
              <a16:creationId xmlns:a16="http://schemas.microsoft.com/office/drawing/2014/main" id="{18435602-F061-4723-8AB0-1FC2D1B4BF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782425" y="0"/>
          <a:ext cx="2000250" cy="1114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/Documents/INGENIERIA/informes/4%20Informe%20financiero/2023/06%20Junio/Anexo%201.%20Informe%20de%20ejecuci&#243;n%20financiera%20Junio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/Documents/INGENIERIA/informes/traslados/9%20traslado/9%20Traslado%20Bloque%2011%20y%2012%20VF%20contabilizacion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/Documents/INGENIERIA/informes/traslados/10%20traslado/Informe%20final%20evaluaci&#243;n%20CV191%20C3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registro%20contabilizacion%20ingresos%20itagui%20acacias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/Documents/INGENIERIA/informes/5%20EEFF%20Fiducia/2023/03%20Marzo/72.%20Anexo%20ejecuci&#243;n%20consolidada%20por%20emprendimiento%20con%20corte%20a%20marzo%20de%202023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/Documents/INGENIERIA/informes/8%20Pagos%20Paola/2023/07%20julio/Julioreporte_2023_cierrre%20V2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Informe%20JULIO%20PAOLA%20APLICADOS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/Documents/INGENIERIA/informes/8%20Pagos%20Paola/2023/07%20julio/Revision%20de%20pagos%20Julio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/Documents/INGENIERIA/informes/4%20Informe%20financiero/2022/12%20diciembre/881%20todas%20las%20vigencias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881%20todas%20las%20vigencias%20a%20julio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/Documents/INGENIERIA/informes/a%20Ivan%20Gomez/GMF%20a%20marzo%202022/traslado%20de%20impuestos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/Documents/INGENIERIA/informes/traslados/9%20traslado/9%20Traslado%20Bloque%2011%20y%2012%20VF.xlsx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corr%20y%20no%20corr%20a%201008202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unio - 2023"/>
      <sheetName val="Hoja1"/>
      <sheetName val="Adhesiones"/>
      <sheetName val="Conciliación Quipu"/>
      <sheetName val="Anexo 3-Porcion C-NC"/>
      <sheetName val="Cta 11100613"/>
      <sheetName val="Cta 29020102"/>
      <sheetName val="Cta 29020103 rend"/>
      <sheetName val="Cta 19050301"/>
      <sheetName val="Mov Cta BBVA"/>
      <sheetName val="Mov Cta OCCIDENTE"/>
      <sheetName val="Anexo. Matrix"/>
      <sheetName val="GMF"/>
      <sheetName val="Impuestos"/>
      <sheetName val="Anexo 2 Sena"/>
      <sheetName val="Anexo 7 Capital Semilla"/>
      <sheetName val="Anexo 6 Tauramena"/>
      <sheetName val="Anexo 5 Itagüí"/>
      <sheetName val="Anexo 7 Villanueva"/>
      <sheetName val="Anexo 8 San Juan de Urabá"/>
      <sheetName val="Anexo 9 Yarumal"/>
      <sheetName val="Anexo 10 Garzón"/>
      <sheetName val="Anexo 11 Dpto Sucre"/>
      <sheetName val="Anexo 12 Planadas"/>
      <sheetName val="Anexo 13 Caldas"/>
      <sheetName val="Anexo 14 Bugalagrande"/>
      <sheetName val="Anexo 15 Carmen de Viboral"/>
      <sheetName val="Anexo 16 Planeta Rica"/>
      <sheetName val="Anexo 17 Barrancabermeja"/>
      <sheetName val="Anexo 18 Gramalote"/>
      <sheetName val="Anexo 19 Pastoral Social"/>
      <sheetName val="Anexo 20 Minera de Cobre"/>
      <sheetName val="Anexo 21 Ministerio del Interio"/>
      <sheetName val="Anexo 22 Municipio Manizales"/>
      <sheetName val="Anexo 24 Municipio de la virgin"/>
      <sheetName val="Anexo 23 Dpto Norte de Santande"/>
      <sheetName val="Anexo 25 Municipio Acacias"/>
      <sheetName val="Anexo 26 Distrito Riohacha"/>
      <sheetName val="Anexo 4- Relación facturas IVA"/>
    </sheetNames>
    <sheetDataSet>
      <sheetData sheetId="0">
        <row r="24">
          <cell r="L24">
            <v>12523446066.036026</v>
          </cell>
        </row>
      </sheetData>
      <sheetData sheetId="1" refreshError="1"/>
      <sheetData sheetId="2">
        <row r="5">
          <cell r="A5" t="str">
            <v>Municipio de Itagüí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D_GRUPO 11 y 12 (VF)"/>
      <sheetName val="Ajuste 8 traslado - Grupo 6"/>
      <sheetName val="188-Manizales"/>
      <sheetName val="Base Bloque 11 y 12"/>
    </sheetNames>
    <sheetDataSet>
      <sheetData sheetId="0">
        <row r="24">
          <cell r="P24">
            <v>452866023.04799998</v>
          </cell>
        </row>
      </sheetData>
      <sheetData sheetId="1"/>
      <sheetData sheetId="2"/>
      <sheetData sheetId="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e final CV 191 C3"/>
      <sheetName val="Hoja1"/>
      <sheetName val="EJEMPLO BLOQUE 13"/>
    </sheetNames>
    <sheetDataSet>
      <sheetData sheetId="0"/>
      <sheetData sheetId="1"/>
      <sheetData sheetId="2">
        <row r="2">
          <cell r="J2">
            <v>32000000</v>
          </cell>
          <cell r="L2">
            <v>128000</v>
          </cell>
          <cell r="O2">
            <v>48192000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</sheetNames>
    <sheetDataSet>
      <sheetData sheetId="0">
        <row r="4">
          <cell r="C4">
            <v>40249316.520000003</v>
          </cell>
        </row>
        <row r="11">
          <cell r="C11">
            <v>39929877.5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jecución por Emprendimiento"/>
    </sheetNames>
    <sheetDataSet>
      <sheetData sheetId="0">
        <row r="626">
          <cell r="G626">
            <v>53354826960.720001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2"/>
      <sheetName val="Consolidado_julio_2023"/>
      <sheetName val="Ejecutado_julio"/>
      <sheetName val="Ejecutado_julio_Conv"/>
      <sheetName val="Ejecutado_julio_PDN"/>
      <sheetName val="Rechazo_julio"/>
      <sheetName val="Rechazos_julio_tipo"/>
      <sheetName val="Detalle aplicados acumulado"/>
      <sheetName val="Ejecutado_acumulado_Conv"/>
      <sheetName val="Ejecutado_acumulado_PDN"/>
      <sheetName val="Ejecutado_acumulado_terceros"/>
      <sheetName val="Detalle rechazos acumu mesxmes"/>
      <sheetName val="Rechazos_Acumulad_tipología"/>
      <sheetName val="Rechazos_conv_PDN_acti"/>
      <sheetName val="Informativo Reprocesos"/>
      <sheetName val="Reintegros Certificados Fiducia"/>
      <sheetName val="PAGOS ACUMULADOS-FIDUCIA"/>
      <sheetName val="Reintegros acumulad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16077">
          <cell r="O16077">
            <v>49348762478.85997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aprobados JUNIO"/>
    </sheetNames>
    <sheetDataSet>
      <sheetData sheetId="0"/>
      <sheetData sheetId="1"/>
      <sheetData sheetId="2">
        <row r="12">
          <cell r="F12">
            <v>51426258</v>
          </cell>
        </row>
        <row r="13">
          <cell r="G13">
            <v>1191945</v>
          </cell>
        </row>
        <row r="14">
          <cell r="G14">
            <v>6450000</v>
          </cell>
        </row>
      </sheetData>
      <sheetData sheetId="3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2"/>
      <sheetName val="Hoja1"/>
      <sheetName val="Hoja3"/>
    </sheetNames>
    <sheetDataSet>
      <sheetData sheetId="0">
        <row r="32">
          <cell r="H32">
            <v>10436469837.329693</v>
          </cell>
        </row>
        <row r="34">
          <cell r="G34">
            <v>14214241200.900307</v>
          </cell>
        </row>
      </sheetData>
      <sheetData sheetId="1"/>
      <sheetData sheetId="2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881 todas las vigencias2"/>
    </sheetNames>
    <sheetDataSet>
      <sheetData sheetId="0">
        <row r="83">
          <cell r="AI83">
            <v>2510000</v>
          </cell>
        </row>
        <row r="91">
          <cell r="AK91">
            <v>6410130</v>
          </cell>
        </row>
        <row r="95">
          <cell r="AK95">
            <v>6675781</v>
          </cell>
        </row>
        <row r="116">
          <cell r="AK116">
            <v>32975376</v>
          </cell>
        </row>
        <row r="145">
          <cell r="AI145">
            <v>37650000</v>
          </cell>
        </row>
        <row r="149">
          <cell r="AI149">
            <v>1255000</v>
          </cell>
        </row>
        <row r="152">
          <cell r="AK152">
            <v>2510000</v>
          </cell>
        </row>
        <row r="155">
          <cell r="AI155">
            <v>52710001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881 todas las vigencias2"/>
    </sheetNames>
    <sheetDataSet>
      <sheetData sheetId="0"/>
      <sheetData sheetId="1">
        <row r="176">
          <cell r="AH176">
            <v>331320</v>
          </cell>
        </row>
      </sheetData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gresos"/>
      <sheetName val="Hoja1"/>
      <sheetName val="Hoja3"/>
    </sheetNames>
    <sheetDataSet>
      <sheetData sheetId="0">
        <row r="126">
          <cell r="J126">
            <v>1312500</v>
          </cell>
        </row>
        <row r="127">
          <cell r="I127">
            <v>694538</v>
          </cell>
          <cell r="J127">
            <v>2680672</v>
          </cell>
          <cell r="K127">
            <v>211042</v>
          </cell>
        </row>
        <row r="128">
          <cell r="K128">
            <v>19150</v>
          </cell>
        </row>
        <row r="130">
          <cell r="I130">
            <v>694538</v>
          </cell>
          <cell r="J130">
            <v>2680672</v>
          </cell>
          <cell r="K130">
            <v>211042</v>
          </cell>
        </row>
        <row r="136">
          <cell r="J136">
            <v>1312500</v>
          </cell>
        </row>
        <row r="148">
          <cell r="K148">
            <v>102030</v>
          </cell>
        </row>
        <row r="149">
          <cell r="K149">
            <v>100825</v>
          </cell>
        </row>
        <row r="150">
          <cell r="K150">
            <v>99614</v>
          </cell>
        </row>
        <row r="156">
          <cell r="K156">
            <v>2528</v>
          </cell>
        </row>
      </sheetData>
      <sheetData sheetId="1"/>
      <sheetData sheetId="2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D_GRUPO 11 y 12 (VF)"/>
      <sheetName val="188-Manizales"/>
      <sheetName val="Base Bloque 11 y 12"/>
    </sheetNames>
    <sheetDataSet>
      <sheetData sheetId="0">
        <row r="24">
          <cell r="O24">
            <v>1594349.952</v>
          </cell>
        </row>
      </sheetData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rr y no corr a 10082023"/>
    </sheetNames>
    <sheetDataSet>
      <sheetData sheetId="0">
        <row r="2">
          <cell r="C2" t="str">
            <v>MUNICIPIO DE TAURAMENA</v>
          </cell>
          <cell r="D2">
            <v>-50345911.689999998</v>
          </cell>
          <cell r="E2">
            <v>0</v>
          </cell>
          <cell r="F2">
            <v>0</v>
          </cell>
          <cell r="G2">
            <v>50345911.689999998</v>
          </cell>
        </row>
        <row r="3">
          <cell r="C3" t="str">
            <v>MUNICIPIO DE SAN JUAN DE URABA</v>
          </cell>
          <cell r="D3">
            <v>-14198011</v>
          </cell>
          <cell r="E3">
            <v>0</v>
          </cell>
          <cell r="F3">
            <v>0</v>
          </cell>
          <cell r="G3">
            <v>14198011</v>
          </cell>
        </row>
        <row r="4">
          <cell r="C4" t="str">
            <v>MUNICIPIO DE PLANETA RICA</v>
          </cell>
          <cell r="D4">
            <v>-3996145</v>
          </cell>
          <cell r="E4">
            <v>0</v>
          </cell>
          <cell r="F4">
            <v>0</v>
          </cell>
          <cell r="G4">
            <v>3996145</v>
          </cell>
        </row>
        <row r="5">
          <cell r="C5" t="str">
            <v>MUNICIPIO DE PLANADAS</v>
          </cell>
          <cell r="D5">
            <v>-915302</v>
          </cell>
          <cell r="E5">
            <v>0</v>
          </cell>
          <cell r="F5">
            <v>0</v>
          </cell>
          <cell r="G5">
            <v>915302</v>
          </cell>
        </row>
        <row r="6">
          <cell r="C6" t="str">
            <v>DEPARTAMENTO NORTE DE SANTANDER</v>
          </cell>
          <cell r="D6">
            <v>-14141887.220000001</v>
          </cell>
          <cell r="E6">
            <v>0</v>
          </cell>
          <cell r="F6">
            <v>0</v>
          </cell>
          <cell r="G6">
            <v>14141887.220000001</v>
          </cell>
        </row>
        <row r="7">
          <cell r="C7" t="str">
            <v>FIDUCIARIA POPULAR S A</v>
          </cell>
          <cell r="D7">
            <v>-32000000</v>
          </cell>
          <cell r="E7">
            <v>32000000</v>
          </cell>
          <cell r="F7">
            <v>0</v>
          </cell>
          <cell r="G7">
            <v>0</v>
          </cell>
        </row>
        <row r="8">
          <cell r="C8" t="str">
            <v>MINISTERIO DEL INTERIOR</v>
          </cell>
          <cell r="D8">
            <v>-12811853</v>
          </cell>
          <cell r="E8">
            <v>0</v>
          </cell>
          <cell r="F8">
            <v>0</v>
          </cell>
          <cell r="G8">
            <v>12811853</v>
          </cell>
        </row>
        <row r="9">
          <cell r="C9" t="str">
            <v>NESTLE DE COLOMBIA S A</v>
          </cell>
          <cell r="D9">
            <v>-55331374</v>
          </cell>
          <cell r="E9">
            <v>0</v>
          </cell>
          <cell r="F9">
            <v>0</v>
          </cell>
          <cell r="G9">
            <v>55331374</v>
          </cell>
        </row>
        <row r="10">
          <cell r="C10" t="str">
            <v>ASEGURADORA SOLIDARIA DE COLOMBIA ENTIDAD COOPERATIVA</v>
          </cell>
          <cell r="D10">
            <v>0</v>
          </cell>
          <cell r="E10">
            <v>1799578</v>
          </cell>
          <cell r="F10">
            <v>1799578</v>
          </cell>
          <cell r="G10">
            <v>0</v>
          </cell>
        </row>
        <row r="11">
          <cell r="C11" t="str">
            <v>MUNICIPIO DE BARRANCABERMEJA</v>
          </cell>
          <cell r="D11">
            <v>-71850341</v>
          </cell>
          <cell r="E11">
            <v>0</v>
          </cell>
          <cell r="F11">
            <v>0</v>
          </cell>
          <cell r="G11">
            <v>71850341</v>
          </cell>
        </row>
        <row r="12">
          <cell r="C12" t="str">
            <v>BANCO DE OCCIDENTE</v>
          </cell>
          <cell r="D12">
            <v>0</v>
          </cell>
          <cell r="E12">
            <v>328092</v>
          </cell>
          <cell r="F12">
            <v>328092</v>
          </cell>
          <cell r="G12">
            <v>0</v>
          </cell>
        </row>
        <row r="13">
          <cell r="C13" t="str">
            <v>BUENAVENTURA DISTRITO ESPECIAL INDUSTRIAL PORTUARIO BIODIVERSO Y ECOTURISTICO</v>
          </cell>
          <cell r="D13">
            <v>-3959286</v>
          </cell>
          <cell r="E13">
            <v>0</v>
          </cell>
          <cell r="F13">
            <v>0</v>
          </cell>
          <cell r="G13">
            <v>3959286</v>
          </cell>
        </row>
        <row r="14">
          <cell r="C14" t="str">
            <v>MUNICIPIO DE MANIZALES</v>
          </cell>
          <cell r="D14">
            <v>-47312435</v>
          </cell>
          <cell r="E14">
            <v>0</v>
          </cell>
          <cell r="F14">
            <v>0</v>
          </cell>
          <cell r="G14">
            <v>47312435</v>
          </cell>
        </row>
        <row r="15">
          <cell r="C15" t="str">
            <v>MUNICIPIO DE ITAGUI</v>
          </cell>
          <cell r="D15">
            <v>-20720157</v>
          </cell>
          <cell r="E15">
            <v>0</v>
          </cell>
          <cell r="F15">
            <v>39929877.5</v>
          </cell>
          <cell r="G15">
            <v>60650034.5</v>
          </cell>
        </row>
        <row r="16">
          <cell r="C16" t="str">
            <v>MUNICIPIO DE YARUMAL</v>
          </cell>
          <cell r="D16">
            <v>-520073</v>
          </cell>
          <cell r="E16">
            <v>0</v>
          </cell>
          <cell r="F16">
            <v>0</v>
          </cell>
          <cell r="G16">
            <v>520073</v>
          </cell>
        </row>
        <row r="17">
          <cell r="C17" t="str">
            <v>MUNICIPIO DE CALDAS</v>
          </cell>
          <cell r="D17">
            <v>-239714</v>
          </cell>
          <cell r="E17">
            <v>0</v>
          </cell>
          <cell r="F17">
            <v>0</v>
          </cell>
          <cell r="G17">
            <v>239714</v>
          </cell>
        </row>
        <row r="18">
          <cell r="C18" t="str">
            <v>MUNICIPIO EL CARMEN DE VIBORAL</v>
          </cell>
          <cell r="D18">
            <v>-1582184.2</v>
          </cell>
          <cell r="E18">
            <v>0</v>
          </cell>
          <cell r="F18">
            <v>0</v>
          </cell>
          <cell r="G18">
            <v>1582184.2</v>
          </cell>
        </row>
        <row r="19">
          <cell r="C19" t="str">
            <v>MUNICIPIO DE GARZON</v>
          </cell>
          <cell r="D19">
            <v>-20858693</v>
          </cell>
          <cell r="E19">
            <v>0</v>
          </cell>
          <cell r="F19">
            <v>0</v>
          </cell>
          <cell r="G19">
            <v>20858693</v>
          </cell>
        </row>
        <row r="20">
          <cell r="C20" t="str">
            <v>MUNICIPIO DE CANDELARIA</v>
          </cell>
          <cell r="D20">
            <v>-3482091</v>
          </cell>
          <cell r="E20">
            <v>0</v>
          </cell>
          <cell r="F20">
            <v>0</v>
          </cell>
          <cell r="G20">
            <v>3482091</v>
          </cell>
        </row>
        <row r="21">
          <cell r="C21" t="str">
            <v>MUNICIPIO DE LA VIRGINIA</v>
          </cell>
          <cell r="D21">
            <v>-34064251</v>
          </cell>
          <cell r="E21">
            <v>0</v>
          </cell>
          <cell r="F21">
            <v>0</v>
          </cell>
          <cell r="G21">
            <v>34064251</v>
          </cell>
        </row>
        <row r="22">
          <cell r="C22" t="str">
            <v>MUNICIPIO DE BUGALAGRANDE</v>
          </cell>
          <cell r="D22">
            <v>-0.37</v>
          </cell>
          <cell r="E22">
            <v>0</v>
          </cell>
          <cell r="F22">
            <v>0</v>
          </cell>
          <cell r="G22">
            <v>0.37</v>
          </cell>
        </row>
        <row r="23">
          <cell r="C23" t="str">
            <v>MUNICIPIO DE ACACIAS</v>
          </cell>
          <cell r="D23">
            <v>-56263943</v>
          </cell>
          <cell r="E23">
            <v>32000000</v>
          </cell>
          <cell r="F23">
            <v>0</v>
          </cell>
          <cell r="G23">
            <v>24263943</v>
          </cell>
        </row>
        <row r="24">
          <cell r="C24" t="str">
            <v>DISTRITO ESPECIAL TURISTICO Y CULTURAL DE RIOHACHA</v>
          </cell>
          <cell r="D24">
            <v>-7282050</v>
          </cell>
          <cell r="E24">
            <v>0</v>
          </cell>
          <cell r="F24">
            <v>0</v>
          </cell>
          <cell r="G24">
            <v>7282050</v>
          </cell>
        </row>
        <row r="25">
          <cell r="C25" t="str">
            <v>DEPARTAMENTO DE SUCRE</v>
          </cell>
          <cell r="D25">
            <v>-25512695</v>
          </cell>
          <cell r="E25">
            <v>0</v>
          </cell>
          <cell r="F25">
            <v>0</v>
          </cell>
          <cell r="G25">
            <v>25512695</v>
          </cell>
        </row>
        <row r="26">
          <cell r="C26" t="str">
            <v>DEPARTAMENTO DEL CESAR</v>
          </cell>
          <cell r="D26">
            <v>-26593738</v>
          </cell>
          <cell r="E26">
            <v>0</v>
          </cell>
          <cell r="F26">
            <v>0</v>
          </cell>
          <cell r="G26">
            <v>26593738</v>
          </cell>
        </row>
        <row r="27">
          <cell r="C27" t="str">
            <v>SERVICIO NACIONAL DE APRENDIZAJE</v>
          </cell>
          <cell r="D27">
            <v>-13961479990.190001</v>
          </cell>
          <cell r="E27">
            <v>89603840.019999996</v>
          </cell>
          <cell r="F27">
            <v>190269939.53999999</v>
          </cell>
          <cell r="G27">
            <v>14062146089.709999</v>
          </cell>
        </row>
        <row r="28">
          <cell r="C28" t="str">
            <v>GRAMALOTE COLOMBIA LIMITED</v>
          </cell>
          <cell r="D28">
            <v>-33501360</v>
          </cell>
          <cell r="E28">
            <v>0</v>
          </cell>
          <cell r="F28">
            <v>0</v>
          </cell>
          <cell r="G28">
            <v>33501360</v>
          </cell>
        </row>
        <row r="29">
          <cell r="C29" t="str">
            <v>MINERA DE COBRE QUEBRADONA S.A.S BENEFICIO E INTERÉS COLECTIVO</v>
          </cell>
          <cell r="D29">
            <v>-18012523</v>
          </cell>
          <cell r="E29">
            <v>0</v>
          </cell>
          <cell r="F29">
            <v>0</v>
          </cell>
          <cell r="G29">
            <v>18012523</v>
          </cell>
        </row>
        <row r="30">
          <cell r="C30" t="str">
            <v>MUNICIPIO DE TAURAMENA</v>
          </cell>
          <cell r="D30">
            <v>-30560498.870000001</v>
          </cell>
          <cell r="E30">
            <v>29543712.100000001</v>
          </cell>
          <cell r="F30">
            <v>664921.85</v>
          </cell>
          <cell r="G30">
            <v>1681708.62</v>
          </cell>
        </row>
        <row r="31">
          <cell r="C31" t="str">
            <v>MUNICIPIO DE SAN JUAN DE URABA</v>
          </cell>
          <cell r="D31">
            <v>-632424.51</v>
          </cell>
          <cell r="E31">
            <v>0</v>
          </cell>
          <cell r="F31">
            <v>94113.95</v>
          </cell>
          <cell r="G31">
            <v>726538.46</v>
          </cell>
        </row>
        <row r="32">
          <cell r="C32" t="str">
            <v>MUNICIPIO DE PLANETA RICA</v>
          </cell>
          <cell r="D32">
            <v>-468069.87</v>
          </cell>
          <cell r="E32">
            <v>0</v>
          </cell>
          <cell r="F32">
            <v>28329.91</v>
          </cell>
          <cell r="G32">
            <v>496399.78</v>
          </cell>
        </row>
        <row r="33">
          <cell r="C33" t="str">
            <v>MUNICIPIO DE PLANADAS</v>
          </cell>
          <cell r="D33">
            <v>-382806.75</v>
          </cell>
          <cell r="E33">
            <v>0</v>
          </cell>
          <cell r="F33">
            <v>8237.7999999999993</v>
          </cell>
          <cell r="G33">
            <v>391044.55</v>
          </cell>
        </row>
        <row r="34">
          <cell r="C34" t="str">
            <v>DEPARTAMENTO NORTE DE SANTANDER</v>
          </cell>
          <cell r="D34">
            <v>-778993.09</v>
          </cell>
          <cell r="E34">
            <v>0</v>
          </cell>
          <cell r="F34">
            <v>94687.91</v>
          </cell>
          <cell r="G34">
            <v>873681</v>
          </cell>
        </row>
        <row r="35">
          <cell r="C35" t="str">
            <v>MINISTERIO DEL INTERIOR</v>
          </cell>
          <cell r="D35">
            <v>-18764097.719999999</v>
          </cell>
          <cell r="E35">
            <v>0</v>
          </cell>
          <cell r="F35">
            <v>202146.16</v>
          </cell>
          <cell r="G35">
            <v>18966243.879999999</v>
          </cell>
        </row>
        <row r="36">
          <cell r="C36" t="str">
            <v>NESTLE DE COLOMBIA S A</v>
          </cell>
          <cell r="D36">
            <v>-15798854</v>
          </cell>
          <cell r="E36">
            <v>0</v>
          </cell>
          <cell r="F36">
            <v>457653</v>
          </cell>
          <cell r="G36">
            <v>16256507</v>
          </cell>
        </row>
        <row r="37">
          <cell r="C37" t="str">
            <v>SECRETARIADO NACIONAL DE PASTORAL SOCIAL CARITAS COLOMBIANA</v>
          </cell>
          <cell r="D37">
            <v>-139459.26</v>
          </cell>
          <cell r="E37">
            <v>0</v>
          </cell>
          <cell r="F37">
            <v>885</v>
          </cell>
          <cell r="G37">
            <v>140344.26</v>
          </cell>
        </row>
        <row r="38">
          <cell r="C38" t="str">
            <v>MUNICIPIO DE BARRANCABERMEJA</v>
          </cell>
          <cell r="D38">
            <v>-2099376.7799999998</v>
          </cell>
          <cell r="E38">
            <v>0</v>
          </cell>
          <cell r="F38">
            <v>469284.91</v>
          </cell>
          <cell r="G38">
            <v>2568661.69</v>
          </cell>
        </row>
        <row r="39">
          <cell r="C39" t="str">
            <v>BUENAVENTURA DISTRITO ESPECIAL INDUSTRIAL PORTUARIO BIODIVERSO Y ECOTURISTICO</v>
          </cell>
          <cell r="D39">
            <v>-53615429</v>
          </cell>
          <cell r="E39">
            <v>0</v>
          </cell>
          <cell r="F39">
            <v>370436</v>
          </cell>
          <cell r="G39">
            <v>53985865</v>
          </cell>
        </row>
        <row r="40">
          <cell r="C40" t="str">
            <v>MUNICIPIO DE MANIZALES</v>
          </cell>
          <cell r="D40">
            <v>-2489389.65</v>
          </cell>
          <cell r="E40">
            <v>0</v>
          </cell>
          <cell r="F40">
            <v>316042.38</v>
          </cell>
          <cell r="G40">
            <v>2805432.03</v>
          </cell>
        </row>
        <row r="41">
          <cell r="C41" t="str">
            <v>MUNICIPIO DE ITAGUI</v>
          </cell>
          <cell r="D41">
            <v>-1190483.73</v>
          </cell>
          <cell r="E41">
            <v>0</v>
          </cell>
          <cell r="F41">
            <v>139044.92000000001</v>
          </cell>
          <cell r="G41">
            <v>1329528.6499999999</v>
          </cell>
        </row>
        <row r="42">
          <cell r="C42" t="str">
            <v>MUNICIPIO DE YARUMAL</v>
          </cell>
          <cell r="D42">
            <v>-253686.33</v>
          </cell>
          <cell r="E42">
            <v>0</v>
          </cell>
          <cell r="F42">
            <v>4910.28</v>
          </cell>
          <cell r="G42">
            <v>258596.61</v>
          </cell>
        </row>
        <row r="43">
          <cell r="C43" t="str">
            <v>MUNICIPIO DE CALDAS</v>
          </cell>
          <cell r="D43">
            <v>-611245.29</v>
          </cell>
          <cell r="E43">
            <v>0</v>
          </cell>
          <cell r="F43">
            <v>5400.19</v>
          </cell>
          <cell r="G43">
            <v>616645.48</v>
          </cell>
        </row>
        <row r="44">
          <cell r="C44" t="str">
            <v>MUNICIPIO EL CARMEN DE VIBORAL</v>
          </cell>
          <cell r="D44">
            <v>-658457.03</v>
          </cell>
          <cell r="E44">
            <v>0</v>
          </cell>
          <cell r="F44">
            <v>14219.11</v>
          </cell>
          <cell r="G44">
            <v>672676.14</v>
          </cell>
        </row>
        <row r="45">
          <cell r="C45" t="str">
            <v>MUNICIPIO DE GARZON</v>
          </cell>
          <cell r="D45">
            <v>-605466.68000000005</v>
          </cell>
          <cell r="E45">
            <v>0</v>
          </cell>
          <cell r="F45">
            <v>136211.57</v>
          </cell>
          <cell r="G45">
            <v>741678.25</v>
          </cell>
        </row>
        <row r="46">
          <cell r="C46" t="str">
            <v>MUNICIPIO DE CANDELARIA</v>
          </cell>
          <cell r="D46">
            <v>-6439264</v>
          </cell>
          <cell r="E46">
            <v>0</v>
          </cell>
          <cell r="F46">
            <v>63835</v>
          </cell>
          <cell r="G46">
            <v>6503099</v>
          </cell>
        </row>
        <row r="47">
          <cell r="C47" t="str">
            <v>MUNICIPIO DE LA VIRGINIA</v>
          </cell>
          <cell r="D47">
            <v>-187387.7</v>
          </cell>
          <cell r="E47">
            <v>0</v>
          </cell>
          <cell r="F47">
            <v>2808.63</v>
          </cell>
          <cell r="G47">
            <v>190196.33</v>
          </cell>
        </row>
        <row r="48">
          <cell r="C48" t="str">
            <v>MUNICIPIO DE BUGALAGRANDE</v>
          </cell>
          <cell r="D48">
            <v>-235765.97</v>
          </cell>
          <cell r="E48">
            <v>0</v>
          </cell>
          <cell r="F48">
            <v>1496.17</v>
          </cell>
          <cell r="G48">
            <v>237262.14</v>
          </cell>
        </row>
        <row r="49">
          <cell r="C49" t="str">
            <v>MUNICIPIO DE ACACIAS</v>
          </cell>
          <cell r="D49">
            <v>-9853789</v>
          </cell>
          <cell r="E49">
            <v>0</v>
          </cell>
          <cell r="F49">
            <v>266923</v>
          </cell>
          <cell r="G49">
            <v>10120712</v>
          </cell>
        </row>
        <row r="50">
          <cell r="C50" t="str">
            <v>MUNICIPIO DE VILLANUEVA</v>
          </cell>
          <cell r="D50">
            <v>-335849.18</v>
          </cell>
          <cell r="E50">
            <v>0</v>
          </cell>
          <cell r="F50">
            <v>2131.31</v>
          </cell>
          <cell r="G50">
            <v>337980.49</v>
          </cell>
        </row>
        <row r="51">
          <cell r="C51" t="str">
            <v>DISTRITO ESPECIAL TURISTICO Y CULTURAL DE RIOHACHA</v>
          </cell>
          <cell r="D51">
            <v>-2965957</v>
          </cell>
          <cell r="E51">
            <v>0</v>
          </cell>
          <cell r="F51">
            <v>65936</v>
          </cell>
          <cell r="G51">
            <v>3031893</v>
          </cell>
        </row>
        <row r="52">
          <cell r="C52" t="str">
            <v>DEPARTAMENTO DE SUCRE</v>
          </cell>
          <cell r="D52">
            <v>-960220.21</v>
          </cell>
          <cell r="E52">
            <v>0</v>
          </cell>
          <cell r="F52">
            <v>167997.12</v>
          </cell>
          <cell r="G52">
            <v>1128217.33</v>
          </cell>
        </row>
        <row r="53">
          <cell r="C53" t="str">
            <v>DEPARTAMENTO DEL CESAR</v>
          </cell>
          <cell r="D53">
            <v>-15082048</v>
          </cell>
          <cell r="E53">
            <v>0</v>
          </cell>
          <cell r="F53">
            <v>268143</v>
          </cell>
          <cell r="G53">
            <v>15350191</v>
          </cell>
        </row>
        <row r="54">
          <cell r="C54" t="str">
            <v>SERVICIO NACIONAL DE APRENDIZAJE</v>
          </cell>
          <cell r="D54">
            <v>-507619339.42000002</v>
          </cell>
          <cell r="E54">
            <v>2158322743.98</v>
          </cell>
          <cell r="F54">
            <v>1722065791.5699999</v>
          </cell>
          <cell r="G54">
            <v>71362387.010000005</v>
          </cell>
        </row>
        <row r="55">
          <cell r="C55" t="str">
            <v>GRAMALOTE COLOMBIA LIMITED</v>
          </cell>
          <cell r="D55">
            <v>-662244.56000000006</v>
          </cell>
          <cell r="E55">
            <v>0</v>
          </cell>
          <cell r="F55">
            <v>216802.24</v>
          </cell>
          <cell r="G55">
            <v>879046.8</v>
          </cell>
        </row>
        <row r="56">
          <cell r="C56" t="str">
            <v>MINERA DE COBRE QUEBRADONA S.A.S BENEFICIO E INTERÉS COLECTIVO</v>
          </cell>
          <cell r="D56">
            <v>-953182.02</v>
          </cell>
          <cell r="E56">
            <v>0</v>
          </cell>
          <cell r="F56">
            <v>120356.37</v>
          </cell>
          <cell r="G56">
            <v>1073538.3899999999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3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4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5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6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8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9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20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21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22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23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24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25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26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7.bin"/></Relationships>
</file>

<file path=xl/worksheets/_rels/sheet3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8.bin"/><Relationship Id="rId4" Type="http://schemas.openxmlformats.org/officeDocument/2006/relationships/comments" Target="../comments4.xml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9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30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31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32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33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34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35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36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3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39">
    <pageSetUpPr fitToPage="1"/>
  </sheetPr>
  <dimension ref="A1:P161"/>
  <sheetViews>
    <sheetView showGridLines="0" view="pageBreakPreview" topLeftCell="A114" zoomScale="30" zoomScaleNormal="85" zoomScaleSheetLayoutView="30" workbookViewId="0">
      <selection activeCell="A69" sqref="A69:A70"/>
    </sheetView>
  </sheetViews>
  <sheetFormatPr baseColWidth="10" defaultRowHeight="14.25"/>
  <cols>
    <col min="1" max="1" width="22.28515625" style="104" customWidth="1"/>
    <col min="2" max="2" width="26" style="104" customWidth="1"/>
    <col min="3" max="3" width="45.140625" style="104" customWidth="1"/>
    <col min="4" max="4" width="45" style="104" customWidth="1"/>
    <col min="5" max="5" width="48.7109375" style="104" bestFit="1" customWidth="1"/>
    <col min="6" max="6" width="39" style="104" customWidth="1"/>
    <col min="7" max="7" width="32.140625" style="104" bestFit="1" customWidth="1"/>
    <col min="8" max="8" width="34.28515625" style="104" customWidth="1"/>
    <col min="9" max="9" width="36.7109375" style="104" customWidth="1"/>
    <col min="10" max="10" width="50.42578125" style="327" bestFit="1" customWidth="1"/>
    <col min="11" max="11" width="26.42578125" style="104" bestFit="1" customWidth="1"/>
    <col min="12" max="12" width="39.7109375" style="104" bestFit="1" customWidth="1"/>
    <col min="13" max="13" width="34" style="104" bestFit="1" customWidth="1"/>
    <col min="14" max="14" width="18.7109375" style="104" bestFit="1" customWidth="1"/>
    <col min="15" max="16384" width="11.42578125" style="104"/>
  </cols>
  <sheetData>
    <row r="1" spans="1:16" ht="36" customHeight="1">
      <c r="A1" s="1197" t="s">
        <v>1012</v>
      </c>
      <c r="B1" s="1197"/>
      <c r="C1" s="1197"/>
      <c r="D1" s="1197"/>
      <c r="E1" s="1197"/>
      <c r="F1" s="1197"/>
      <c r="G1" s="1197"/>
      <c r="H1" s="1197"/>
      <c r="I1" s="1197"/>
      <c r="J1" s="1197"/>
      <c r="K1" s="1197"/>
      <c r="L1" s="1197"/>
      <c r="M1" s="1197"/>
    </row>
    <row r="2" spans="1:16" ht="36" customHeight="1">
      <c r="A2" s="1197"/>
      <c r="B2" s="1197"/>
      <c r="C2" s="1197"/>
      <c r="D2" s="1197"/>
      <c r="E2" s="1197"/>
      <c r="F2" s="1197"/>
      <c r="G2" s="1197"/>
      <c r="H2" s="1197"/>
      <c r="I2" s="1197"/>
      <c r="J2" s="1197"/>
      <c r="K2" s="1197"/>
      <c r="L2" s="1197"/>
      <c r="M2" s="1197"/>
    </row>
    <row r="3" spans="1:16" ht="36" customHeight="1">
      <c r="A3" s="1197"/>
      <c r="B3" s="1197"/>
      <c r="C3" s="1197"/>
      <c r="D3" s="1197"/>
      <c r="E3" s="1197"/>
      <c r="F3" s="1197"/>
      <c r="G3" s="1197"/>
      <c r="H3" s="1197"/>
      <c r="I3" s="1197"/>
      <c r="J3" s="1197"/>
      <c r="K3" s="1197"/>
      <c r="L3" s="1197"/>
      <c r="M3" s="1197"/>
    </row>
    <row r="4" spans="1:16" ht="18">
      <c r="A4" s="648"/>
      <c r="B4" s="648"/>
      <c r="C4" s="648"/>
      <c r="D4" s="648"/>
      <c r="E4" s="648"/>
      <c r="F4" s="648"/>
      <c r="G4" s="648"/>
      <c r="H4" s="648"/>
      <c r="I4" s="648"/>
      <c r="J4" s="316"/>
      <c r="K4" s="648"/>
      <c r="L4" s="648"/>
      <c r="M4" s="648"/>
    </row>
    <row r="5" spans="1:16" ht="20.25">
      <c r="A5" s="1197" t="s">
        <v>0</v>
      </c>
      <c r="B5" s="1197"/>
      <c r="C5" s="1197"/>
      <c r="D5" s="1197"/>
      <c r="E5" s="1197"/>
      <c r="F5" s="1197"/>
      <c r="G5" s="1197"/>
      <c r="H5" s="1197"/>
      <c r="I5" s="1197"/>
      <c r="J5" s="1197"/>
      <c r="K5" s="1197"/>
      <c r="L5" s="1197"/>
      <c r="M5" s="1197"/>
    </row>
    <row r="6" spans="1:16" ht="23.25" customHeight="1" thickBot="1">
      <c r="A6" s="648"/>
      <c r="B6" s="648"/>
      <c r="C6" s="648"/>
      <c r="D6" s="648"/>
      <c r="E6" s="648"/>
      <c r="F6" s="648"/>
      <c r="G6" s="648"/>
      <c r="H6" s="648"/>
      <c r="I6" s="648"/>
      <c r="J6" s="317"/>
      <c r="K6" s="648"/>
      <c r="L6" s="648"/>
      <c r="M6" s="648"/>
    </row>
    <row r="7" spans="1:16" ht="34.5" customHeight="1" thickBot="1">
      <c r="A7" s="1198" t="s">
        <v>1</v>
      </c>
      <c r="B7" s="1199"/>
      <c r="C7" s="1199"/>
      <c r="D7" s="1199"/>
      <c r="E7" s="1199"/>
      <c r="F7" s="105" t="s">
        <v>2</v>
      </c>
      <c r="G7" s="647"/>
      <c r="H7" s="1200" t="s">
        <v>3</v>
      </c>
      <c r="I7" s="1201"/>
      <c r="J7" s="1201"/>
      <c r="K7" s="1201"/>
      <c r="L7" s="1202"/>
      <c r="M7" s="646"/>
    </row>
    <row r="8" spans="1:16" ht="15.75" customHeight="1">
      <c r="A8" s="1159" t="s">
        <v>4</v>
      </c>
      <c r="B8" s="1160"/>
      <c r="C8" s="1160"/>
      <c r="D8" s="1160"/>
      <c r="E8" s="220"/>
      <c r="F8" s="106">
        <f>SUM(E9:E16)</f>
        <v>108935190000</v>
      </c>
      <c r="G8" s="107"/>
      <c r="H8" s="1203" t="s">
        <v>5</v>
      </c>
      <c r="I8" s="1204"/>
      <c r="J8" s="1204"/>
      <c r="K8" s="1204"/>
      <c r="L8" s="645">
        <f>F23</f>
        <v>21524378124</v>
      </c>
      <c r="M8" s="932"/>
      <c r="N8" s="933"/>
    </row>
    <row r="9" spans="1:16" ht="15.75">
      <c r="A9" s="1159" t="s">
        <v>141</v>
      </c>
      <c r="B9" s="1160"/>
      <c r="C9" s="1160"/>
      <c r="D9" s="1160"/>
      <c r="E9" s="126">
        <v>45000000000</v>
      </c>
      <c r="F9" s="108"/>
      <c r="G9" s="109"/>
      <c r="H9" s="640" t="s">
        <v>6</v>
      </c>
      <c r="I9" s="629"/>
      <c r="J9" s="302"/>
      <c r="K9" s="629"/>
      <c r="L9" s="106">
        <f>F56</f>
        <v>12503935402</v>
      </c>
      <c r="M9" s="932"/>
      <c r="N9" s="933"/>
    </row>
    <row r="10" spans="1:16" ht="16.5" thickBot="1">
      <c r="A10" s="1159" t="s">
        <v>144</v>
      </c>
      <c r="B10" s="1160"/>
      <c r="C10" s="1160"/>
      <c r="D10" s="1160"/>
      <c r="E10" s="126">
        <v>17500000000</v>
      </c>
      <c r="F10" s="108"/>
      <c r="G10" s="109"/>
      <c r="H10" s="632" t="s">
        <v>7</v>
      </c>
      <c r="I10" s="644"/>
      <c r="J10" s="318"/>
      <c r="K10" s="644"/>
      <c r="L10" s="110">
        <f>SUM(L8:L9)</f>
        <v>34028313526</v>
      </c>
      <c r="M10" s="932"/>
      <c r="N10" s="933"/>
      <c r="O10" s="796"/>
      <c r="P10" s="796"/>
    </row>
    <row r="11" spans="1:16" ht="15.75">
      <c r="A11" s="1159" t="s">
        <v>146</v>
      </c>
      <c r="B11" s="1160"/>
      <c r="C11" s="1160"/>
      <c r="D11" s="1160"/>
      <c r="E11" s="126">
        <v>25000000000</v>
      </c>
      <c r="F11" s="108"/>
      <c r="G11" s="220"/>
      <c r="H11" s="580"/>
      <c r="I11" s="580"/>
      <c r="J11" s="319"/>
      <c r="K11" s="580"/>
      <c r="L11" s="580"/>
      <c r="M11" s="932"/>
      <c r="N11" s="933"/>
      <c r="O11" s="796"/>
      <c r="P11" s="796"/>
    </row>
    <row r="12" spans="1:16" ht="16.5" thickBot="1">
      <c r="A12" s="1159" t="s">
        <v>168</v>
      </c>
      <c r="B12" s="1160"/>
      <c r="C12" s="1160"/>
      <c r="D12" s="1160"/>
      <c r="E12" s="126">
        <v>21435190000</v>
      </c>
      <c r="F12" s="108"/>
      <c r="G12" s="220"/>
      <c r="H12" s="630"/>
      <c r="I12" s="580"/>
      <c r="J12" s="320"/>
      <c r="K12" s="207"/>
      <c r="L12" s="207"/>
      <c r="M12" s="932"/>
      <c r="N12" s="933"/>
      <c r="O12" s="796"/>
      <c r="P12" s="796"/>
    </row>
    <row r="13" spans="1:16" ht="15.75">
      <c r="A13" s="1161" t="s">
        <v>8</v>
      </c>
      <c r="B13" s="1162"/>
      <c r="C13" s="1162"/>
      <c r="D13" s="1162"/>
      <c r="E13" s="642">
        <v>0</v>
      </c>
      <c r="F13" s="643"/>
      <c r="G13" s="220"/>
      <c r="H13" s="1200" t="s">
        <v>11</v>
      </c>
      <c r="I13" s="1201"/>
      <c r="J13" s="1201"/>
      <c r="K13" s="1201"/>
      <c r="L13" s="1202"/>
      <c r="M13" s="932"/>
      <c r="N13" s="933"/>
      <c r="O13" s="796"/>
      <c r="P13" s="796"/>
    </row>
    <row r="14" spans="1:16" ht="16.5" thickBot="1">
      <c r="A14" s="1161" t="s">
        <v>9</v>
      </c>
      <c r="B14" s="1162"/>
      <c r="C14" s="1162"/>
      <c r="D14" s="1162"/>
      <c r="E14" s="642">
        <v>0</v>
      </c>
      <c r="F14" s="643"/>
      <c r="G14" s="109"/>
      <c r="H14" s="1205"/>
      <c r="I14" s="1206"/>
      <c r="J14" s="1206"/>
      <c r="K14" s="1206"/>
      <c r="L14" s="1207"/>
      <c r="M14" s="932"/>
      <c r="N14" s="933"/>
      <c r="O14" s="796"/>
      <c r="P14" s="796"/>
    </row>
    <row r="15" spans="1:16" ht="15.75">
      <c r="A15" s="1161" t="s">
        <v>10</v>
      </c>
      <c r="B15" s="1162"/>
      <c r="C15" s="1162"/>
      <c r="D15" s="1162"/>
      <c r="E15" s="642">
        <v>0</v>
      </c>
      <c r="F15" s="108"/>
      <c r="G15" s="109"/>
      <c r="H15" s="683" t="s">
        <v>13</v>
      </c>
      <c r="I15" s="684"/>
      <c r="J15" s="321"/>
      <c r="K15" s="684"/>
      <c r="L15" s="732">
        <f>+L66</f>
        <v>0</v>
      </c>
      <c r="M15" s="932"/>
      <c r="N15" s="933"/>
      <c r="O15" s="796"/>
      <c r="P15" s="796"/>
    </row>
    <row r="16" spans="1:16" ht="15.75">
      <c r="A16" s="1161" t="s">
        <v>12</v>
      </c>
      <c r="B16" s="1162"/>
      <c r="C16" s="1162"/>
      <c r="D16" s="1162"/>
      <c r="E16" s="220">
        <v>0</v>
      </c>
      <c r="F16" s="108"/>
      <c r="G16" s="109"/>
      <c r="H16" s="685" t="s">
        <v>15</v>
      </c>
      <c r="I16" s="686"/>
      <c r="J16" s="322"/>
      <c r="K16" s="686"/>
      <c r="L16" s="733">
        <f>+J73</f>
        <v>1189209</v>
      </c>
      <c r="M16" s="932"/>
      <c r="N16" s="933"/>
      <c r="O16" s="796"/>
      <c r="P16" s="796"/>
    </row>
    <row r="17" spans="1:16" ht="15.75">
      <c r="A17" s="636"/>
      <c r="B17" s="580"/>
      <c r="C17" s="585"/>
      <c r="D17" s="203"/>
      <c r="E17" s="579"/>
      <c r="F17" s="108"/>
      <c r="G17" s="107"/>
      <c r="H17" s="687" t="s">
        <v>18</v>
      </c>
      <c r="I17" s="688"/>
      <c r="J17" s="302"/>
      <c r="K17" s="688"/>
      <c r="L17" s="733">
        <f>+K73</f>
        <v>163250</v>
      </c>
      <c r="M17" s="1035"/>
      <c r="N17" s="933"/>
      <c r="O17" s="796"/>
      <c r="P17" s="796"/>
    </row>
    <row r="18" spans="1:16" ht="15.75">
      <c r="A18" s="1165" t="s">
        <v>14</v>
      </c>
      <c r="B18" s="1166"/>
      <c r="C18" s="1166"/>
      <c r="D18" s="1166"/>
      <c r="E18" s="641"/>
      <c r="F18" s="106"/>
      <c r="G18" s="107"/>
      <c r="H18" s="687" t="s">
        <v>20</v>
      </c>
      <c r="I18" s="688"/>
      <c r="J18" s="302"/>
      <c r="K18" s="688"/>
      <c r="L18" s="733">
        <f>+M75</f>
        <v>5410</v>
      </c>
      <c r="M18" s="1035"/>
      <c r="N18" s="933"/>
      <c r="O18" s="796"/>
      <c r="P18" s="796"/>
    </row>
    <row r="19" spans="1:16" ht="15.75">
      <c r="A19" s="636" t="s">
        <v>16</v>
      </c>
      <c r="B19" s="580"/>
      <c r="C19" s="585"/>
      <c r="D19" s="203"/>
      <c r="E19" s="579"/>
      <c r="F19" s="635"/>
      <c r="G19" s="107"/>
      <c r="H19" s="685" t="s">
        <v>17</v>
      </c>
      <c r="I19" s="686"/>
      <c r="J19" s="322"/>
      <c r="K19" s="686"/>
      <c r="L19" s="734">
        <f>+D94+D95</f>
        <v>82249641.807462946</v>
      </c>
      <c r="M19" s="1035"/>
      <c r="N19" s="1132"/>
      <c r="O19" s="938"/>
      <c r="P19" s="796"/>
    </row>
    <row r="20" spans="1:16" ht="16.5" thickBot="1">
      <c r="A20" s="636"/>
      <c r="B20" s="580"/>
      <c r="C20" s="585"/>
      <c r="D20" s="203"/>
      <c r="E20" s="579"/>
      <c r="F20" s="635"/>
      <c r="G20" s="107"/>
      <c r="H20" s="685" t="s">
        <v>275</v>
      </c>
      <c r="I20" s="686"/>
      <c r="J20" s="322"/>
      <c r="K20" s="686"/>
      <c r="L20" s="734">
        <f>+D99</f>
        <v>328998.56722985179</v>
      </c>
      <c r="M20" s="1035"/>
      <c r="N20" s="796"/>
      <c r="O20" s="796"/>
      <c r="P20" s="796"/>
    </row>
    <row r="21" spans="1:16" ht="16.5" thickBot="1">
      <c r="A21" s="638" t="s">
        <v>19</v>
      </c>
      <c r="B21" s="628"/>
      <c r="C21" s="628"/>
      <c r="D21" s="628"/>
      <c r="E21" s="639"/>
      <c r="F21" s="111">
        <f>SUM(F8:F20)</f>
        <v>108935190000</v>
      </c>
      <c r="G21" s="107"/>
      <c r="H21" s="112" t="s">
        <v>1018</v>
      </c>
      <c r="I21" s="113"/>
      <c r="J21" s="323"/>
      <c r="K21" s="113"/>
      <c r="L21" s="735">
        <f>SUM(L15:L20)</f>
        <v>83936509.374692798</v>
      </c>
      <c r="M21" s="968"/>
      <c r="N21" s="938"/>
      <c r="O21" s="796"/>
      <c r="P21" s="796"/>
    </row>
    <row r="22" spans="1:16" ht="15.75">
      <c r="A22" s="636"/>
      <c r="B22" s="580"/>
      <c r="C22" s="585"/>
      <c r="D22" s="203"/>
      <c r="E22" s="579"/>
      <c r="F22" s="635"/>
      <c r="G22" s="107"/>
      <c r="H22" s="276" t="s">
        <v>1019</v>
      </c>
      <c r="I22" s="277"/>
      <c r="J22" s="324"/>
      <c r="K22" s="277"/>
      <c r="L22" s="881">
        <v>93692759216.922638</v>
      </c>
      <c r="M22" s="968"/>
      <c r="N22" s="938"/>
      <c r="O22" s="796"/>
      <c r="P22" s="796"/>
    </row>
    <row r="23" spans="1:16" ht="15.75">
      <c r="A23" s="638" t="s">
        <v>142</v>
      </c>
      <c r="B23" s="628"/>
      <c r="C23" s="628"/>
      <c r="D23" s="628"/>
      <c r="E23" s="637"/>
      <c r="F23" s="106">
        <v>21524378124</v>
      </c>
      <c r="G23" s="107"/>
      <c r="H23" s="633" t="s">
        <v>1013</v>
      </c>
      <c r="I23" s="634"/>
      <c r="J23" s="325"/>
      <c r="K23" s="634"/>
      <c r="L23" s="798">
        <f>L21+L22+D144</f>
        <v>93776695726.297333</v>
      </c>
      <c r="M23" s="968"/>
      <c r="N23" s="938"/>
      <c r="O23" s="796"/>
      <c r="P23" s="796"/>
    </row>
    <row r="24" spans="1:16" ht="16.5" thickBot="1">
      <c r="A24" s="636"/>
      <c r="B24" s="580"/>
      <c r="C24" s="585"/>
      <c r="D24" s="203"/>
      <c r="E24" s="580"/>
      <c r="F24" s="635"/>
      <c r="G24" s="107"/>
      <c r="H24" s="768" t="s">
        <v>1014</v>
      </c>
      <c r="I24" s="769"/>
      <c r="J24" s="326"/>
      <c r="K24" s="770"/>
      <c r="L24" s="798">
        <f>'[1]Junio - 2023'!$L$24-L67-M76-D90</f>
        <v>12562177793.556026</v>
      </c>
      <c r="M24" s="1107"/>
      <c r="N24" s="938"/>
      <c r="O24" s="796"/>
      <c r="P24" s="796"/>
    </row>
    <row r="25" spans="1:16" ht="16.5" thickBot="1">
      <c r="A25" s="1167" t="s">
        <v>21</v>
      </c>
      <c r="B25" s="1168"/>
      <c r="C25" s="1168"/>
      <c r="D25" s="1168"/>
      <c r="E25" s="113"/>
      <c r="F25" s="114">
        <f>F21</f>
        <v>108935190000</v>
      </c>
      <c r="G25" s="107"/>
      <c r="H25" s="768" t="s">
        <v>1015</v>
      </c>
      <c r="I25" s="770"/>
      <c r="J25" s="325"/>
      <c r="K25" s="770"/>
      <c r="L25" s="798">
        <f>+D102</f>
        <v>2100939691.1467762</v>
      </c>
      <c r="M25" s="968"/>
      <c r="N25" s="938"/>
      <c r="O25" s="796"/>
      <c r="P25" s="796"/>
    </row>
    <row r="26" spans="1:16" ht="15.75">
      <c r="A26" s="1023"/>
      <c r="B26" s="1023"/>
      <c r="C26" s="1023"/>
      <c r="D26" s="1023"/>
      <c r="E26" s="1024"/>
      <c r="F26" s="1025"/>
      <c r="G26" s="107"/>
      <c r="H26" s="768" t="s">
        <v>1016</v>
      </c>
      <c r="I26" s="770"/>
      <c r="J26" s="325"/>
      <c r="K26" s="770"/>
      <c r="L26" s="798">
        <f>+D147</f>
        <v>495376789</v>
      </c>
      <c r="M26" s="968"/>
      <c r="N26" s="938"/>
      <c r="O26" s="796"/>
      <c r="P26" s="796"/>
    </row>
    <row r="27" spans="1:16" ht="22.5" customHeight="1" thickBot="1">
      <c r="A27" s="631"/>
      <c r="B27" s="631"/>
      <c r="C27" s="631"/>
      <c r="D27" s="631"/>
      <c r="E27" s="630"/>
      <c r="F27" s="629"/>
      <c r="G27" s="107"/>
      <c r="H27" s="632" t="s">
        <v>1017</v>
      </c>
      <c r="I27" s="644"/>
      <c r="J27" s="318"/>
      <c r="K27" s="644"/>
      <c r="L27" s="892">
        <f>+L24+L25+L26</f>
        <v>15158494273.702803</v>
      </c>
      <c r="M27" s="968"/>
      <c r="N27" s="938"/>
      <c r="O27" s="796"/>
      <c r="P27" s="796"/>
    </row>
    <row r="28" spans="1:16" ht="15.75" customHeight="1">
      <c r="A28" s="631"/>
      <c r="B28" s="631"/>
      <c r="C28" s="631"/>
      <c r="D28" s="631"/>
      <c r="E28" s="630"/>
      <c r="F28" s="629"/>
      <c r="G28" s="628"/>
      <c r="H28" s="580"/>
      <c r="I28" s="580"/>
      <c r="L28" s="1132"/>
      <c r="M28" s="1386">
        <f>+L27+L23</f>
        <v>108935190000.00014</v>
      </c>
      <c r="N28" s="796"/>
      <c r="O28" s="796"/>
      <c r="P28" s="796"/>
    </row>
    <row r="29" spans="1:16" ht="33.75" customHeight="1" thickBot="1">
      <c r="A29" s="599" t="s">
        <v>22</v>
      </c>
      <c r="B29" s="599"/>
      <c r="C29" s="599"/>
      <c r="D29" s="599"/>
      <c r="E29" s="599"/>
      <c r="F29" s="599"/>
      <c r="G29" s="628"/>
      <c r="H29" s="580"/>
      <c r="I29" s="580"/>
      <c r="K29" s="367"/>
      <c r="L29" s="1132"/>
      <c r="M29" s="1387">
        <v>108935190000.00015</v>
      </c>
      <c r="N29" s="796"/>
      <c r="O29" s="796"/>
      <c r="P29" s="796"/>
    </row>
    <row r="30" spans="1:16" ht="15.75" customHeight="1">
      <c r="A30" s="1154" t="s">
        <v>23</v>
      </c>
      <c r="B30" s="1156" t="s">
        <v>24</v>
      </c>
      <c r="C30" s="1156" t="s">
        <v>25</v>
      </c>
      <c r="D30" s="1156"/>
      <c r="E30" s="1156" t="s">
        <v>26</v>
      </c>
      <c r="F30" s="1156" t="s">
        <v>27</v>
      </c>
      <c r="G30" s="1156"/>
      <c r="H30" s="1175" t="s">
        <v>143</v>
      </c>
      <c r="I30" s="1175" t="s">
        <v>45</v>
      </c>
      <c r="J30" s="1170" t="s">
        <v>46</v>
      </c>
      <c r="L30" s="367"/>
      <c r="M30" s="1387">
        <f>+M29-M28</f>
        <v>0</v>
      </c>
      <c r="N30" s="796"/>
      <c r="O30" s="796"/>
      <c r="P30" s="796"/>
    </row>
    <row r="31" spans="1:16" ht="15.75" thickBot="1">
      <c r="A31" s="1163"/>
      <c r="B31" s="1158"/>
      <c r="C31" s="1158"/>
      <c r="D31" s="1158"/>
      <c r="E31" s="1158"/>
      <c r="F31" s="1158"/>
      <c r="G31" s="1158"/>
      <c r="H31" s="1176"/>
      <c r="I31" s="1176"/>
      <c r="J31" s="1171"/>
      <c r="M31" s="900"/>
      <c r="N31" s="796"/>
      <c r="O31" s="796"/>
    </row>
    <row r="32" spans="1:16" ht="15.75">
      <c r="A32" s="627">
        <v>1</v>
      </c>
      <c r="B32" s="626">
        <v>44155</v>
      </c>
      <c r="C32" s="1174" t="s">
        <v>170</v>
      </c>
      <c r="D32" s="1174"/>
      <c r="E32" s="625">
        <v>800012873</v>
      </c>
      <c r="F32" s="1180">
        <v>500000000</v>
      </c>
      <c r="G32" s="1180"/>
      <c r="H32" s="572">
        <v>877803000</v>
      </c>
      <c r="I32" s="388">
        <f t="shared" ref="I32:I52" si="0">+H32+F32</f>
        <v>1377803000</v>
      </c>
      <c r="J32" s="239">
        <f t="shared" ref="J32:J55" si="1">+F32/I32</f>
        <v>0.36289658245772438</v>
      </c>
      <c r="M32" s="901"/>
      <c r="N32" s="796"/>
      <c r="O32" s="796"/>
    </row>
    <row r="33" spans="1:15" ht="15.75">
      <c r="A33" s="624">
        <v>2</v>
      </c>
      <c r="B33" s="623">
        <v>44133</v>
      </c>
      <c r="C33" s="1153" t="s">
        <v>208</v>
      </c>
      <c r="D33" s="1153"/>
      <c r="E33" s="622">
        <v>890980093</v>
      </c>
      <c r="F33" s="1169">
        <v>1000000000</v>
      </c>
      <c r="G33" s="1169"/>
      <c r="H33" s="567">
        <v>1000000000</v>
      </c>
      <c r="I33" s="568">
        <f t="shared" si="0"/>
        <v>2000000000</v>
      </c>
      <c r="J33" s="570">
        <f t="shared" si="1"/>
        <v>0.5</v>
      </c>
      <c r="M33" s="901"/>
      <c r="N33" s="796"/>
      <c r="O33" s="796"/>
    </row>
    <row r="34" spans="1:15" ht="15.75">
      <c r="A34" s="624">
        <v>4</v>
      </c>
      <c r="B34" s="623">
        <v>44133</v>
      </c>
      <c r="C34" s="1153" t="s">
        <v>179</v>
      </c>
      <c r="D34" s="1153"/>
      <c r="E34" s="622">
        <v>892099475</v>
      </c>
      <c r="F34" s="1169">
        <v>300000000</v>
      </c>
      <c r="G34" s="1169"/>
      <c r="H34" s="567">
        <v>600000000</v>
      </c>
      <c r="I34" s="568">
        <f t="shared" si="0"/>
        <v>900000000</v>
      </c>
      <c r="J34" s="570">
        <f t="shared" si="1"/>
        <v>0.33333333333333331</v>
      </c>
      <c r="M34" s="901"/>
      <c r="N34" s="796"/>
      <c r="O34" s="796"/>
    </row>
    <row r="35" spans="1:15" ht="15.75">
      <c r="A35" s="624">
        <v>5</v>
      </c>
      <c r="B35" s="623">
        <v>44180</v>
      </c>
      <c r="C35" s="1153" t="s">
        <v>180</v>
      </c>
      <c r="D35" s="1153"/>
      <c r="E35" s="622">
        <v>800013676</v>
      </c>
      <c r="F35" s="1169">
        <v>300000000</v>
      </c>
      <c r="G35" s="1169"/>
      <c r="H35" s="567">
        <v>600000000</v>
      </c>
      <c r="I35" s="568">
        <f t="shared" si="0"/>
        <v>900000000</v>
      </c>
      <c r="J35" s="570">
        <f t="shared" si="1"/>
        <v>0.33333333333333331</v>
      </c>
      <c r="M35" s="901"/>
      <c r="N35" s="796"/>
      <c r="O35" s="796"/>
    </row>
    <row r="36" spans="1:15" ht="15.75">
      <c r="A36" s="624">
        <v>6</v>
      </c>
      <c r="B36" s="623">
        <v>44176</v>
      </c>
      <c r="C36" s="1153" t="s">
        <v>169</v>
      </c>
      <c r="D36" s="1153"/>
      <c r="E36" s="622">
        <v>890980096</v>
      </c>
      <c r="F36" s="1169">
        <v>300000000</v>
      </c>
      <c r="G36" s="1169"/>
      <c r="H36" s="567">
        <v>600000000</v>
      </c>
      <c r="I36" s="568">
        <f t="shared" si="0"/>
        <v>900000000</v>
      </c>
      <c r="J36" s="570">
        <f t="shared" si="1"/>
        <v>0.33333333333333331</v>
      </c>
      <c r="M36" s="901"/>
    </row>
    <row r="37" spans="1:15" ht="15.75">
      <c r="A37" s="624">
        <v>8</v>
      </c>
      <c r="B37" s="623">
        <v>44154</v>
      </c>
      <c r="C37" s="1153" t="s">
        <v>209</v>
      </c>
      <c r="D37" s="1153"/>
      <c r="E37" s="622">
        <v>891180022</v>
      </c>
      <c r="F37" s="1169">
        <v>300000000</v>
      </c>
      <c r="G37" s="1169"/>
      <c r="H37" s="567">
        <v>600000000</v>
      </c>
      <c r="I37" s="568">
        <f t="shared" si="0"/>
        <v>900000000</v>
      </c>
      <c r="J37" s="570">
        <f t="shared" si="1"/>
        <v>0.33333333333333331</v>
      </c>
      <c r="M37" s="901"/>
    </row>
    <row r="38" spans="1:15" ht="15.75">
      <c r="A38" s="624">
        <v>9</v>
      </c>
      <c r="B38" s="623">
        <v>44182</v>
      </c>
      <c r="C38" s="1153" t="s">
        <v>210</v>
      </c>
      <c r="D38" s="1153"/>
      <c r="E38" s="622">
        <v>892280021</v>
      </c>
      <c r="F38" s="1169">
        <v>571000000</v>
      </c>
      <c r="G38" s="1169"/>
      <c r="H38" s="567">
        <v>856500000</v>
      </c>
      <c r="I38" s="568">
        <f t="shared" si="0"/>
        <v>1427500000</v>
      </c>
      <c r="J38" s="570">
        <f t="shared" si="1"/>
        <v>0.4</v>
      </c>
      <c r="M38" s="901"/>
    </row>
    <row r="39" spans="1:15" ht="15.75">
      <c r="A39" s="624">
        <v>10</v>
      </c>
      <c r="B39" s="623">
        <v>44155</v>
      </c>
      <c r="C39" s="1153" t="s">
        <v>181</v>
      </c>
      <c r="D39" s="1153"/>
      <c r="E39" s="622">
        <v>800100137</v>
      </c>
      <c r="F39" s="1169">
        <v>308000000</v>
      </c>
      <c r="G39" s="1169"/>
      <c r="H39" s="567">
        <v>616000000</v>
      </c>
      <c r="I39" s="569">
        <f t="shared" si="0"/>
        <v>924000000</v>
      </c>
      <c r="J39" s="571">
        <f t="shared" si="1"/>
        <v>0.33333333333333331</v>
      </c>
      <c r="M39" s="901"/>
    </row>
    <row r="40" spans="1:15" ht="15.75">
      <c r="A40" s="624">
        <v>12</v>
      </c>
      <c r="B40" s="623">
        <v>44165</v>
      </c>
      <c r="C40" s="1153" t="s">
        <v>182</v>
      </c>
      <c r="D40" s="1153"/>
      <c r="E40" s="622">
        <v>890980447</v>
      </c>
      <c r="F40" s="1169">
        <v>600000000</v>
      </c>
      <c r="G40" s="1169"/>
      <c r="H40" s="567">
        <v>900000000</v>
      </c>
      <c r="I40" s="569">
        <f t="shared" si="0"/>
        <v>1500000000</v>
      </c>
      <c r="J40" s="571">
        <f t="shared" si="1"/>
        <v>0.4</v>
      </c>
      <c r="M40" s="901"/>
    </row>
    <row r="41" spans="1:15" ht="15.75">
      <c r="A41" s="624">
        <v>13</v>
      </c>
      <c r="B41" s="623">
        <v>44155</v>
      </c>
      <c r="C41" s="1153" t="s">
        <v>183</v>
      </c>
      <c r="D41" s="1153"/>
      <c r="E41" s="622">
        <v>891900353</v>
      </c>
      <c r="F41" s="1164">
        <f>350000000-51483757</f>
        <v>298516243</v>
      </c>
      <c r="G41" s="1164"/>
      <c r="H41" s="567">
        <v>700000000</v>
      </c>
      <c r="I41" s="569">
        <f t="shared" si="0"/>
        <v>998516243</v>
      </c>
      <c r="J41" s="995">
        <v>0.33333000000000002</v>
      </c>
      <c r="M41" s="901"/>
    </row>
    <row r="42" spans="1:15" ht="15.75">
      <c r="A42" s="624">
        <v>14</v>
      </c>
      <c r="B42" s="623">
        <v>44165</v>
      </c>
      <c r="C42" s="1153" t="s">
        <v>184</v>
      </c>
      <c r="D42" s="1153"/>
      <c r="E42" s="622">
        <v>890982616</v>
      </c>
      <c r="F42" s="1169">
        <v>600000000</v>
      </c>
      <c r="G42" s="1169"/>
      <c r="H42" s="567">
        <v>877803000</v>
      </c>
      <c r="I42" s="569">
        <f t="shared" si="0"/>
        <v>1477803000</v>
      </c>
      <c r="J42" s="571">
        <f t="shared" si="1"/>
        <v>0.40600810798191639</v>
      </c>
      <c r="M42" s="115"/>
    </row>
    <row r="43" spans="1:15" ht="15.75">
      <c r="A43" s="624">
        <v>15</v>
      </c>
      <c r="B43" s="623">
        <v>44180</v>
      </c>
      <c r="C43" s="1153" t="s">
        <v>185</v>
      </c>
      <c r="D43" s="1153"/>
      <c r="E43" s="622">
        <v>800096765</v>
      </c>
      <c r="F43" s="1169">
        <v>500000000</v>
      </c>
      <c r="G43" s="1169"/>
      <c r="H43" s="567">
        <v>877803000</v>
      </c>
      <c r="I43" s="569">
        <f t="shared" si="0"/>
        <v>1377803000</v>
      </c>
      <c r="J43" s="571">
        <f t="shared" si="1"/>
        <v>0.36289658245772438</v>
      </c>
      <c r="M43" s="115"/>
    </row>
    <row r="44" spans="1:15" ht="15.75">
      <c r="A44" s="624">
        <v>16</v>
      </c>
      <c r="B44" s="623">
        <v>44155</v>
      </c>
      <c r="C44" s="1153" t="s">
        <v>186</v>
      </c>
      <c r="D44" s="1153"/>
      <c r="E44" s="622">
        <v>890201900</v>
      </c>
      <c r="F44" s="1169">
        <v>750000000</v>
      </c>
      <c r="G44" s="1169"/>
      <c r="H44" s="567">
        <v>750000000</v>
      </c>
      <c r="I44" s="569">
        <f t="shared" si="0"/>
        <v>1500000000</v>
      </c>
      <c r="J44" s="571">
        <f t="shared" si="1"/>
        <v>0.5</v>
      </c>
      <c r="M44" s="115"/>
    </row>
    <row r="45" spans="1:15" ht="15.75">
      <c r="A45" s="624">
        <v>17</v>
      </c>
      <c r="B45" s="623">
        <v>44180</v>
      </c>
      <c r="C45" s="1153" t="s">
        <v>211</v>
      </c>
      <c r="D45" s="1153"/>
      <c r="E45" s="622">
        <v>900084407</v>
      </c>
      <c r="F45" s="1169">
        <v>746132550</v>
      </c>
      <c r="G45" s="1169"/>
      <c r="H45" s="567">
        <v>746132550</v>
      </c>
      <c r="I45" s="569">
        <f t="shared" si="0"/>
        <v>1492265100</v>
      </c>
      <c r="J45" s="571">
        <f t="shared" si="1"/>
        <v>0.5</v>
      </c>
      <c r="M45" s="115"/>
    </row>
    <row r="46" spans="1:15" ht="15.75" customHeight="1">
      <c r="A46" s="624">
        <v>18</v>
      </c>
      <c r="B46" s="623">
        <v>44175</v>
      </c>
      <c r="C46" s="1153" t="s">
        <v>222</v>
      </c>
      <c r="D46" s="1153"/>
      <c r="E46" s="622">
        <v>860039273</v>
      </c>
      <c r="F46" s="1164">
        <f>1000000000-539183391-88530000</f>
        <v>372286609</v>
      </c>
      <c r="G46" s="1164"/>
      <c r="H46" s="567">
        <v>1000000000</v>
      </c>
      <c r="I46" s="569">
        <f>+H46+F46</f>
        <v>1372286609</v>
      </c>
      <c r="J46" s="995">
        <v>0.5</v>
      </c>
      <c r="M46" s="115"/>
    </row>
    <row r="47" spans="1:15" ht="15.75" customHeight="1">
      <c r="A47" s="624">
        <v>19</v>
      </c>
      <c r="B47" s="623">
        <v>44188</v>
      </c>
      <c r="C47" s="1153" t="s">
        <v>187</v>
      </c>
      <c r="D47" s="1153"/>
      <c r="E47" s="622">
        <v>900156833</v>
      </c>
      <c r="F47" s="1169">
        <v>750000000</v>
      </c>
      <c r="G47" s="1169"/>
      <c r="H47" s="567">
        <v>750000000</v>
      </c>
      <c r="I47" s="569">
        <f t="shared" si="0"/>
        <v>1500000000</v>
      </c>
      <c r="J47" s="571">
        <f t="shared" si="1"/>
        <v>0.5</v>
      </c>
      <c r="M47" s="115"/>
    </row>
    <row r="48" spans="1:15" ht="15.75" customHeight="1">
      <c r="A48" s="624">
        <v>20</v>
      </c>
      <c r="B48" s="623">
        <v>44242</v>
      </c>
      <c r="C48" s="1153" t="s">
        <v>236</v>
      </c>
      <c r="D48" s="1153"/>
      <c r="E48" s="622">
        <v>830114475</v>
      </c>
      <c r="F48" s="1169">
        <v>1000000000</v>
      </c>
      <c r="G48" s="1169"/>
      <c r="H48" s="567">
        <v>1000000000</v>
      </c>
      <c r="I48" s="569">
        <f t="shared" si="0"/>
        <v>2000000000</v>
      </c>
      <c r="J48" s="571">
        <f t="shared" si="1"/>
        <v>0.5</v>
      </c>
      <c r="M48" s="115"/>
    </row>
    <row r="49" spans="1:13" ht="15.75" customHeight="1">
      <c r="A49" s="624">
        <v>21</v>
      </c>
      <c r="B49" s="623">
        <v>44340</v>
      </c>
      <c r="C49" s="1153" t="s">
        <v>296</v>
      </c>
      <c r="D49" s="1153"/>
      <c r="E49" s="622">
        <v>891480027</v>
      </c>
      <c r="F49" s="1169">
        <v>273000000</v>
      </c>
      <c r="G49" s="1169"/>
      <c r="H49" s="567">
        <v>546000000</v>
      </c>
      <c r="I49" s="569">
        <f t="shared" si="0"/>
        <v>819000000</v>
      </c>
      <c r="J49" s="571">
        <f t="shared" si="1"/>
        <v>0.33333333333333331</v>
      </c>
      <c r="M49" s="115"/>
    </row>
    <row r="50" spans="1:13" ht="15.75" customHeight="1">
      <c r="A50" s="624">
        <v>22</v>
      </c>
      <c r="B50" s="623">
        <v>44319</v>
      </c>
      <c r="C50" s="1153" t="s">
        <v>269</v>
      </c>
      <c r="D50" s="1153"/>
      <c r="E50" s="622">
        <v>890801053</v>
      </c>
      <c r="F50" s="1164">
        <f>800000000+685000000</f>
        <v>1485000000</v>
      </c>
      <c r="G50" s="1164"/>
      <c r="H50" s="567">
        <v>800000000</v>
      </c>
      <c r="I50" s="569">
        <f t="shared" si="0"/>
        <v>2285000000</v>
      </c>
      <c r="J50" s="995">
        <v>0.5</v>
      </c>
      <c r="M50" s="115"/>
    </row>
    <row r="51" spans="1:13" ht="15.75" customHeight="1">
      <c r="A51" s="624">
        <v>23</v>
      </c>
      <c r="B51" s="623">
        <v>44356</v>
      </c>
      <c r="C51" s="1153" t="s">
        <v>295</v>
      </c>
      <c r="D51" s="1153"/>
      <c r="E51" s="622">
        <v>800103927</v>
      </c>
      <c r="F51" s="1169">
        <v>650000000</v>
      </c>
      <c r="G51" s="1169"/>
      <c r="H51" s="567">
        <v>900000000</v>
      </c>
      <c r="I51" s="569">
        <f t="shared" si="0"/>
        <v>1550000000</v>
      </c>
      <c r="J51" s="571">
        <f t="shared" si="1"/>
        <v>0.41935483870967744</v>
      </c>
      <c r="M51" s="115"/>
    </row>
    <row r="52" spans="1:13" ht="15.75" customHeight="1">
      <c r="A52" s="624">
        <v>25</v>
      </c>
      <c r="B52" s="623">
        <v>44410</v>
      </c>
      <c r="C52" s="1153" t="s">
        <v>299</v>
      </c>
      <c r="D52" s="1153"/>
      <c r="E52" s="622">
        <v>892001457</v>
      </c>
      <c r="F52" s="1169">
        <v>600000000</v>
      </c>
      <c r="G52" s="1169"/>
      <c r="H52" s="567">
        <v>900000000</v>
      </c>
      <c r="I52" s="569">
        <f t="shared" si="0"/>
        <v>1500000000</v>
      </c>
      <c r="J52" s="571">
        <f t="shared" si="1"/>
        <v>0.4</v>
      </c>
      <c r="M52" s="115"/>
    </row>
    <row r="53" spans="1:13" ht="15.75" customHeight="1">
      <c r="A53" s="624">
        <v>24</v>
      </c>
      <c r="B53" s="623">
        <v>44419</v>
      </c>
      <c r="C53" s="1153" t="s">
        <v>379</v>
      </c>
      <c r="D53" s="1153"/>
      <c r="E53" s="622">
        <v>892115007</v>
      </c>
      <c r="F53" s="1169">
        <v>300000000</v>
      </c>
      <c r="G53" s="1169"/>
      <c r="H53" s="567">
        <v>600000000</v>
      </c>
      <c r="I53" s="569">
        <v>900000000</v>
      </c>
      <c r="J53" s="571">
        <f t="shared" si="1"/>
        <v>0.33333333333333331</v>
      </c>
      <c r="M53" s="115"/>
    </row>
    <row r="54" spans="1:13" ht="15.75" customHeight="1">
      <c r="A54" s="624" t="s">
        <v>233</v>
      </c>
      <c r="B54" s="623"/>
      <c r="C54" s="1153" t="s">
        <v>234</v>
      </c>
      <c r="D54" s="1153"/>
      <c r="E54" s="622"/>
      <c r="F54" s="1169">
        <v>0</v>
      </c>
      <c r="G54" s="1169"/>
      <c r="H54" s="567">
        <f>800000000-20240495</f>
        <v>779759505</v>
      </c>
      <c r="I54" s="569">
        <f>+H54+F54</f>
        <v>779759505</v>
      </c>
      <c r="J54" s="571">
        <f t="shared" si="1"/>
        <v>0</v>
      </c>
      <c r="M54" s="115"/>
    </row>
    <row r="55" spans="1:13" ht="15.75" customHeight="1">
      <c r="A55" s="624" t="s">
        <v>233</v>
      </c>
      <c r="B55" s="623"/>
      <c r="C55" s="1153" t="s">
        <v>235</v>
      </c>
      <c r="D55" s="1153"/>
      <c r="E55" s="622"/>
      <c r="F55" s="1169">
        <v>0</v>
      </c>
      <c r="G55" s="1169"/>
      <c r="H55" s="568">
        <v>3646577069</v>
      </c>
      <c r="I55" s="569">
        <f>+H55+F55</f>
        <v>3646577069</v>
      </c>
      <c r="J55" s="571">
        <f t="shared" si="1"/>
        <v>0</v>
      </c>
      <c r="M55" s="115"/>
    </row>
    <row r="56" spans="1:13" ht="16.5" thickBot="1">
      <c r="A56" s="1185" t="s">
        <v>28</v>
      </c>
      <c r="B56" s="1186"/>
      <c r="C56" s="1186"/>
      <c r="D56" s="1186"/>
      <c r="E56" s="1186"/>
      <c r="F56" s="1179">
        <f>SUM(F32:F55)</f>
        <v>12503935402</v>
      </c>
      <c r="G56" s="1179"/>
      <c r="H56" s="389">
        <f>SUM(H32:H55)</f>
        <v>21524378124</v>
      </c>
      <c r="I56" s="389">
        <f>+H56+F56</f>
        <v>34028313526</v>
      </c>
      <c r="J56" s="237">
        <f>+F56/I56</f>
        <v>0.36745680600497943</v>
      </c>
      <c r="M56" s="115"/>
    </row>
    <row r="57" spans="1:13" ht="32.25" customHeight="1">
      <c r="A57" s="403"/>
      <c r="B57" s="403"/>
      <c r="C57" s="403"/>
      <c r="D57" s="403"/>
      <c r="E57" s="403"/>
      <c r="F57" s="403"/>
      <c r="G57" s="403"/>
      <c r="H57" s="1190" t="s">
        <v>496</v>
      </c>
      <c r="I57" s="1190"/>
      <c r="J57" s="1190"/>
      <c r="M57" s="603"/>
    </row>
    <row r="58" spans="1:13" ht="54" customHeight="1">
      <c r="A58" s="403"/>
      <c r="B58" s="403"/>
      <c r="C58" s="403"/>
      <c r="D58" s="403"/>
      <c r="E58" s="403"/>
      <c r="F58" s="403"/>
      <c r="G58" s="403"/>
      <c r="H58" s="1190"/>
      <c r="I58" s="1190"/>
      <c r="J58" s="1190"/>
      <c r="M58" s="603"/>
    </row>
    <row r="59" spans="1:13" s="116" customFormat="1" ht="24" customHeight="1">
      <c r="A59" s="1189" t="s">
        <v>29</v>
      </c>
      <c r="B59" s="1189"/>
      <c r="C59" s="1189"/>
      <c r="D59" s="1189"/>
      <c r="E59" s="1189"/>
      <c r="F59" s="1189"/>
      <c r="G59" s="605"/>
      <c r="H59" s="604"/>
      <c r="I59" s="387"/>
      <c r="J59" s="328"/>
      <c r="K59" s="604"/>
      <c r="L59" s="604"/>
      <c r="M59" s="603"/>
    </row>
    <row r="60" spans="1:13" ht="15.75">
      <c r="A60" s="605"/>
      <c r="B60" s="605"/>
      <c r="C60" s="605"/>
      <c r="D60" s="605"/>
      <c r="E60" s="605"/>
      <c r="F60" s="605"/>
      <c r="G60" s="605"/>
      <c r="H60" s="604"/>
      <c r="I60" s="621"/>
      <c r="J60" s="328"/>
      <c r="K60" s="604"/>
      <c r="L60" s="604"/>
      <c r="M60" s="603"/>
    </row>
    <row r="61" spans="1:13" ht="16.5" thickBot="1">
      <c r="A61" s="599" t="s">
        <v>30</v>
      </c>
      <c r="B61" s="598"/>
      <c r="C61" s="598"/>
      <c r="D61" s="598"/>
      <c r="E61" s="598"/>
      <c r="F61" s="598"/>
      <c r="G61" s="598"/>
      <c r="H61" s="598"/>
      <c r="I61" s="598"/>
      <c r="J61" s="278"/>
      <c r="K61" s="598"/>
      <c r="L61" s="598"/>
      <c r="M61" s="597"/>
    </row>
    <row r="62" spans="1:13" ht="63" customHeight="1">
      <c r="A62" s="1154" t="s">
        <v>31</v>
      </c>
      <c r="B62" s="1156" t="s">
        <v>32</v>
      </c>
      <c r="C62" s="1156" t="s">
        <v>33</v>
      </c>
      <c r="D62" s="1156" t="s">
        <v>34</v>
      </c>
      <c r="E62" s="1156" t="s">
        <v>35</v>
      </c>
      <c r="F62" s="1181" t="s">
        <v>36</v>
      </c>
      <c r="G62" s="1182"/>
      <c r="H62" s="1156" t="s">
        <v>26</v>
      </c>
      <c r="I62" s="1156" t="s">
        <v>37</v>
      </c>
      <c r="J62" s="1172" t="s">
        <v>38</v>
      </c>
      <c r="K62" s="1177" t="s">
        <v>39</v>
      </c>
      <c r="L62" s="1170" t="s">
        <v>40</v>
      </c>
      <c r="M62" s="616"/>
    </row>
    <row r="63" spans="1:13" ht="15.75" thickBot="1">
      <c r="A63" s="1163"/>
      <c r="B63" s="1158"/>
      <c r="C63" s="1158"/>
      <c r="D63" s="1158"/>
      <c r="E63" s="1158"/>
      <c r="F63" s="1183"/>
      <c r="G63" s="1184"/>
      <c r="H63" s="1158"/>
      <c r="I63" s="1158"/>
      <c r="J63" s="1173"/>
      <c r="K63" s="1178"/>
      <c r="L63" s="1171"/>
      <c r="M63" s="616"/>
    </row>
    <row r="64" spans="1:13" ht="54" customHeight="1">
      <c r="A64" s="620"/>
      <c r="B64" s="618"/>
      <c r="C64" s="618"/>
      <c r="D64" s="619"/>
      <c r="E64" s="618"/>
      <c r="F64" s="1192"/>
      <c r="G64" s="1193"/>
      <c r="H64" s="117"/>
      <c r="I64" s="618"/>
      <c r="J64" s="329"/>
      <c r="K64" s="617"/>
      <c r="L64" s="329"/>
      <c r="M64" s="616"/>
    </row>
    <row r="65" spans="1:15" ht="15.75" thickBot="1">
      <c r="A65" s="615"/>
      <c r="B65" s="613"/>
      <c r="C65" s="614"/>
      <c r="D65" s="613"/>
      <c r="E65" s="613"/>
      <c r="F65" s="612"/>
      <c r="G65" s="611"/>
      <c r="H65" s="610"/>
      <c r="I65" s="609"/>
      <c r="J65" s="330"/>
      <c r="K65" s="118"/>
      <c r="L65" s="119"/>
      <c r="M65" s="579"/>
    </row>
    <row r="66" spans="1:15" s="116" customFormat="1" ht="24" customHeight="1" thickBot="1">
      <c r="A66" s="608"/>
      <c r="B66" s="608"/>
      <c r="C66" s="608"/>
      <c r="D66" s="608"/>
      <c r="E66" s="608"/>
      <c r="F66" s="608"/>
      <c r="G66" s="602"/>
      <c r="H66" s="607"/>
      <c r="I66" s="606" t="s">
        <v>41</v>
      </c>
      <c r="J66" s="331">
        <f>SUM(J64:J65)</f>
        <v>0</v>
      </c>
      <c r="K66" s="120">
        <f>SUM(K64:K65)</f>
        <v>0</v>
      </c>
      <c r="L66" s="336">
        <f>SUM(L64:L65)</f>
        <v>0</v>
      </c>
      <c r="M66" s="603"/>
    </row>
    <row r="67" spans="1:15" ht="15" customHeight="1" thickBot="1">
      <c r="A67" s="605"/>
      <c r="B67" s="605"/>
      <c r="C67" s="605"/>
      <c r="D67" s="605"/>
      <c r="E67" s="605"/>
      <c r="F67" s="605"/>
      <c r="G67" s="605"/>
      <c r="H67" s="604"/>
      <c r="I67" s="1222" t="s">
        <v>1027</v>
      </c>
      <c r="J67" s="1223"/>
      <c r="K67" s="1223"/>
      <c r="L67" s="337">
        <f>+L66</f>
        <v>0</v>
      </c>
      <c r="M67" s="603"/>
    </row>
    <row r="68" spans="1:15" ht="15.75" customHeight="1" thickBot="1">
      <c r="A68" s="599" t="s">
        <v>42</v>
      </c>
      <c r="B68" s="598"/>
      <c r="C68" s="598"/>
      <c r="D68" s="598"/>
      <c r="E68" s="598"/>
      <c r="F68" s="598"/>
      <c r="G68" s="598"/>
      <c r="H68" s="598"/>
      <c r="I68" s="598"/>
      <c r="J68" s="278"/>
      <c r="K68" s="598"/>
      <c r="L68" s="598"/>
      <c r="M68" s="597"/>
    </row>
    <row r="69" spans="1:15" s="183" customFormat="1" ht="16.5" customHeight="1">
      <c r="A69" s="1154" t="s">
        <v>31</v>
      </c>
      <c r="B69" s="1156" t="s">
        <v>32</v>
      </c>
      <c r="C69" s="1156" t="s">
        <v>33</v>
      </c>
      <c r="D69" s="1156" t="s">
        <v>34</v>
      </c>
      <c r="E69" s="1156" t="s">
        <v>35</v>
      </c>
      <c r="F69" s="1181" t="s">
        <v>36</v>
      </c>
      <c r="G69" s="1182"/>
      <c r="H69" s="1156" t="s">
        <v>26</v>
      </c>
      <c r="I69" s="1156" t="s">
        <v>37</v>
      </c>
      <c r="J69" s="1172" t="s">
        <v>38</v>
      </c>
      <c r="K69" s="1177" t="s">
        <v>39</v>
      </c>
      <c r="L69" s="1175" t="s">
        <v>40</v>
      </c>
      <c r="M69" s="1170" t="s">
        <v>20</v>
      </c>
    </row>
    <row r="70" spans="1:15" s="183" customFormat="1" ht="15">
      <c r="A70" s="1155"/>
      <c r="B70" s="1157"/>
      <c r="C70" s="1157"/>
      <c r="D70" s="1157"/>
      <c r="E70" s="1157"/>
      <c r="F70" s="1194"/>
      <c r="G70" s="1195"/>
      <c r="H70" s="1157"/>
      <c r="I70" s="1157"/>
      <c r="J70" s="1188"/>
      <c r="K70" s="1191"/>
      <c r="L70" s="1196"/>
      <c r="M70" s="1187"/>
    </row>
    <row r="71" spans="1:15" s="183" customFormat="1" ht="59.25" customHeight="1">
      <c r="A71" s="911">
        <v>45132</v>
      </c>
      <c r="B71" s="912">
        <v>7586</v>
      </c>
      <c r="C71" s="912" t="s">
        <v>1034</v>
      </c>
      <c r="D71" s="912" t="s">
        <v>1035</v>
      </c>
      <c r="E71" s="913">
        <v>944</v>
      </c>
      <c r="F71" s="1226" t="s">
        <v>1036</v>
      </c>
      <c r="G71" s="1227"/>
      <c r="H71" s="914">
        <v>53164835</v>
      </c>
      <c r="I71" s="915" t="s">
        <v>1037</v>
      </c>
      <c r="J71" s="916">
        <v>330000</v>
      </c>
      <c r="K71" s="941">
        <v>0</v>
      </c>
      <c r="L71" s="917">
        <f>+J71+K71</f>
        <v>330000</v>
      </c>
      <c r="M71" s="918">
        <f>+ROUND(L71*0.004,0)</f>
        <v>1320</v>
      </c>
    </row>
    <row r="72" spans="1:15" s="876" customFormat="1" ht="68.25" customHeight="1" thickBot="1">
      <c r="A72" s="911">
        <v>45132</v>
      </c>
      <c r="B72" s="912">
        <v>199</v>
      </c>
      <c r="C72" s="912" t="s">
        <v>650</v>
      </c>
      <c r="D72" s="912" t="s">
        <v>651</v>
      </c>
      <c r="E72" s="913">
        <v>2</v>
      </c>
      <c r="F72" s="1226" t="s">
        <v>1038</v>
      </c>
      <c r="G72" s="1227"/>
      <c r="H72" s="914">
        <v>800141235</v>
      </c>
      <c r="I72" s="915" t="s">
        <v>660</v>
      </c>
      <c r="J72" s="916">
        <v>859209</v>
      </c>
      <c r="K72" s="941">
        <v>163250</v>
      </c>
      <c r="L72" s="917">
        <f>+J72+K72</f>
        <v>1022459</v>
      </c>
      <c r="M72" s="918">
        <f>+ROUND(L72*0.004,0)</f>
        <v>4090</v>
      </c>
      <c r="N72" s="982"/>
      <c r="O72" s="902"/>
    </row>
    <row r="73" spans="1:15" ht="16.5" thickBot="1">
      <c r="A73" s="591"/>
      <c r="B73" s="591"/>
      <c r="C73" s="594"/>
      <c r="D73" s="593"/>
      <c r="E73" s="1036"/>
      <c r="F73" s="1036"/>
      <c r="G73" s="1037"/>
      <c r="H73" s="1038"/>
      <c r="I73" s="606" t="s">
        <v>41</v>
      </c>
      <c r="J73" s="790">
        <f>+ROUND(SUM(J71:J72),0)</f>
        <v>1189209</v>
      </c>
      <c r="K73" s="790">
        <f>+ROUND(SUM(K71:K72),0)</f>
        <v>163250</v>
      </c>
      <c r="L73" s="790">
        <f>+ROUND(SUM(L71:L72),0)</f>
        <v>1352459</v>
      </c>
      <c r="M73" s="790">
        <f>+ROUND(SUM(M71:M72),0)</f>
        <v>5410</v>
      </c>
      <c r="N73" s="983"/>
    </row>
    <row r="74" spans="1:15" ht="15.75">
      <c r="A74" s="591"/>
      <c r="B74" s="591"/>
      <c r="C74" s="594"/>
      <c r="D74" s="593"/>
      <c r="E74" s="1036"/>
      <c r="F74" s="1037"/>
      <c r="G74" s="1037"/>
      <c r="H74" s="1037"/>
      <c r="I74" s="602"/>
      <c r="J74" s="1228" t="s">
        <v>1013</v>
      </c>
      <c r="K74" s="1229"/>
      <c r="L74" s="1229"/>
      <c r="M74" s="122">
        <f>J73+K73</f>
        <v>1352459</v>
      </c>
    </row>
    <row r="75" spans="1:15" ht="15.75">
      <c r="A75" s="591"/>
      <c r="B75" s="591"/>
      <c r="C75" s="594"/>
      <c r="D75" s="593"/>
      <c r="E75" s="1036"/>
      <c r="F75" s="1039"/>
      <c r="G75" s="1039"/>
      <c r="H75" s="1039"/>
      <c r="I75" s="592"/>
      <c r="J75" s="1230" t="s">
        <v>43</v>
      </c>
      <c r="K75" s="1231"/>
      <c r="L75" s="1231"/>
      <c r="M75" s="123">
        <f>M73</f>
        <v>5410</v>
      </c>
    </row>
    <row r="76" spans="1:15" s="116" customFormat="1" ht="16.5" thickBot="1">
      <c r="A76" s="591"/>
      <c r="B76" s="591"/>
      <c r="C76" s="594"/>
      <c r="D76" s="593"/>
      <c r="E76" s="1036"/>
      <c r="F76" s="1039"/>
      <c r="G76" s="1039"/>
      <c r="H76" s="1039"/>
      <c r="I76" s="592"/>
      <c r="J76" s="1222" t="s">
        <v>1027</v>
      </c>
      <c r="K76" s="1223"/>
      <c r="L76" s="1223"/>
      <c r="M76" s="121">
        <f>M74+M75</f>
        <v>1357869</v>
      </c>
    </row>
    <row r="77" spans="1:15" ht="15.75" customHeight="1">
      <c r="A77" s="599" t="s">
        <v>635</v>
      </c>
      <c r="B77" s="598"/>
      <c r="C77" s="598"/>
      <c r="D77" s="598"/>
      <c r="E77" s="1040"/>
      <c r="F77" s="1040"/>
      <c r="G77" s="1040"/>
      <c r="H77" s="1040"/>
      <c r="I77" s="598"/>
      <c r="J77" s="278"/>
      <c r="K77" s="598"/>
      <c r="L77" s="598"/>
      <c r="M77" s="597"/>
    </row>
    <row r="78" spans="1:15" ht="15.75" customHeight="1">
      <c r="A78" s="599"/>
      <c r="B78" s="598"/>
      <c r="C78" s="598"/>
      <c r="D78" s="598"/>
      <c r="E78" s="1061" t="str">
        <f>+A91</f>
        <v>TOTAL DINERO TRANSFERIDO A FIDUCIA</v>
      </c>
      <c r="F78" s="1062">
        <f>+D91</f>
        <v>41168881503.867699</v>
      </c>
      <c r="G78" s="1063"/>
      <c r="H78" s="1063"/>
      <c r="I78" s="598"/>
      <c r="J78" s="278"/>
      <c r="K78" s="598"/>
      <c r="L78" s="598"/>
      <c r="M78" s="597"/>
    </row>
    <row r="79" spans="1:15" ht="15.75" customHeight="1">
      <c r="A79" s="600" t="s">
        <v>238</v>
      </c>
      <c r="B79" s="598"/>
      <c r="C79" s="598"/>
      <c r="D79" s="598"/>
      <c r="E79" s="1133" t="str">
        <f>+Adhesiones!D64</f>
        <v>Valor traslado a Fiducia</v>
      </c>
      <c r="F79" s="1134">
        <f>+Adhesiones!D87</f>
        <v>12570356294.496264</v>
      </c>
      <c r="G79" s="1063"/>
      <c r="H79" s="1063"/>
      <c r="I79" s="598"/>
      <c r="J79" s="278"/>
      <c r="K79" s="598"/>
      <c r="L79" s="598"/>
      <c r="M79" s="597"/>
    </row>
    <row r="80" spans="1:15" ht="15.75" customHeight="1">
      <c r="A80" s="601" t="s">
        <v>239</v>
      </c>
      <c r="B80" s="598"/>
      <c r="C80" s="598"/>
      <c r="D80" s="799">
        <v>21976231887</v>
      </c>
      <c r="E80" s="1133" t="str">
        <f>+Adhesiones!E64</f>
        <v>Devoluciones por parte de la fiducia</v>
      </c>
      <c r="F80" s="1134">
        <f>-Adhesiones!E87</f>
        <v>-506225578.18184143</v>
      </c>
      <c r="G80" s="1063"/>
      <c r="H80" s="1063"/>
      <c r="I80" s="598"/>
      <c r="J80" s="278"/>
      <c r="K80" s="598"/>
      <c r="L80" s="598"/>
      <c r="M80" s="597"/>
    </row>
    <row r="81" spans="1:13" ht="15.75" customHeight="1">
      <c r="A81" s="601" t="s">
        <v>297</v>
      </c>
      <c r="B81" s="598"/>
      <c r="C81" s="598"/>
      <c r="D81" s="799">
        <v>6762521331</v>
      </c>
      <c r="E81" s="1135" t="str">
        <f>+'Anexo 2 Sena'!A89</f>
        <v xml:space="preserve">Giro a fiducia de GMF contratos de adhesión grupo 2 y 3 </v>
      </c>
      <c r="F81" s="1136">
        <f>+'Anexo 2 Sena'!E89</f>
        <v>7108192</v>
      </c>
      <c r="G81" s="1064"/>
      <c r="H81" s="1063"/>
      <c r="I81" s="598"/>
      <c r="J81" s="278"/>
      <c r="K81" s="598"/>
      <c r="L81" s="598"/>
      <c r="M81" s="597"/>
    </row>
    <row r="82" spans="1:13" ht="15.75" customHeight="1">
      <c r="A82" s="601" t="s">
        <v>363</v>
      </c>
      <c r="B82" s="598"/>
      <c r="C82" s="598"/>
      <c r="D82" s="799">
        <v>3042984466</v>
      </c>
      <c r="E82" s="1135" t="str">
        <f>+'Anexo 2 Sena'!A90</f>
        <v>Giro a fiducia de GMF contratos de adhesión grupo 4</v>
      </c>
      <c r="F82" s="1136">
        <f>+'Anexo 2 Sena'!E90</f>
        <v>8358283</v>
      </c>
      <c r="G82" s="1064"/>
      <c r="H82" s="1063"/>
      <c r="I82" s="598"/>
      <c r="J82" s="278"/>
      <c r="K82" s="598"/>
      <c r="L82" s="598"/>
      <c r="M82" s="597"/>
    </row>
    <row r="83" spans="1:13" ht="15.75" customHeight="1">
      <c r="A83" s="601" t="s">
        <v>428</v>
      </c>
      <c r="B83" s="598"/>
      <c r="C83" s="598"/>
      <c r="D83" s="799">
        <v>3661029889.2490411</v>
      </c>
      <c r="E83" s="1135" t="str">
        <f>+'Anexo 2 Sena'!A91</f>
        <v>Giro a fiducia de GMF contratos de adhesión grupo 5</v>
      </c>
      <c r="F83" s="1136">
        <f>+'Anexo 2 Sena'!E91</f>
        <v>11344980</v>
      </c>
      <c r="G83" s="1065"/>
      <c r="H83" s="1065"/>
      <c r="I83" s="753"/>
      <c r="J83" s="278"/>
      <c r="K83" s="598"/>
      <c r="L83" s="598"/>
      <c r="M83" s="597"/>
    </row>
    <row r="84" spans="1:13" ht="15.75" customHeight="1">
      <c r="A84" s="601" t="s">
        <v>475</v>
      </c>
      <c r="B84" s="598"/>
      <c r="C84" s="598"/>
      <c r="D84" s="799">
        <v>2272613056.5646701</v>
      </c>
      <c r="E84" s="1135" t="str">
        <f>+'Anexo 2 Sena'!A92</f>
        <v>Giro a fiducia de GMF contratos de adhesión grupo 6</v>
      </c>
      <c r="F84" s="1136">
        <f>+'Anexo 2 Sena'!E92</f>
        <v>8082867</v>
      </c>
      <c r="G84" s="1066"/>
      <c r="H84" s="1067"/>
      <c r="I84" s="753"/>
      <c r="J84" s="278"/>
      <c r="K84" s="598"/>
      <c r="L84" s="598"/>
      <c r="M84" s="597"/>
    </row>
    <row r="85" spans="1:13" ht="15.75" customHeight="1">
      <c r="A85" s="601" t="s">
        <v>522</v>
      </c>
      <c r="B85" s="598"/>
      <c r="C85" s="598"/>
      <c r="D85" s="799">
        <f>3112054421.448</f>
        <v>3112054421.448</v>
      </c>
      <c r="E85" s="1135" t="str">
        <f>+'Anexo 2 Sena'!A93</f>
        <v>Giro a fiducia de GMF contratos de adhesión grupo 7</v>
      </c>
      <c r="F85" s="1136">
        <f>+'Anexo 2 Sena'!E93</f>
        <v>9154452</v>
      </c>
      <c r="G85" s="1066"/>
      <c r="H85" s="1067"/>
      <c r="I85" s="753"/>
      <c r="J85" s="278"/>
      <c r="K85" s="598"/>
      <c r="L85" s="598"/>
      <c r="M85" s="597"/>
    </row>
    <row r="86" spans="1:13" ht="15.75" customHeight="1">
      <c r="A86" s="601" t="s">
        <v>538</v>
      </c>
      <c r="B86" s="598"/>
      <c r="C86" s="598"/>
      <c r="D86" s="799">
        <v>547444356.90799999</v>
      </c>
      <c r="E86" s="1135" t="str">
        <f>+'Anexo 2 Sena'!A94</f>
        <v>Giro a fiducia de GMF contratos de adhesión grupo 8</v>
      </c>
      <c r="F86" s="1136">
        <f>+'Anexo 2 Sena'!E94</f>
        <v>2334847</v>
      </c>
      <c r="G86" s="1066"/>
      <c r="H86" s="1067"/>
      <c r="I86" s="753"/>
      <c r="J86" s="278"/>
      <c r="K86" s="598"/>
      <c r="L86" s="598"/>
      <c r="M86" s="597"/>
    </row>
    <row r="87" spans="1:13" ht="15.75" customHeight="1">
      <c r="A87" s="601" t="s">
        <v>657</v>
      </c>
      <c r="B87" s="598"/>
      <c r="C87" s="598"/>
      <c r="D87" s="799">
        <f>-663864645.83-2791413-299106-11166</f>
        <v>-666966330.83000004</v>
      </c>
      <c r="E87" s="1135" t="str">
        <f>+'Anexo 2 Sena'!A95</f>
        <v>Giro a fiducia de GMF contratos de adhesión grupo 9 y 10</v>
      </c>
      <c r="F87" s="1136">
        <f>+'Anexo 2 Sena'!E95</f>
        <v>310272</v>
      </c>
      <c r="G87" s="1066" t="s">
        <v>714</v>
      </c>
      <c r="H87" s="1067"/>
      <c r="I87" s="753"/>
      <c r="J87" s="278"/>
      <c r="K87" s="598"/>
      <c r="L87" s="598"/>
      <c r="M87" s="597"/>
    </row>
    <row r="88" spans="1:13" ht="15.75" customHeight="1">
      <c r="A88" s="601" t="s">
        <v>812</v>
      </c>
      <c r="B88" s="598"/>
      <c r="C88" s="598"/>
      <c r="D88" s="799">
        <f>+'[2]TD_GRUPO 11 y 12 (VF)'!$P$24</f>
        <v>452866023.04799998</v>
      </c>
      <c r="E88" s="1135" t="str">
        <f>+'Anexo 2 Sena'!A96</f>
        <v>Giro a fiducia de GMF contratos de adhesión grupo 11 y 12</v>
      </c>
      <c r="F88" s="1136">
        <f>+'Anexo 2 Sena'!E96</f>
        <v>1594349.952</v>
      </c>
      <c r="G88" s="1066"/>
      <c r="H88" s="1067"/>
      <c r="I88" s="753"/>
      <c r="J88" s="278"/>
      <c r="K88" s="598"/>
      <c r="L88" s="598"/>
      <c r="M88" s="597"/>
    </row>
    <row r="89" spans="1:13" ht="15.75" customHeight="1">
      <c r="A89" s="601" t="s">
        <v>806</v>
      </c>
      <c r="B89" s="598"/>
      <c r="C89" s="598"/>
      <c r="D89" s="799">
        <f>+'[3]EJEMPLO BLOQUE 13'!$O$2</f>
        <v>48192000</v>
      </c>
      <c r="E89" s="1135"/>
      <c r="F89" s="1136"/>
      <c r="G89" s="1066"/>
      <c r="H89" s="1067"/>
      <c r="I89" s="753"/>
      <c r="J89" s="278"/>
      <c r="K89" s="598"/>
      <c r="L89" s="598"/>
      <c r="M89" s="597"/>
    </row>
    <row r="90" spans="1:13" ht="15.75" customHeight="1">
      <c r="A90" s="601" t="s">
        <v>657</v>
      </c>
      <c r="B90" s="598"/>
      <c r="C90" s="598"/>
      <c r="D90" s="799">
        <f>-[4]Hoja1!$C$4+159720</f>
        <v>-40089596.520000003</v>
      </c>
      <c r="E90" s="1135"/>
      <c r="F90" s="1136"/>
      <c r="G90" s="1066"/>
      <c r="H90" s="1067"/>
      <c r="I90" s="753"/>
      <c r="J90" s="278"/>
      <c r="K90" s="598"/>
      <c r="L90" s="598"/>
      <c r="M90" s="597"/>
    </row>
    <row r="91" spans="1:13" ht="15.75" customHeight="1">
      <c r="A91" s="600" t="s">
        <v>240</v>
      </c>
      <c r="B91" s="598"/>
      <c r="C91" s="598"/>
      <c r="D91" s="800">
        <f>SUM(D79:D90)</f>
        <v>41168881503.867699</v>
      </c>
      <c r="E91" s="1133"/>
      <c r="F91" s="1137">
        <f>+SUM(F78:F88)</f>
        <v>53281300463.134125</v>
      </c>
      <c r="G91" s="1068">
        <f>+'[5]Ejecución por Emprendimiento'!$G$626</f>
        <v>53354826960.720001</v>
      </c>
      <c r="H91" s="1067">
        <f>+F91-G91</f>
        <v>-73526497.585876465</v>
      </c>
      <c r="I91" s="786">
        <f>+D91-H91</f>
        <v>41242408001.453575</v>
      </c>
      <c r="J91" s="278"/>
      <c r="K91" s="598"/>
      <c r="L91" s="598"/>
      <c r="M91" s="597"/>
    </row>
    <row r="92" spans="1:13" ht="15.75" customHeight="1">
      <c r="A92" s="599"/>
      <c r="B92" s="598"/>
      <c r="C92" s="598"/>
      <c r="D92" s="801"/>
      <c r="E92" s="933"/>
      <c r="F92" s="1019"/>
      <c r="G92" s="1019"/>
      <c r="H92" s="971"/>
      <c r="I92" s="753"/>
      <c r="J92" s="278"/>
      <c r="K92" s="598"/>
      <c r="L92" s="598"/>
      <c r="M92" s="597"/>
    </row>
    <row r="93" spans="1:13" ht="15.75">
      <c r="A93" s="601" t="s">
        <v>1051</v>
      </c>
      <c r="B93" s="598"/>
      <c r="C93" s="598"/>
      <c r="D93" s="802">
        <v>38830043000.344849</v>
      </c>
      <c r="E93" s="1380"/>
      <c r="F93" s="1085"/>
      <c r="G93" s="1085"/>
      <c r="H93" s="1043"/>
      <c r="I93" s="598"/>
      <c r="J93" s="278"/>
      <c r="K93" s="598"/>
      <c r="L93" s="598"/>
      <c r="M93" s="597"/>
    </row>
    <row r="94" spans="1:13" ht="15.75" customHeight="1">
      <c r="A94" s="601" t="s">
        <v>1020</v>
      </c>
      <c r="B94" s="598"/>
      <c r="C94" s="598"/>
      <c r="D94" s="802">
        <f>+K116</f>
        <v>0</v>
      </c>
      <c r="E94" s="1381"/>
      <c r="F94" s="1382"/>
      <c r="G94" s="1086"/>
      <c r="H94" s="1045"/>
      <c r="I94" s="1046"/>
      <c r="J94" s="278"/>
      <c r="K94" s="598"/>
      <c r="L94" s="598"/>
      <c r="M94" s="597"/>
    </row>
    <row r="95" spans="1:13" ht="15.75" customHeight="1">
      <c r="A95" s="601" t="s">
        <v>1021</v>
      </c>
      <c r="B95" s="598"/>
      <c r="C95" s="598"/>
      <c r="D95" s="802">
        <f>+Adhesiones!L29</f>
        <v>82249641.807462946</v>
      </c>
      <c r="E95" s="1383" t="s">
        <v>316</v>
      </c>
      <c r="F95" s="1382" t="s">
        <v>715</v>
      </c>
      <c r="G95" s="1382" t="s">
        <v>634</v>
      </c>
      <c r="H95" s="1043"/>
      <c r="I95" s="598"/>
      <c r="J95" s="278"/>
      <c r="K95" s="598"/>
      <c r="L95" s="598"/>
      <c r="M95" s="597"/>
    </row>
    <row r="96" spans="1:13" ht="15.75" customHeight="1">
      <c r="A96" s="600" t="s">
        <v>1022</v>
      </c>
      <c r="B96" s="598"/>
      <c r="C96" s="598"/>
      <c r="D96" s="801">
        <f>SUM(D93:D95)</f>
        <v>38912292642.152313</v>
      </c>
      <c r="E96" s="1384">
        <f>+Adhesiones!N29</f>
        <v>10436469837.217693</v>
      </c>
      <c r="F96" s="1087">
        <f>+'[6]Detalle aplicados acumulado'!$O$16077</f>
        <v>49348762478.85997</v>
      </c>
      <c r="G96" s="1385">
        <f>+F96-E96-D96</f>
        <v>-0.510040283203125</v>
      </c>
      <c r="H96" s="1047"/>
      <c r="I96" s="667"/>
      <c r="J96" s="278"/>
      <c r="K96" s="598"/>
      <c r="L96" s="598"/>
      <c r="M96" s="597"/>
    </row>
    <row r="97" spans="1:13" ht="15.75" customHeight="1">
      <c r="A97" s="600"/>
      <c r="B97" s="598"/>
      <c r="C97" s="598"/>
      <c r="D97" s="801"/>
      <c r="E97" s="1087"/>
      <c r="F97" s="1087"/>
      <c r="G97" s="1087"/>
      <c r="H97" s="1044"/>
      <c r="I97" s="598"/>
      <c r="J97" s="278"/>
      <c r="K97" s="598"/>
      <c r="L97" s="598"/>
      <c r="M97" s="597"/>
    </row>
    <row r="98" spans="1:13" ht="15.75" customHeight="1">
      <c r="A98" s="601" t="s">
        <v>1023</v>
      </c>
      <c r="B98" s="598"/>
      <c r="C98" s="598"/>
      <c r="D98" s="801">
        <v>155320172.00137928</v>
      </c>
      <c r="E98" s="1088"/>
      <c r="F98" s="1088"/>
      <c r="G98" s="1089"/>
      <c r="H98" s="1050"/>
      <c r="I98" s="598"/>
      <c r="J98" s="278"/>
      <c r="K98" s="598"/>
      <c r="L98" s="598"/>
      <c r="M98" s="597"/>
    </row>
    <row r="99" spans="1:13" ht="15.75" customHeight="1">
      <c r="A99" s="601" t="s">
        <v>1024</v>
      </c>
      <c r="B99" s="598"/>
      <c r="C99" s="598"/>
      <c r="D99" s="802">
        <f>+(D94+D95)*0.004</f>
        <v>328998.56722985179</v>
      </c>
      <c r="E99" s="1051"/>
      <c r="F99" s="1048"/>
      <c r="G99" s="1049"/>
      <c r="H99" s="1048"/>
      <c r="I99" s="598"/>
      <c r="J99" s="278"/>
      <c r="K99" s="598"/>
      <c r="L99" s="598"/>
      <c r="M99" s="597"/>
    </row>
    <row r="100" spans="1:13" ht="15.75" customHeight="1">
      <c r="A100" s="600" t="s">
        <v>1025</v>
      </c>
      <c r="B100" s="598"/>
      <c r="C100" s="598"/>
      <c r="D100" s="801">
        <f>SUM(D98:D99)</f>
        <v>155649170.56860912</v>
      </c>
      <c r="E100" s="278"/>
      <c r="F100" s="1050"/>
      <c r="G100" s="1050"/>
      <c r="H100" s="1050"/>
      <c r="I100" s="598"/>
      <c r="J100" s="278"/>
      <c r="K100" s="598"/>
      <c r="L100" s="598"/>
      <c r="M100" s="597"/>
    </row>
    <row r="101" spans="1:13" ht="15.75" customHeight="1">
      <c r="A101" s="599"/>
      <c r="B101" s="598"/>
      <c r="C101" s="598"/>
      <c r="D101" s="801"/>
      <c r="E101" s="1052"/>
      <c r="F101" s="1052"/>
      <c r="G101" s="1052"/>
      <c r="H101" s="1042"/>
      <c r="I101" s="598"/>
      <c r="J101" s="278"/>
      <c r="K101" s="598"/>
      <c r="L101" s="598"/>
      <c r="M101" s="597"/>
    </row>
    <row r="102" spans="1:13" ht="15.75" customHeight="1">
      <c r="A102" s="600" t="s">
        <v>1026</v>
      </c>
      <c r="B102" s="598"/>
      <c r="C102" s="598"/>
      <c r="D102" s="801">
        <f>+D91-D96-D100</f>
        <v>2100939691.1467762</v>
      </c>
      <c r="E102" s="1041"/>
      <c r="F102" s="1053"/>
      <c r="G102" s="1054"/>
      <c r="H102" s="1055"/>
      <c r="I102" s="696"/>
      <c r="J102" s="278"/>
      <c r="K102" s="598"/>
      <c r="L102" s="598"/>
      <c r="M102" s="597"/>
    </row>
    <row r="103" spans="1:13" ht="15.75" customHeight="1">
      <c r="A103" s="599"/>
      <c r="B103" s="598"/>
      <c r="C103" s="598"/>
      <c r="D103" s="598"/>
      <c r="E103" s="1052"/>
      <c r="F103" s="1052"/>
      <c r="G103" s="1052"/>
      <c r="H103" s="1052"/>
      <c r="I103" s="598"/>
      <c r="J103" s="278"/>
      <c r="K103" s="598"/>
      <c r="L103" s="598"/>
      <c r="M103" s="597"/>
    </row>
    <row r="104" spans="1:13" ht="16.5" thickBot="1">
      <c r="A104" s="599"/>
      <c r="B104" s="598"/>
      <c r="C104" s="598"/>
      <c r="D104" s="598"/>
      <c r="E104" s="598"/>
      <c r="F104" s="598"/>
      <c r="G104" s="598"/>
      <c r="H104" s="598"/>
      <c r="I104" s="598"/>
      <c r="J104" s="278"/>
      <c r="K104" s="598"/>
      <c r="L104" s="598"/>
      <c r="M104" s="597"/>
    </row>
    <row r="105" spans="1:13" ht="31.5">
      <c r="A105" s="338" t="s">
        <v>31</v>
      </c>
      <c r="B105" s="339" t="s">
        <v>33</v>
      </c>
      <c r="C105" s="339" t="s">
        <v>247</v>
      </c>
      <c r="D105" s="339" t="s">
        <v>248</v>
      </c>
      <c r="E105" s="339" t="s">
        <v>249</v>
      </c>
      <c r="F105" s="359" t="s">
        <v>250</v>
      </c>
      <c r="G105" s="339" t="s">
        <v>251</v>
      </c>
      <c r="H105" s="339" t="s">
        <v>36</v>
      </c>
      <c r="I105" s="339" t="s">
        <v>252</v>
      </c>
      <c r="J105" s="340" t="s">
        <v>253</v>
      </c>
      <c r="K105" s="341" t="s">
        <v>20</v>
      </c>
      <c r="L105" s="219"/>
      <c r="M105" s="219"/>
    </row>
    <row r="106" spans="1:13" ht="31.5">
      <c r="A106" s="290" t="s">
        <v>1028</v>
      </c>
      <c r="B106" s="369"/>
      <c r="C106" s="288"/>
      <c r="D106" s="288"/>
      <c r="E106" s="288"/>
      <c r="F106" s="368"/>
      <c r="G106" s="288"/>
      <c r="H106" s="498"/>
      <c r="I106" s="368"/>
      <c r="J106" s="555"/>
      <c r="K106" s="295"/>
      <c r="L106" s="284"/>
      <c r="M106" s="285"/>
    </row>
    <row r="107" spans="1:13" ht="16.5" thickBot="1">
      <c r="A107" s="591"/>
      <c r="B107" s="591"/>
      <c r="C107" s="594"/>
      <c r="D107" s="593"/>
      <c r="E107" s="218"/>
      <c r="F107" s="218"/>
      <c r="G107" s="590"/>
      <c r="H107" s="590"/>
      <c r="I107" s="596" t="s">
        <v>41</v>
      </c>
      <c r="J107" s="332">
        <f>SUM(J104:J106)</f>
        <v>0</v>
      </c>
      <c r="K107" s="332">
        <f>SUM(K104:K106)</f>
        <v>0</v>
      </c>
      <c r="L107" s="286"/>
      <c r="M107" s="287"/>
    </row>
    <row r="108" spans="1:13" ht="16.5" thickBot="1">
      <c r="A108" s="591"/>
      <c r="B108" s="591"/>
      <c r="C108" s="594"/>
      <c r="D108" s="593"/>
      <c r="E108" s="218"/>
      <c r="F108" s="218"/>
      <c r="G108" s="590"/>
      <c r="H108" s="590"/>
      <c r="I108" s="595"/>
      <c r="J108" s="556"/>
      <c r="K108" s="557"/>
      <c r="L108" s="286"/>
      <c r="M108" s="287"/>
    </row>
    <row r="109" spans="1:13" ht="15.75" customHeight="1">
      <c r="A109" s="591"/>
      <c r="B109" s="591"/>
      <c r="C109" s="594"/>
      <c r="D109" s="593"/>
      <c r="E109" s="218"/>
      <c r="F109" s="218"/>
      <c r="G109" s="590"/>
      <c r="H109" s="1234" t="s">
        <v>1013</v>
      </c>
      <c r="I109" s="1235"/>
      <c r="J109" s="1236"/>
      <c r="K109" s="356">
        <f>+J107</f>
        <v>0</v>
      </c>
      <c r="M109" s="694"/>
    </row>
    <row r="110" spans="1:13" ht="15.75">
      <c r="A110" s="591"/>
      <c r="B110" s="591"/>
      <c r="C110" s="594"/>
      <c r="D110" s="593"/>
      <c r="E110" s="218"/>
      <c r="F110" s="218"/>
      <c r="G110" s="590"/>
      <c r="H110" s="1237" t="s">
        <v>43</v>
      </c>
      <c r="I110" s="1238"/>
      <c r="J110" s="1239"/>
      <c r="K110" s="357">
        <f>+K107</f>
        <v>0</v>
      </c>
    </row>
    <row r="111" spans="1:13" ht="16.5" customHeight="1" thickBot="1">
      <c r="A111" s="591"/>
      <c r="F111" s="218"/>
      <c r="G111" s="590"/>
      <c r="H111" s="1219" t="s">
        <v>44</v>
      </c>
      <c r="I111" s="1220"/>
      <c r="J111" s="1221"/>
      <c r="K111" s="358">
        <f>K109+K110</f>
        <v>0</v>
      </c>
    </row>
    <row r="112" spans="1:13" ht="15">
      <c r="A112" s="587"/>
      <c r="F112" s="579"/>
      <c r="G112" s="579"/>
      <c r="H112" s="205"/>
      <c r="I112" s="124"/>
      <c r="J112" s="319"/>
      <c r="K112" s="124"/>
      <c r="L112" s="207"/>
      <c r="M112" s="579"/>
    </row>
    <row r="113" spans="1:13" ht="15.75" thickBot="1">
      <c r="A113" s="587"/>
      <c r="F113" s="579"/>
      <c r="G113" s="579"/>
      <c r="H113" s="205"/>
      <c r="I113" s="124"/>
      <c r="J113" s="319"/>
      <c r="K113" s="124"/>
      <c r="L113" s="207"/>
      <c r="M113" s="579"/>
    </row>
    <row r="114" spans="1:13" ht="15.75" customHeight="1">
      <c r="A114" s="587"/>
      <c r="F114" s="579"/>
      <c r="G114" s="579"/>
      <c r="I114" s="1240" t="s">
        <v>471</v>
      </c>
      <c r="J114" s="1241"/>
      <c r="K114" s="795">
        <v>0</v>
      </c>
    </row>
    <row r="115" spans="1:13" ht="15.75">
      <c r="A115" s="587"/>
      <c r="F115" s="579"/>
      <c r="G115" s="579"/>
      <c r="I115" s="1224" t="s">
        <v>472</v>
      </c>
      <c r="J115" s="1225"/>
      <c r="K115" s="692">
        <f>+K114*(0.004)</f>
        <v>0</v>
      </c>
    </row>
    <row r="116" spans="1:13" ht="15.75" customHeight="1">
      <c r="A116" s="587"/>
      <c r="B116" s="587"/>
      <c r="C116" s="203"/>
      <c r="D116" s="201"/>
      <c r="E116" s="582"/>
      <c r="F116" s="589"/>
      <c r="G116" s="589"/>
      <c r="I116" s="1224" t="s">
        <v>473</v>
      </c>
      <c r="J116" s="1225"/>
      <c r="K116" s="588">
        <f>+K109-K114</f>
        <v>0</v>
      </c>
    </row>
    <row r="117" spans="1:13" ht="16.5" thickBot="1">
      <c r="A117" s="587"/>
      <c r="B117" s="587"/>
      <c r="C117" s="203"/>
      <c r="D117" s="201"/>
      <c r="E117" s="582"/>
      <c r="F117" s="579"/>
      <c r="G117" s="579"/>
      <c r="I117" s="1232" t="s">
        <v>474</v>
      </c>
      <c r="J117" s="1233"/>
      <c r="K117" s="586">
        <f>+K110-K115</f>
        <v>0</v>
      </c>
    </row>
    <row r="118" spans="1:13" ht="15.75" customHeight="1">
      <c r="A118" s="580"/>
      <c r="B118" s="580"/>
      <c r="C118" s="585"/>
      <c r="D118" s="203"/>
      <c r="E118" s="582"/>
      <c r="F118" s="578"/>
      <c r="G118" s="578"/>
      <c r="H118" s="582"/>
      <c r="I118" s="580"/>
      <c r="J118" s="319"/>
      <c r="K118" s="207"/>
      <c r="L118" s="207"/>
      <c r="M118" s="579"/>
    </row>
    <row r="119" spans="1:13" ht="15.75" customHeight="1">
      <c r="A119" s="897" t="s">
        <v>583</v>
      </c>
      <c r="B119" s="598"/>
      <c r="C119" s="598"/>
      <c r="D119" s="598"/>
      <c r="E119" s="853"/>
      <c r="F119" s="853"/>
      <c r="G119" s="598"/>
      <c r="H119" s="598"/>
      <c r="I119" s="598"/>
      <c r="J119" s="278"/>
      <c r="K119" s="598"/>
      <c r="L119" s="598"/>
      <c r="M119" s="597"/>
    </row>
    <row r="120" spans="1:13" ht="15.75" customHeight="1">
      <c r="A120" s="599"/>
      <c r="B120" s="598"/>
      <c r="C120" s="598"/>
      <c r="D120" s="598"/>
      <c r="F120" s="854"/>
      <c r="G120" s="598"/>
      <c r="H120" s="598"/>
      <c r="I120" s="598"/>
      <c r="J120" s="278"/>
      <c r="K120" s="598"/>
      <c r="L120" s="598"/>
      <c r="M120" s="597"/>
    </row>
    <row r="121" spans="1:13" ht="15.75" customHeight="1">
      <c r="A121" s="600" t="s">
        <v>238</v>
      </c>
      <c r="B121" s="598"/>
      <c r="C121" s="598"/>
      <c r="D121" s="598"/>
      <c r="E121" s="854"/>
      <c r="F121" s="854"/>
      <c r="G121" s="598"/>
      <c r="H121" s="598"/>
      <c r="I121" s="598"/>
      <c r="J121" s="278"/>
      <c r="K121" s="598"/>
      <c r="L121" s="598"/>
      <c r="M121" s="597"/>
    </row>
    <row r="122" spans="1:13" ht="15.75" customHeight="1">
      <c r="A122" s="601" t="s">
        <v>521</v>
      </c>
      <c r="B122" s="598"/>
      <c r="C122" s="598"/>
      <c r="D122" s="302">
        <v>10000000000</v>
      </c>
      <c r="E122" s="1208" t="s">
        <v>645</v>
      </c>
      <c r="F122" s="1209"/>
      <c r="G122" s="1210"/>
      <c r="H122" s="598"/>
      <c r="I122" s="598"/>
      <c r="J122" s="278"/>
      <c r="K122" s="598"/>
      <c r="L122" s="598"/>
      <c r="M122" s="597"/>
    </row>
    <row r="123" spans="1:13" ht="15.75" customHeight="1">
      <c r="A123" s="601" t="s">
        <v>582</v>
      </c>
      <c r="B123" s="598"/>
      <c r="C123" s="598"/>
      <c r="D123" s="302">
        <v>10000000000</v>
      </c>
      <c r="E123" s="1211"/>
      <c r="F123" s="1212"/>
      <c r="G123" s="1213"/>
      <c r="H123" s="598"/>
      <c r="I123" s="598"/>
      <c r="J123" s="278"/>
      <c r="K123" s="598"/>
      <c r="L123" s="598"/>
      <c r="M123" s="597"/>
    </row>
    <row r="124" spans="1:13" ht="15.75" customHeight="1">
      <c r="A124" s="601" t="s">
        <v>637</v>
      </c>
      <c r="B124" s="598"/>
      <c r="C124" s="598"/>
      <c r="D124" s="302">
        <v>10000000000</v>
      </c>
      <c r="E124" s="1211"/>
      <c r="F124" s="1212"/>
      <c r="G124" s="1213"/>
      <c r="H124" s="598"/>
      <c r="I124" s="598"/>
      <c r="J124" s="278"/>
      <c r="K124" s="598"/>
      <c r="L124" s="598"/>
      <c r="M124" s="597"/>
    </row>
    <row r="125" spans="1:13" ht="15.75" customHeight="1">
      <c r="A125" s="601" t="s">
        <v>643</v>
      </c>
      <c r="B125" s="598"/>
      <c r="C125" s="598"/>
      <c r="D125" s="302">
        <v>10000000000</v>
      </c>
      <c r="E125" s="1211"/>
      <c r="F125" s="1212"/>
      <c r="G125" s="1213"/>
      <c r="H125" s="598"/>
      <c r="I125" s="598"/>
      <c r="J125" s="278"/>
      <c r="K125" s="598"/>
      <c r="L125" s="598"/>
      <c r="M125" s="597"/>
    </row>
    <row r="126" spans="1:13" ht="15.75" customHeight="1">
      <c r="A126" s="600" t="s">
        <v>240</v>
      </c>
      <c r="B126" s="598"/>
      <c r="C126" s="598"/>
      <c r="D126" s="562">
        <f>SUM(D121:D125)</f>
        <v>40000000000</v>
      </c>
      <c r="E126" s="1211"/>
      <c r="F126" s="1212"/>
      <c r="G126" s="1213"/>
      <c r="H126" s="695"/>
      <c r="I126" s="598"/>
      <c r="J126" s="278"/>
      <c r="K126" s="598"/>
      <c r="L126" s="598"/>
      <c r="M126" s="597"/>
    </row>
    <row r="127" spans="1:13" ht="15.75" customHeight="1">
      <c r="A127" s="600" t="s">
        <v>584</v>
      </c>
      <c r="B127" s="598"/>
      <c r="C127" s="598"/>
      <c r="D127" s="562">
        <f>+D126*0.004</f>
        <v>160000000</v>
      </c>
      <c r="E127" s="1211"/>
      <c r="F127" s="1212"/>
      <c r="G127" s="1213"/>
      <c r="H127" s="695"/>
      <c r="I127" s="598"/>
      <c r="J127" s="278"/>
      <c r="K127" s="598"/>
      <c r="L127" s="598"/>
      <c r="M127" s="597"/>
    </row>
    <row r="128" spans="1:13" ht="15.75" customHeight="1">
      <c r="A128" s="599"/>
      <c r="B128" s="598"/>
      <c r="C128" s="598"/>
      <c r="D128" s="278"/>
      <c r="E128" s="1214"/>
      <c r="F128" s="1215"/>
      <c r="G128" s="1216"/>
      <c r="H128" s="729"/>
      <c r="I128" s="598"/>
      <c r="J128" s="278"/>
      <c r="K128" s="598"/>
      <c r="L128" s="598"/>
      <c r="M128" s="597"/>
    </row>
    <row r="129" spans="1:13" ht="15.75" customHeight="1">
      <c r="A129" s="601" t="s">
        <v>585</v>
      </c>
      <c r="B129" s="598"/>
      <c r="C129" s="598"/>
      <c r="D129" s="802">
        <v>1107000000</v>
      </c>
      <c r="E129" s="855"/>
      <c r="F129" s="856"/>
      <c r="G129" s="857"/>
      <c r="H129" s="729"/>
      <c r="I129" s="598"/>
      <c r="J129" s="278"/>
      <c r="K129" s="598"/>
      <c r="L129" s="598"/>
      <c r="M129" s="597"/>
    </row>
    <row r="130" spans="1:13" ht="15.75" customHeight="1">
      <c r="A130" s="601" t="s">
        <v>586</v>
      </c>
      <c r="B130" s="598"/>
      <c r="C130" s="598"/>
      <c r="D130" s="802">
        <v>0</v>
      </c>
      <c r="E130" s="855"/>
      <c r="F130" s="856"/>
      <c r="G130" s="857"/>
      <c r="H130" s="729"/>
      <c r="I130" s="598"/>
      <c r="J130" s="278"/>
      <c r="K130" s="598"/>
      <c r="L130" s="598"/>
      <c r="M130" s="597"/>
    </row>
    <row r="131" spans="1:13" ht="15.75" customHeight="1">
      <c r="A131" s="601" t="s">
        <v>588</v>
      </c>
      <c r="B131" s="598"/>
      <c r="C131" s="598"/>
      <c r="D131" s="802">
        <v>0</v>
      </c>
      <c r="E131" s="855"/>
      <c r="F131" s="856"/>
      <c r="G131" s="857"/>
      <c r="H131" s="729"/>
      <c r="I131" s="598"/>
      <c r="J131" s="278"/>
      <c r="K131" s="598"/>
      <c r="L131" s="598"/>
      <c r="M131" s="597"/>
    </row>
    <row r="132" spans="1:13" ht="15.75" customHeight="1">
      <c r="A132" s="601" t="s">
        <v>626</v>
      </c>
      <c r="B132" s="598"/>
      <c r="C132" s="598"/>
      <c r="D132" s="802">
        <v>12239300000</v>
      </c>
      <c r="E132" s="855"/>
      <c r="F132" s="856"/>
      <c r="G132" s="857"/>
      <c r="H132" s="729"/>
      <c r="I132" s="598"/>
      <c r="J132" s="278"/>
      <c r="K132" s="598"/>
      <c r="L132" s="598"/>
      <c r="M132" s="597"/>
    </row>
    <row r="133" spans="1:13" ht="15.75" customHeight="1">
      <c r="A133" s="601" t="s">
        <v>636</v>
      </c>
      <c r="B133" s="598"/>
      <c r="C133" s="598"/>
      <c r="D133" s="802">
        <v>160000000</v>
      </c>
      <c r="E133" s="855"/>
      <c r="F133" s="856"/>
      <c r="G133" s="857"/>
      <c r="H133" s="729"/>
      <c r="I133" s="598"/>
      <c r="J133" s="278"/>
      <c r="K133" s="598"/>
      <c r="L133" s="598"/>
      <c r="M133" s="597"/>
    </row>
    <row r="134" spans="1:13" ht="15.75" customHeight="1">
      <c r="A134" s="601" t="s">
        <v>644</v>
      </c>
      <c r="B134" s="598"/>
      <c r="C134" s="598"/>
      <c r="D134" s="802">
        <v>0</v>
      </c>
      <c r="E134" s="855"/>
      <c r="F134" s="856"/>
      <c r="G134" s="857"/>
      <c r="H134" s="729"/>
      <c r="I134" s="598"/>
      <c r="J134" s="278"/>
      <c r="K134" s="598"/>
      <c r="L134" s="598"/>
      <c r="M134" s="597"/>
    </row>
    <row r="135" spans="1:13" ht="15.75" customHeight="1">
      <c r="A135" s="601" t="s">
        <v>649</v>
      </c>
      <c r="B135" s="598"/>
      <c r="C135" s="598"/>
      <c r="D135" s="802">
        <v>10577022000</v>
      </c>
      <c r="E135" s="855"/>
      <c r="F135" s="856"/>
      <c r="G135" s="857"/>
      <c r="H135" s="729"/>
      <c r="I135" s="598"/>
      <c r="J135" s="278"/>
      <c r="K135" s="598"/>
      <c r="L135" s="598"/>
      <c r="M135" s="597"/>
    </row>
    <row r="136" spans="1:13" ht="15.75" customHeight="1">
      <c r="A136" s="601" t="s">
        <v>661</v>
      </c>
      <c r="B136" s="598"/>
      <c r="C136" s="598"/>
      <c r="D136" s="802">
        <v>3916320865</v>
      </c>
      <c r="E136" s="855"/>
      <c r="F136" s="856"/>
      <c r="G136" s="857"/>
      <c r="H136" s="729"/>
      <c r="I136" s="598"/>
      <c r="J136" s="278"/>
      <c r="K136" s="598"/>
      <c r="L136" s="598"/>
      <c r="M136" s="597"/>
    </row>
    <row r="137" spans="1:13" ht="15.75" customHeight="1">
      <c r="A137" s="601" t="s">
        <v>676</v>
      </c>
      <c r="B137" s="598"/>
      <c r="C137" s="598"/>
      <c r="D137" s="802">
        <v>0</v>
      </c>
      <c r="E137" s="855"/>
      <c r="F137" s="856"/>
      <c r="G137" s="857"/>
      <c r="H137" s="729"/>
      <c r="I137" s="598"/>
      <c r="J137" s="278"/>
      <c r="K137" s="598"/>
      <c r="L137" s="598"/>
      <c r="M137" s="597"/>
    </row>
    <row r="138" spans="1:13" ht="15.75" customHeight="1">
      <c r="A138" s="601" t="s">
        <v>683</v>
      </c>
      <c r="B138" s="598"/>
      <c r="C138" s="598"/>
      <c r="D138" s="802">
        <v>10613546084</v>
      </c>
      <c r="E138" s="1111">
        <f>+D138+D139+D142</f>
        <v>11490200545.67</v>
      </c>
      <c r="F138" s="856"/>
      <c r="G138" s="857"/>
      <c r="H138" s="729"/>
      <c r="I138" s="598"/>
      <c r="J138" s="278"/>
      <c r="K138" s="598"/>
      <c r="L138" s="598"/>
      <c r="M138" s="597"/>
    </row>
    <row r="139" spans="1:13" ht="15.75" customHeight="1">
      <c r="A139" s="601" t="s">
        <v>716</v>
      </c>
      <c r="B139" s="598"/>
      <c r="C139" s="598"/>
      <c r="D139" s="802">
        <v>258964142</v>
      </c>
      <c r="E139" s="855"/>
      <c r="F139" s="856"/>
      <c r="G139" s="857"/>
      <c r="H139" s="729"/>
      <c r="I139" s="598"/>
      <c r="J139" s="278"/>
      <c r="K139" s="598"/>
      <c r="L139" s="598"/>
      <c r="M139" s="597"/>
    </row>
    <row r="140" spans="1:13" ht="15.75" customHeight="1">
      <c r="A140" s="601" t="s">
        <v>726</v>
      </c>
      <c r="B140" s="598"/>
      <c r="C140" s="598"/>
      <c r="D140" s="802">
        <v>0</v>
      </c>
      <c r="E140" s="855"/>
      <c r="F140" s="856"/>
      <c r="G140" s="857"/>
      <c r="H140" s="729"/>
      <c r="I140" s="598"/>
      <c r="J140" s="278"/>
      <c r="K140" s="598"/>
      <c r="L140" s="598"/>
      <c r="M140" s="597"/>
    </row>
    <row r="141" spans="1:13" ht="15.75" customHeight="1">
      <c r="A141" s="601" t="s">
        <v>738</v>
      </c>
      <c r="B141" s="598"/>
      <c r="C141" s="598"/>
      <c r="D141" s="802">
        <v>0</v>
      </c>
      <c r="E141" s="855"/>
      <c r="F141" s="856"/>
      <c r="G141" s="857"/>
      <c r="H141" s="729"/>
      <c r="I141" s="598"/>
      <c r="J141" s="278"/>
      <c r="K141" s="598"/>
      <c r="L141" s="598"/>
      <c r="M141" s="597"/>
    </row>
    <row r="142" spans="1:13" ht="15.75" customHeight="1">
      <c r="A142" s="601" t="s">
        <v>754</v>
      </c>
      <c r="B142" s="598"/>
      <c r="C142" s="598"/>
      <c r="D142" s="802">
        <f>617690319.67</f>
        <v>617690319.66999996</v>
      </c>
      <c r="E142" s="855"/>
      <c r="F142" s="856"/>
      <c r="G142" s="857"/>
      <c r="H142" s="729"/>
      <c r="I142" s="598"/>
      <c r="J142" s="278"/>
      <c r="K142" s="598"/>
      <c r="L142" s="598"/>
      <c r="M142" s="597"/>
    </row>
    <row r="143" spans="1:13" ht="15.75" customHeight="1">
      <c r="A143" s="601" t="s">
        <v>805</v>
      </c>
      <c r="B143" s="598"/>
      <c r="C143" s="598"/>
      <c r="D143" s="802">
        <v>14779800.33</v>
      </c>
      <c r="E143" s="855"/>
      <c r="F143" s="856"/>
      <c r="G143" s="857"/>
      <c r="H143" s="729"/>
      <c r="I143" s="598"/>
      <c r="J143" s="278"/>
      <c r="K143" s="598"/>
      <c r="L143" s="598"/>
      <c r="M143" s="597"/>
    </row>
    <row r="144" spans="1:13" ht="15.75" customHeight="1">
      <c r="A144" s="601" t="s">
        <v>1029</v>
      </c>
      <c r="B144" s="598"/>
      <c r="C144" s="598"/>
      <c r="D144" s="802">
        <v>0</v>
      </c>
      <c r="E144" s="855"/>
      <c r="F144" s="856"/>
      <c r="G144" s="857"/>
      <c r="H144" s="729"/>
      <c r="I144" s="598"/>
      <c r="J144" s="278"/>
      <c r="K144" s="598"/>
      <c r="L144" s="598"/>
      <c r="M144" s="597"/>
    </row>
    <row r="145" spans="1:13" ht="15.75" customHeight="1">
      <c r="A145" s="600" t="s">
        <v>1022</v>
      </c>
      <c r="B145" s="598"/>
      <c r="C145" s="598"/>
      <c r="D145" s="801">
        <f>+SUM(D129:D144)</f>
        <v>39504623211</v>
      </c>
      <c r="E145" s="858"/>
      <c r="F145" s="856"/>
      <c r="G145" s="856"/>
      <c r="H145" s="731"/>
      <c r="I145" s="667"/>
      <c r="J145" s="278"/>
      <c r="K145" s="598"/>
      <c r="L145" s="598"/>
      <c r="M145" s="597"/>
    </row>
    <row r="146" spans="1:13" ht="15.75" customHeight="1">
      <c r="A146" s="600"/>
      <c r="B146" s="598"/>
      <c r="C146" s="598"/>
      <c r="D146" s="278"/>
      <c r="E146" s="856"/>
      <c r="F146" s="856"/>
      <c r="G146" s="856"/>
      <c r="H146" s="730"/>
      <c r="I146" s="598"/>
      <c r="J146" s="278"/>
      <c r="K146" s="598"/>
      <c r="L146" s="598"/>
      <c r="M146" s="597"/>
    </row>
    <row r="147" spans="1:13" ht="15.75" customHeight="1">
      <c r="A147" s="600" t="s">
        <v>1026</v>
      </c>
      <c r="B147" s="598"/>
      <c r="C147" s="598"/>
      <c r="D147" s="801">
        <f>+D126-D145</f>
        <v>495376789</v>
      </c>
      <c r="E147" s="859"/>
      <c r="F147" s="860"/>
      <c r="G147" s="856"/>
      <c r="H147" s="729"/>
      <c r="I147" s="696"/>
      <c r="J147" s="278"/>
      <c r="K147" s="598"/>
      <c r="L147" s="598"/>
      <c r="M147" s="597"/>
    </row>
    <row r="148" spans="1:13" ht="15.75" customHeight="1">
      <c r="A148" s="600"/>
      <c r="B148" s="598"/>
      <c r="C148" s="598"/>
      <c r="D148" s="278"/>
      <c r="E148" s="859"/>
      <c r="F148" s="860"/>
      <c r="G148" s="856"/>
      <c r="H148" s="729"/>
      <c r="I148" s="696"/>
      <c r="J148" s="278"/>
      <c r="K148" s="598"/>
      <c r="L148" s="598"/>
      <c r="M148" s="597"/>
    </row>
    <row r="149" spans="1:13" s="861" customFormat="1" ht="11.25">
      <c r="A149" s="1121" t="s">
        <v>31</v>
      </c>
      <c r="B149" s="1121" t="s">
        <v>76</v>
      </c>
      <c r="C149" s="1121" t="s">
        <v>554</v>
      </c>
      <c r="D149" s="1121" t="s">
        <v>555</v>
      </c>
      <c r="E149" s="1122" t="s">
        <v>556</v>
      </c>
      <c r="F149" s="1121" t="s">
        <v>557</v>
      </c>
      <c r="G149" s="1124"/>
    </row>
    <row r="150" spans="1:13" ht="15.75" customHeight="1">
      <c r="A150" s="1120"/>
      <c r="B150" s="1121"/>
      <c r="C150" s="1121"/>
      <c r="D150" s="1121"/>
      <c r="E150" s="1122"/>
      <c r="F150" s="1123"/>
      <c r="G150" s="1125"/>
      <c r="H150" s="729"/>
      <c r="I150" s="696"/>
      <c r="J150" s="278"/>
      <c r="K150" s="598"/>
      <c r="L150" s="598"/>
      <c r="M150" s="597"/>
    </row>
    <row r="151" spans="1:13" ht="15.75" customHeight="1">
      <c r="A151" s="1120"/>
      <c r="B151" s="1121"/>
      <c r="C151" s="1121"/>
      <c r="D151" s="1121"/>
      <c r="E151" s="1122"/>
      <c r="F151" s="1123"/>
      <c r="G151" s="1125"/>
      <c r="H151" s="729"/>
      <c r="I151" s="696"/>
      <c r="J151" s="278"/>
      <c r="K151" s="598"/>
      <c r="L151" s="598"/>
      <c r="M151" s="597"/>
    </row>
    <row r="152" spans="1:13" ht="15.75" customHeight="1">
      <c r="A152" s="1106"/>
      <c r="B152" s="1103"/>
      <c r="C152" s="1103"/>
      <c r="D152" s="1103"/>
      <c r="E152" s="1104"/>
      <c r="F152" s="1105"/>
      <c r="G152" s="856"/>
      <c r="H152" s="729"/>
      <c r="I152" s="696"/>
      <c r="J152" s="278"/>
      <c r="K152" s="598"/>
      <c r="L152" s="598"/>
      <c r="M152" s="597"/>
    </row>
    <row r="153" spans="1:13" ht="15.75" customHeight="1">
      <c r="A153" s="580"/>
      <c r="B153" s="580"/>
      <c r="C153" s="585"/>
      <c r="D153" s="203"/>
      <c r="E153" s="582"/>
      <c r="F153" s="859"/>
      <c r="G153" s="578"/>
      <c r="H153" s="582"/>
      <c r="I153" s="580"/>
      <c r="J153" s="319"/>
      <c r="K153" s="207"/>
      <c r="L153" s="207"/>
      <c r="M153" s="579"/>
    </row>
    <row r="154" spans="1:13" ht="15.75" customHeight="1" thickBot="1">
      <c r="A154" s="580"/>
      <c r="B154" s="581"/>
      <c r="C154" s="584"/>
      <c r="D154" s="203"/>
      <c r="E154" s="583"/>
      <c r="F154" s="198"/>
      <c r="G154" s="198"/>
      <c r="H154" s="582"/>
      <c r="I154" s="581"/>
      <c r="J154" s="319"/>
      <c r="K154" s="207"/>
      <c r="L154" s="207"/>
      <c r="M154" s="579"/>
    </row>
    <row r="155" spans="1:13" ht="15.75" customHeight="1">
      <c r="A155" s="580"/>
      <c r="B155" s="708" t="s">
        <v>751</v>
      </c>
      <c r="C155" s="708"/>
      <c r="D155" s="523"/>
      <c r="E155" s="573" t="s">
        <v>135</v>
      </c>
      <c r="F155" s="573"/>
      <c r="G155" s="573"/>
      <c r="H155" s="523"/>
      <c r="I155" s="747" t="s">
        <v>587</v>
      </c>
      <c r="J155" s="333"/>
      <c r="K155" s="523"/>
      <c r="L155" s="207"/>
      <c r="M155" s="579"/>
    </row>
    <row r="156" spans="1:13" ht="15" customHeight="1">
      <c r="A156" s="580"/>
      <c r="B156" s="220" t="s">
        <v>752</v>
      </c>
      <c r="C156" s="220"/>
      <c r="D156" s="126"/>
      <c r="E156" s="134" t="s">
        <v>145</v>
      </c>
      <c r="F156" s="134"/>
      <c r="G156" s="134"/>
      <c r="H156" s="126"/>
      <c r="I156" s="1218" t="s">
        <v>519</v>
      </c>
      <c r="J156" s="1218"/>
      <c r="K156" s="1218"/>
      <c r="L156" s="207"/>
      <c r="M156" s="579"/>
    </row>
    <row r="157" spans="1:13" ht="15" customHeight="1">
      <c r="A157" s="578"/>
      <c r="B157" s="220" t="s">
        <v>47</v>
      </c>
      <c r="C157" s="220"/>
      <c r="D157" s="126"/>
      <c r="E157" s="1218" t="s">
        <v>48</v>
      </c>
      <c r="F157" s="1218"/>
      <c r="G157" s="1218"/>
      <c r="H157" s="126"/>
      <c r="I157" s="1217" t="s">
        <v>48</v>
      </c>
      <c r="J157" s="1217"/>
      <c r="K157" s="1217"/>
      <c r="L157" s="127"/>
      <c r="M157" s="202"/>
    </row>
    <row r="158" spans="1:13" ht="15.75">
      <c r="A158" s="202"/>
      <c r="B158" s="220" t="s">
        <v>753</v>
      </c>
      <c r="C158" s="220"/>
      <c r="D158" s="126"/>
      <c r="E158" s="126"/>
      <c r="F158" s="126"/>
      <c r="G158" s="573"/>
      <c r="H158" s="573"/>
      <c r="I158" s="126" t="s">
        <v>518</v>
      </c>
      <c r="J158" s="334"/>
      <c r="K158" s="126"/>
      <c r="L158" s="127"/>
      <c r="M158" s="202"/>
    </row>
    <row r="159" spans="1:13" ht="15.75" customHeight="1">
      <c r="A159" s="580"/>
      <c r="B159" s="580"/>
      <c r="C159" s="585"/>
      <c r="D159" s="203"/>
      <c r="E159" s="582"/>
      <c r="F159" s="578"/>
      <c r="G159" s="578"/>
      <c r="H159" s="582"/>
      <c r="I159" s="580"/>
      <c r="J159" s="319"/>
      <c r="K159" s="207"/>
      <c r="L159" s="207"/>
      <c r="M159" s="579"/>
    </row>
    <row r="160" spans="1:13" ht="15.75" customHeight="1">
      <c r="A160" s="580"/>
      <c r="B160" s="580"/>
      <c r="C160" s="585"/>
      <c r="D160" s="203"/>
      <c r="E160" s="582"/>
      <c r="F160" s="578"/>
      <c r="G160" s="578"/>
      <c r="H160" s="582"/>
      <c r="I160" s="580"/>
      <c r="J160" s="319"/>
      <c r="K160" s="207"/>
      <c r="L160" s="207"/>
      <c r="M160" s="579"/>
    </row>
    <row r="161" spans="1:13" ht="15.75" customHeight="1">
      <c r="A161" s="580"/>
      <c r="B161" s="580"/>
      <c r="C161" s="585"/>
      <c r="D161" s="203"/>
      <c r="E161" s="582"/>
      <c r="F161" s="578"/>
      <c r="G161" s="578"/>
      <c r="H161" s="582"/>
      <c r="I161" s="580"/>
      <c r="J161" s="319"/>
      <c r="K161" s="207"/>
      <c r="L161" s="207"/>
      <c r="M161" s="579"/>
    </row>
  </sheetData>
  <mergeCells count="118">
    <mergeCell ref="E122:G128"/>
    <mergeCell ref="I157:K157"/>
    <mergeCell ref="I156:K156"/>
    <mergeCell ref="E157:G157"/>
    <mergeCell ref="H111:J111"/>
    <mergeCell ref="I67:K67"/>
    <mergeCell ref="I115:J115"/>
    <mergeCell ref="E69:E70"/>
    <mergeCell ref="F72:G72"/>
    <mergeCell ref="J74:L74"/>
    <mergeCell ref="J75:L75"/>
    <mergeCell ref="I117:J117"/>
    <mergeCell ref="I116:J116"/>
    <mergeCell ref="J76:L76"/>
    <mergeCell ref="H109:J109"/>
    <mergeCell ref="H110:J110"/>
    <mergeCell ref="I114:J114"/>
    <mergeCell ref="F71:G71"/>
    <mergeCell ref="F36:G36"/>
    <mergeCell ref="I62:I63"/>
    <mergeCell ref="A1:M3"/>
    <mergeCell ref="A5:M5"/>
    <mergeCell ref="A7:E7"/>
    <mergeCell ref="H7:L7"/>
    <mergeCell ref="A8:D8"/>
    <mergeCell ref="H8:K8"/>
    <mergeCell ref="C48:D48"/>
    <mergeCell ref="F34:G34"/>
    <mergeCell ref="F33:G33"/>
    <mergeCell ref="F30:G31"/>
    <mergeCell ref="J30:J31"/>
    <mergeCell ref="F35:G35"/>
    <mergeCell ref="C33:D33"/>
    <mergeCell ref="C34:D34"/>
    <mergeCell ref="C35:D35"/>
    <mergeCell ref="H13:L14"/>
    <mergeCell ref="E30:E31"/>
    <mergeCell ref="A9:D9"/>
    <mergeCell ref="A11:D11"/>
    <mergeCell ref="A13:D13"/>
    <mergeCell ref="A10:D10"/>
    <mergeCell ref="B30:B31"/>
    <mergeCell ref="M69:M70"/>
    <mergeCell ref="H62:H63"/>
    <mergeCell ref="H69:H70"/>
    <mergeCell ref="I69:I70"/>
    <mergeCell ref="J69:J70"/>
    <mergeCell ref="F50:G50"/>
    <mergeCell ref="A59:F59"/>
    <mergeCell ref="H57:J58"/>
    <mergeCell ref="F53:G53"/>
    <mergeCell ref="K69:K70"/>
    <mergeCell ref="C53:D53"/>
    <mergeCell ref="F64:G64"/>
    <mergeCell ref="A62:A63"/>
    <mergeCell ref="F69:G70"/>
    <mergeCell ref="L69:L70"/>
    <mergeCell ref="C30:D31"/>
    <mergeCell ref="F48:G48"/>
    <mergeCell ref="L62:L63"/>
    <mergeCell ref="C52:D52"/>
    <mergeCell ref="C54:D54"/>
    <mergeCell ref="J62:J63"/>
    <mergeCell ref="C32:D32"/>
    <mergeCell ref="I30:I31"/>
    <mergeCell ref="K62:K63"/>
    <mergeCell ref="F56:G56"/>
    <mergeCell ref="H30:H31"/>
    <mergeCell ref="F32:G32"/>
    <mergeCell ref="F55:G55"/>
    <mergeCell ref="F62:G63"/>
    <mergeCell ref="F47:G47"/>
    <mergeCell ref="F49:G49"/>
    <mergeCell ref="F54:G54"/>
    <mergeCell ref="F51:G51"/>
    <mergeCell ref="F52:G52"/>
    <mergeCell ref="A56:E56"/>
    <mergeCell ref="C42:D42"/>
    <mergeCell ref="C41:D41"/>
    <mergeCell ref="C43:D43"/>
    <mergeCell ref="C51:D51"/>
    <mergeCell ref="A12:D12"/>
    <mergeCell ref="A14:D14"/>
    <mergeCell ref="A15:D15"/>
    <mergeCell ref="A30:A31"/>
    <mergeCell ref="F46:G46"/>
    <mergeCell ref="A16:D16"/>
    <mergeCell ref="A18:D18"/>
    <mergeCell ref="A25:D25"/>
    <mergeCell ref="F42:G42"/>
    <mergeCell ref="F40:G40"/>
    <mergeCell ref="F44:G44"/>
    <mergeCell ref="F39:G39"/>
    <mergeCell ref="F45:G45"/>
    <mergeCell ref="F37:G37"/>
    <mergeCell ref="C40:D40"/>
    <mergeCell ref="C46:D46"/>
    <mergeCell ref="F38:G38"/>
    <mergeCell ref="F41:G41"/>
    <mergeCell ref="F43:G43"/>
    <mergeCell ref="C36:D36"/>
    <mergeCell ref="C39:D39"/>
    <mergeCell ref="C38:D38"/>
    <mergeCell ref="C37:D37"/>
    <mergeCell ref="C44:D44"/>
    <mergeCell ref="C47:D47"/>
    <mergeCell ref="A69:A70"/>
    <mergeCell ref="B69:B70"/>
    <mergeCell ref="C49:D49"/>
    <mergeCell ref="C55:D55"/>
    <mergeCell ref="B62:B63"/>
    <mergeCell ref="C45:D45"/>
    <mergeCell ref="E62:E63"/>
    <mergeCell ref="D62:D63"/>
    <mergeCell ref="C62:C63"/>
    <mergeCell ref="C50:D50"/>
    <mergeCell ref="C69:C70"/>
    <mergeCell ref="D69:D70"/>
  </mergeCells>
  <phoneticPr fontId="20" type="noConversion"/>
  <printOptions horizontalCentered="1" verticalCentered="1"/>
  <pageMargins left="1.4017716535433071" right="0.23622047244094491" top="0.74803149606299213" bottom="0.74803149606299213" header="0.31496062992125984" footer="0.31496062992125984"/>
  <pageSetup paperSize="9" scale="26" fitToHeight="0" orientation="landscape" r:id="rId1"/>
  <headerFooter>
    <oddFooter>Página &amp;P</oddFooter>
  </headerFooter>
  <rowBreaks count="1" manualBreakCount="1">
    <brk id="76" max="12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15"/>
  <dimension ref="A1:S61"/>
  <sheetViews>
    <sheetView zoomScale="50" zoomScaleNormal="50" workbookViewId="0">
      <selection activeCell="A9" sqref="A9"/>
    </sheetView>
  </sheetViews>
  <sheetFormatPr baseColWidth="10" defaultRowHeight="15"/>
  <cols>
    <col min="1" max="1" width="58.85546875" customWidth="1"/>
    <col min="3" max="3" width="11.85546875" bestFit="1" customWidth="1"/>
    <col min="4" max="4" width="86.140625" customWidth="1"/>
    <col min="5" max="5" width="78.85546875" customWidth="1"/>
    <col min="6" max="6" width="100" customWidth="1"/>
    <col min="15" max="15" width="11.42578125" style="289"/>
    <col min="16" max="16" width="32" style="289" customWidth="1"/>
  </cols>
  <sheetData>
    <row r="1" spans="1:19">
      <c r="A1" t="str">
        <f ca="1">CONCATENATE(B13,E9)</f>
        <v>Rendimientos financieros AL 31 DE JULIO DE 2023</v>
      </c>
    </row>
    <row r="2" spans="1:19">
      <c r="H2">
        <v>1</v>
      </c>
      <c r="I2" t="s">
        <v>387</v>
      </c>
      <c r="N2" t="s">
        <v>392</v>
      </c>
      <c r="O2">
        <v>2021</v>
      </c>
      <c r="P2" s="289" t="str">
        <f>CONCATENATE(N2," ","DE"," ",O2)</f>
        <v>SEPTIEMBRE DE 2021</v>
      </c>
      <c r="Q2">
        <v>18</v>
      </c>
      <c r="S2" t="e">
        <f ca="1">VLOOKUP(E10,$P$2:$Q$53,2,0)</f>
        <v>#N/A</v>
      </c>
    </row>
    <row r="3" spans="1:19">
      <c r="H3">
        <v>2</v>
      </c>
      <c r="I3" t="s">
        <v>386</v>
      </c>
      <c r="N3" t="s">
        <v>393</v>
      </c>
      <c r="O3" s="289">
        <v>2021</v>
      </c>
      <c r="P3" s="289" t="str">
        <f t="shared" ref="P3:P53" si="0">CONCATENATE(N3," ","DE"," ",O3)</f>
        <v>OCTUBRE DE 2021</v>
      </c>
      <c r="Q3">
        <v>19</v>
      </c>
    </row>
    <row r="4" spans="1:19">
      <c r="H4" s="289">
        <v>3</v>
      </c>
      <c r="I4" s="289" t="s">
        <v>388</v>
      </c>
      <c r="N4" s="289" t="s">
        <v>394</v>
      </c>
      <c r="O4" s="289">
        <v>2021</v>
      </c>
      <c r="P4" s="289" t="str">
        <f t="shared" si="0"/>
        <v>NOVIEMBRE DE 2021</v>
      </c>
      <c r="Q4" s="289">
        <v>20</v>
      </c>
    </row>
    <row r="5" spans="1:19">
      <c r="H5" s="289">
        <v>4</v>
      </c>
      <c r="I5" s="289" t="s">
        <v>389</v>
      </c>
      <c r="N5" s="289" t="s">
        <v>395</v>
      </c>
      <c r="O5" s="289">
        <v>2021</v>
      </c>
      <c r="P5" s="289" t="str">
        <f t="shared" si="0"/>
        <v>DICIEMBRE DE 2021</v>
      </c>
      <c r="Q5" s="289">
        <v>21</v>
      </c>
    </row>
    <row r="6" spans="1:19">
      <c r="H6" s="289">
        <v>5</v>
      </c>
      <c r="I6" s="289" t="s">
        <v>390</v>
      </c>
      <c r="N6" s="289" t="s">
        <v>387</v>
      </c>
      <c r="O6">
        <v>2022</v>
      </c>
      <c r="P6" s="289" t="str">
        <f t="shared" si="0"/>
        <v>ENERO DE 2022</v>
      </c>
      <c r="Q6" s="289">
        <v>22</v>
      </c>
    </row>
    <row r="7" spans="1:19">
      <c r="H7" s="289">
        <v>6</v>
      </c>
      <c r="I7" s="289" t="s">
        <v>391</v>
      </c>
      <c r="N7" s="289" t="s">
        <v>386</v>
      </c>
      <c r="O7" s="289">
        <v>2022</v>
      </c>
      <c r="P7" s="289" t="str">
        <f t="shared" si="0"/>
        <v>FEBRERO DE 2022</v>
      </c>
      <c r="Q7" s="289">
        <v>23</v>
      </c>
    </row>
    <row r="8" spans="1:19">
      <c r="A8" s="293">
        <f ca="1">TODAY()</f>
        <v>45148</v>
      </c>
      <c r="B8">
        <f ca="1">DAY(A8)</f>
        <v>10</v>
      </c>
      <c r="H8" s="289">
        <v>7</v>
      </c>
      <c r="I8" s="289" t="s">
        <v>355</v>
      </c>
      <c r="K8" t="str">
        <f ca="1">CONCATENATE(B14,E10)</f>
        <v>TOTAL RENDIMIENTOS GENERADOS POR LOS RECURSOS DEL FONDO DE JULIO DE 2023</v>
      </c>
      <c r="N8" s="289" t="s">
        <v>388</v>
      </c>
      <c r="O8" s="289">
        <v>2022</v>
      </c>
      <c r="P8" s="289" t="str">
        <f t="shared" si="0"/>
        <v>MARZO DE 2022</v>
      </c>
      <c r="Q8" s="289">
        <v>24</v>
      </c>
    </row>
    <row r="9" spans="1:19">
      <c r="A9" s="293">
        <f ca="1">A8-B8</f>
        <v>45138</v>
      </c>
      <c r="B9" s="289">
        <f ca="1">DAY(A9)</f>
        <v>31</v>
      </c>
      <c r="C9">
        <f ca="1">MONTH(A9)</f>
        <v>7</v>
      </c>
      <c r="D9">
        <f ca="1">YEAR(A9)</f>
        <v>2023</v>
      </c>
      <c r="E9" t="str">
        <f ca="1">CONCATENATE(B9," ","DE"," ",C10," ","DE"," ",D9)</f>
        <v>31 DE JULIO DE 2023</v>
      </c>
      <c r="H9" s="289">
        <v>8</v>
      </c>
      <c r="I9" s="289" t="s">
        <v>356</v>
      </c>
      <c r="N9" s="289" t="s">
        <v>389</v>
      </c>
      <c r="O9" s="289">
        <v>2022</v>
      </c>
      <c r="P9" s="289" t="str">
        <f t="shared" si="0"/>
        <v>ABRIL DE 2022</v>
      </c>
      <c r="Q9" s="289">
        <v>25</v>
      </c>
    </row>
    <row r="10" spans="1:19">
      <c r="C10" t="str">
        <f ca="1">VLOOKUP(C9,$H$2:$I$13,2,0)</f>
        <v>JULIO</v>
      </c>
      <c r="E10" s="289" t="str">
        <f ca="1">CONCATENATE(C10," ","DE"," ",D9)</f>
        <v>JULIO DE 2023</v>
      </c>
      <c r="F10" t="str">
        <f ca="1">CONCATENATE(C10," ","-"," ",D9)</f>
        <v>JULIO - 2023</v>
      </c>
      <c r="H10" s="289">
        <v>9</v>
      </c>
      <c r="I10" s="289" t="s">
        <v>392</v>
      </c>
      <c r="N10" s="289" t="s">
        <v>390</v>
      </c>
      <c r="O10" s="289">
        <v>2022</v>
      </c>
      <c r="P10" s="289" t="str">
        <f t="shared" si="0"/>
        <v>MAYO DE 2022</v>
      </c>
      <c r="Q10" s="289">
        <v>26</v>
      </c>
    </row>
    <row r="11" spans="1:19">
      <c r="H11" s="289">
        <v>10</v>
      </c>
      <c r="I11" s="289" t="s">
        <v>393</v>
      </c>
      <c r="N11" s="289" t="s">
        <v>391</v>
      </c>
      <c r="O11" s="289">
        <v>2022</v>
      </c>
      <c r="P11" s="289" t="str">
        <f t="shared" si="0"/>
        <v>JUNIO DE 2022</v>
      </c>
      <c r="Q11" s="289">
        <v>27</v>
      </c>
    </row>
    <row r="12" spans="1:19">
      <c r="B12" t="s">
        <v>396</v>
      </c>
      <c r="H12" s="289">
        <v>11</v>
      </c>
      <c r="I12" s="289" t="s">
        <v>394</v>
      </c>
      <c r="N12" s="289" t="s">
        <v>355</v>
      </c>
      <c r="O12" s="289">
        <v>2022</v>
      </c>
      <c r="P12" s="289" t="str">
        <f t="shared" si="0"/>
        <v>JULIO DE 2022</v>
      </c>
      <c r="Q12" s="289">
        <v>28</v>
      </c>
    </row>
    <row r="13" spans="1:19">
      <c r="B13" t="s">
        <v>397</v>
      </c>
      <c r="H13" s="289">
        <v>12</v>
      </c>
      <c r="I13" s="289" t="s">
        <v>395</v>
      </c>
      <c r="N13" s="289" t="s">
        <v>356</v>
      </c>
      <c r="O13" s="289">
        <v>2022</v>
      </c>
      <c r="P13" s="289" t="str">
        <f t="shared" si="0"/>
        <v>AGOSTO DE 2022</v>
      </c>
      <c r="Q13" s="289">
        <v>29</v>
      </c>
    </row>
    <row r="14" spans="1:19">
      <c r="B14" s="289" t="s">
        <v>416</v>
      </c>
      <c r="N14" s="289" t="s">
        <v>392</v>
      </c>
      <c r="O14" s="289">
        <v>2022</v>
      </c>
      <c r="P14" s="289" t="str">
        <f t="shared" si="0"/>
        <v>SEPTIEMBRE DE 2022</v>
      </c>
      <c r="Q14" s="289">
        <v>30</v>
      </c>
    </row>
    <row r="15" spans="1:19">
      <c r="N15" s="289" t="s">
        <v>393</v>
      </c>
      <c r="O15" s="289">
        <v>2022</v>
      </c>
      <c r="P15" s="289" t="str">
        <f t="shared" si="0"/>
        <v>OCTUBRE DE 2022</v>
      </c>
      <c r="Q15" s="289">
        <v>31</v>
      </c>
    </row>
    <row r="16" spans="1:19">
      <c r="K16" t="str">
        <f ca="1">CONCATENATE(B12,E9)</f>
        <v>TOTAL RENDIMIENTOS DISPONIBLES AL 31 DE JULIO DE 2023</v>
      </c>
      <c r="N16" s="289" t="s">
        <v>394</v>
      </c>
      <c r="O16" s="289">
        <v>2022</v>
      </c>
      <c r="P16" s="289" t="str">
        <f t="shared" si="0"/>
        <v>NOVIEMBRE DE 2022</v>
      </c>
      <c r="Q16" s="289">
        <v>32</v>
      </c>
    </row>
    <row r="17" spans="4:17">
      <c r="N17" s="289" t="s">
        <v>395</v>
      </c>
      <c r="O17" s="289">
        <v>2022</v>
      </c>
      <c r="P17" s="289" t="str">
        <f t="shared" si="0"/>
        <v>DICIEMBRE DE 2022</v>
      </c>
      <c r="Q17" s="289">
        <v>33</v>
      </c>
    </row>
    <row r="18" spans="4:17">
      <c r="N18" s="289" t="s">
        <v>387</v>
      </c>
      <c r="O18">
        <v>2023</v>
      </c>
      <c r="P18" s="289" t="str">
        <f t="shared" si="0"/>
        <v>ENERO DE 2023</v>
      </c>
      <c r="Q18" s="289">
        <v>34</v>
      </c>
    </row>
    <row r="19" spans="4:17">
      <c r="N19" s="289" t="s">
        <v>386</v>
      </c>
      <c r="O19" s="289">
        <v>2023</v>
      </c>
      <c r="P19" s="289" t="str">
        <f t="shared" si="0"/>
        <v>FEBRERO DE 2023</v>
      </c>
      <c r="Q19" s="289">
        <v>35</v>
      </c>
    </row>
    <row r="20" spans="4:17">
      <c r="N20" s="289" t="s">
        <v>388</v>
      </c>
      <c r="O20" s="289">
        <v>2023</v>
      </c>
      <c r="P20" s="289" t="str">
        <f t="shared" si="0"/>
        <v>MARZO DE 2023</v>
      </c>
      <c r="Q20" s="289">
        <v>36</v>
      </c>
    </row>
    <row r="21" spans="4:17" ht="134.25" customHeight="1">
      <c r="D21" s="576" t="s">
        <v>425</v>
      </c>
      <c r="E21" s="576" t="str">
        <f ca="1">CONCATENATE(D21,$E$9)</f>
        <v>UNIVERSIDAD NACIONAL DE COLOMBIA
NIT.  899.999.063-3
CONTRATO INTERADMINISTRATIVO  1471299
ANEXO 6:  RENDIMIENTOS FINANCIEROS CUENTA TAURAMENA 
AL 31 DE JULIO DE 2023</v>
      </c>
      <c r="M21" s="289">
        <v>2023</v>
      </c>
      <c r="N21" s="289" t="s">
        <v>389</v>
      </c>
      <c r="P21" s="289" t="str">
        <f t="shared" si="0"/>
        <v xml:space="preserve">ABRIL DE </v>
      </c>
      <c r="Q21" s="289">
        <v>37</v>
      </c>
    </row>
    <row r="22" spans="4:17" ht="75">
      <c r="D22" s="576" t="s">
        <v>398</v>
      </c>
      <c r="E22" s="576" t="str">
        <f t="shared" ref="E22:E61" ca="1" si="1">CONCATENATE(D22,$E$9)</f>
        <v>UNIVERSIDAD NACIONAL DE COLOMBIA
NIT.  899.999.063-3
CONTRATO INTERADMINISTRATIVO  1471299
ANEXO 6:  RENDIMIENTOS FINANCIEROS CUENTA ITAGÜÍ  
AL 31 DE JULIO DE 2023</v>
      </c>
      <c r="M22" s="289">
        <v>2023</v>
      </c>
      <c r="N22" s="289" t="s">
        <v>390</v>
      </c>
      <c r="P22" s="289" t="str">
        <f t="shared" si="0"/>
        <v xml:space="preserve">MAYO DE </v>
      </c>
      <c r="Q22" s="289">
        <v>38</v>
      </c>
    </row>
    <row r="23" spans="4:17" ht="75">
      <c r="D23" s="576" t="s">
        <v>399</v>
      </c>
      <c r="E23" s="576" t="str">
        <f t="shared" ca="1" si="1"/>
        <v>UNIVERSIDAD NACIONAL DE COLOMBIA
NIT.  899.999.063-3
CONTRATO INTERADMINISTRATIVO  1471299
ANEXO 6:  RENDIMIENTOS FINANCIEROS CUENTA VILLANUEVA  
AL 31 DE JULIO DE 2023</v>
      </c>
      <c r="M23" s="289">
        <v>2023</v>
      </c>
      <c r="N23" s="289" t="s">
        <v>391</v>
      </c>
      <c r="P23" s="289" t="str">
        <f t="shared" si="0"/>
        <v xml:space="preserve">JUNIO DE </v>
      </c>
      <c r="Q23" s="289">
        <v>39</v>
      </c>
    </row>
    <row r="24" spans="4:17" ht="75">
      <c r="D24" s="576" t="s">
        <v>400</v>
      </c>
      <c r="E24" s="576" t="str">
        <f t="shared" ca="1" si="1"/>
        <v>UNIVERSIDAD NACIONAL DE COLOMBIA
NIT.  899.999.063-3
CONTRATO INTERADMINISTRATIVO  1471299
ANEXO 6:  RENDIMIENTOS FINANCIEROS CUENTA SAN JUAN DE URABÁ  
AL 31 DE JULIO DE 2023</v>
      </c>
      <c r="M24" s="289">
        <v>2023</v>
      </c>
      <c r="N24" s="289" t="s">
        <v>355</v>
      </c>
      <c r="P24" s="289" t="str">
        <f t="shared" si="0"/>
        <v xml:space="preserve">JULIO DE </v>
      </c>
      <c r="Q24" s="289">
        <v>40</v>
      </c>
    </row>
    <row r="25" spans="4:17" ht="75">
      <c r="D25" s="576" t="s">
        <v>401</v>
      </c>
      <c r="E25" s="576" t="str">
        <f t="shared" ca="1" si="1"/>
        <v>UNIVERSIDAD NACIONAL DE COLOMBIA
NIT.  899.999.063-3
CONTRATO INTERADMINISTRATIVO  1471299
ANEXO 6:  RENDIMIENTOS FINANCIEROS CUENTA YARUMAL 
AL 31 DE JULIO DE 2023</v>
      </c>
      <c r="M25" s="289">
        <v>2023</v>
      </c>
      <c r="N25" s="289" t="s">
        <v>356</v>
      </c>
      <c r="P25" s="289" t="str">
        <f t="shared" si="0"/>
        <v xml:space="preserve">AGOSTO DE </v>
      </c>
      <c r="Q25" s="289">
        <v>41</v>
      </c>
    </row>
    <row r="26" spans="4:17" ht="75">
      <c r="D26" s="576" t="s">
        <v>417</v>
      </c>
      <c r="E26" s="576" t="str">
        <f t="shared" ca="1" si="1"/>
        <v>UNIVERSIDAD NACIONAL DE COLOMBIA
NIT.  899.999.063-3
CONTRATO INTERADMINISTRATIVO  1471299
ANEXO 6:  RENDIMIENTOS FINANCIEROS CUENTA GARZON 
AL 31 DE JULIO DE 2023</v>
      </c>
      <c r="M26" s="289">
        <v>2023</v>
      </c>
      <c r="N26" s="289" t="s">
        <v>392</v>
      </c>
      <c r="P26" s="289" t="str">
        <f t="shared" si="0"/>
        <v xml:space="preserve">SEPTIEMBRE DE </v>
      </c>
      <c r="Q26" s="289">
        <v>42</v>
      </c>
    </row>
    <row r="27" spans="4:17" ht="90">
      <c r="D27" s="576" t="s">
        <v>402</v>
      </c>
      <c r="E27" s="576" t="str">
        <f t="shared" ca="1" si="1"/>
        <v>UNIVERSIDAD NACIONAL DE COLOMBIA
NIT.  899.999.063-3
CONTRATO INTERADMINISTRATIVO  1471299
ANEXO 6:  RENDIMIENTOS FINANCIEROS CUENTA 
DEPARTAMENTO DE SUCRE 
AL 31 DE JULIO DE 2023</v>
      </c>
      <c r="M27" s="289">
        <v>2023</v>
      </c>
      <c r="N27" s="289" t="s">
        <v>393</v>
      </c>
      <c r="P27" s="289" t="str">
        <f t="shared" si="0"/>
        <v xml:space="preserve">OCTUBRE DE </v>
      </c>
      <c r="Q27" s="289">
        <v>43</v>
      </c>
    </row>
    <row r="28" spans="4:17" ht="75">
      <c r="D28" s="576" t="s">
        <v>403</v>
      </c>
      <c r="E28" s="576" t="str">
        <f t="shared" ca="1" si="1"/>
        <v>UNIVERSIDAD NACIONAL DE COLOMBIA
NIT.  899.999.063-3
CONTRATO INTERADMINISTRATIVO  1471299
ANEXO 6:  RENDIMIENTOS FINANCIEROS CUENTA PLANADAS
AL 31 DE JULIO DE 2023</v>
      </c>
      <c r="M28" s="289">
        <v>2023</v>
      </c>
      <c r="N28" s="289" t="s">
        <v>394</v>
      </c>
      <c r="P28" s="289" t="str">
        <f t="shared" si="0"/>
        <v xml:space="preserve">NOVIEMBRE DE </v>
      </c>
      <c r="Q28" s="289">
        <v>44</v>
      </c>
    </row>
    <row r="29" spans="4:17" ht="75">
      <c r="D29" s="576" t="s">
        <v>404</v>
      </c>
      <c r="E29" s="576" t="str">
        <f t="shared" ca="1" si="1"/>
        <v>UNIVERSIDAD NACIONAL DE COLOMBIA
NIT.  899.999.063-3
CONTRATO INTERADMINISTRATIVO  1471299
ANEXO 6:  RENDIMIENTOS FINANCIEROS CUENTA CALDAS
AL 31 DE JULIO DE 2023</v>
      </c>
      <c r="M29" s="289">
        <v>2023</v>
      </c>
      <c r="N29" s="289" t="s">
        <v>395</v>
      </c>
      <c r="P29" s="289" t="str">
        <f t="shared" si="0"/>
        <v xml:space="preserve">DICIEMBRE DE </v>
      </c>
      <c r="Q29" s="289">
        <v>45</v>
      </c>
    </row>
    <row r="30" spans="4:17" ht="75">
      <c r="D30" s="576" t="s">
        <v>421</v>
      </c>
      <c r="E30" s="576" t="str">
        <f t="shared" ca="1" si="1"/>
        <v>UNIVERSIDAD NACIONAL DE COLOMBIA
NIT.  899.999.063-3
CONTRATO INTERADMINISTRATIVO  1471299
ANEXO 6:  RENDIMIENTOS FINANCIEROS CUENTA BUGALAGRANDE
AL 31 DE JULIO DE 2023</v>
      </c>
      <c r="M30">
        <v>2024</v>
      </c>
      <c r="N30" s="289" t="s">
        <v>387</v>
      </c>
      <c r="P30" s="289" t="str">
        <f t="shared" si="0"/>
        <v xml:space="preserve">ENERO DE </v>
      </c>
      <c r="Q30" s="289">
        <v>46</v>
      </c>
    </row>
    <row r="31" spans="4:17" ht="75">
      <c r="D31" s="576" t="s">
        <v>405</v>
      </c>
      <c r="E31" s="576" t="str">
        <f t="shared" ca="1" si="1"/>
        <v>UNIVERSIDAD NACIONAL DE COLOMBIA
NIT.  899.999.063-3
CONTRATO INTERADMINISTRATIVO  1471299
ANEXO 6:  RENDIMIENTOS FINANCIEROS CUENTA CARMEN DE VIBORAL
AL 31 DE JULIO DE 2023</v>
      </c>
      <c r="M31" s="289">
        <v>2024</v>
      </c>
      <c r="N31" s="289" t="s">
        <v>386</v>
      </c>
      <c r="P31" s="289" t="str">
        <f t="shared" si="0"/>
        <v xml:space="preserve">FEBRERO DE </v>
      </c>
      <c r="Q31" s="289">
        <v>47</v>
      </c>
    </row>
    <row r="32" spans="4:17" ht="75">
      <c r="D32" s="576" t="s">
        <v>406</v>
      </c>
      <c r="E32" s="576" t="str">
        <f t="shared" ca="1" si="1"/>
        <v>UNIVERSIDAD NACIONAL DE COLOMBIA
NIT.  899.999.063-3
CONTRATO INTERADMINISTRATIVO  1471299
ANEXO 6:  RENDIMIENTOS FINANCIEROS CUENTA PLANETA RICA
AL 31 DE JULIO DE 2023</v>
      </c>
      <c r="M32" s="289">
        <v>2024</v>
      </c>
      <c r="N32" s="289" t="s">
        <v>388</v>
      </c>
      <c r="P32" s="289" t="str">
        <f t="shared" si="0"/>
        <v xml:space="preserve">MARZO DE </v>
      </c>
      <c r="Q32" s="289">
        <v>48</v>
      </c>
    </row>
    <row r="33" spans="4:17" ht="75">
      <c r="D33" s="576" t="s">
        <v>407</v>
      </c>
      <c r="E33" s="576" t="str">
        <f t="shared" ca="1" si="1"/>
        <v>UNIVERSIDAD NACIONAL DE COLOMBIA
NIT.  899.999.063-3
CONTRATO INTERADMINISTRATIVO  1471299
ANEXO 6:  RENDIMIENTOS FINANCIEROS CUENTA BARRANCABERMEJA
AL 31 DE JULIO DE 2023</v>
      </c>
      <c r="M33" s="289">
        <v>2024</v>
      </c>
      <c r="N33" s="289" t="s">
        <v>389</v>
      </c>
      <c r="P33" s="289" t="str">
        <f t="shared" si="0"/>
        <v xml:space="preserve">ABRIL DE </v>
      </c>
      <c r="Q33" s="289">
        <v>49</v>
      </c>
    </row>
    <row r="34" spans="4:17" ht="75">
      <c r="D34" s="576" t="s">
        <v>408</v>
      </c>
      <c r="E34" s="576" t="str">
        <f t="shared" ca="1" si="1"/>
        <v>UNIVERSIDAD NACIONAL DE COLOMBIA
NIT.  899.999.063-3
CONTRATO INTERADMINISTRATIVO  1471299
ANEXO 6:  RENDIMIENTOS FINANCIEROS CUENTA GRAMALOTE
AL 31 DE JULIO DE 2023</v>
      </c>
      <c r="M34" s="289">
        <v>2024</v>
      </c>
      <c r="N34" s="289" t="s">
        <v>390</v>
      </c>
      <c r="P34" s="289" t="str">
        <f t="shared" si="0"/>
        <v xml:space="preserve">MAYO DE </v>
      </c>
      <c r="Q34" s="289">
        <v>50</v>
      </c>
    </row>
    <row r="35" spans="4:17" ht="75">
      <c r="D35" s="576" t="s">
        <v>409</v>
      </c>
      <c r="E35" s="576" t="str">
        <f t="shared" ca="1" si="1"/>
        <v>UNIVERSIDAD NACIONAL DE COLOMBIA
NIT.  899.999.063-3
CONTRATO INTERADMINISTRATIVO  1471299
ANEXO 6:  RENDIMIENTOS FINANCIEROS CUENTA PASTORAL SOCIAL CARITAS
AL 31 DE JULIO DE 2023</v>
      </c>
      <c r="M35" s="289">
        <v>2024</v>
      </c>
      <c r="N35" s="289" t="s">
        <v>391</v>
      </c>
      <c r="P35" s="289" t="str">
        <f t="shared" si="0"/>
        <v xml:space="preserve">JUNIO DE </v>
      </c>
      <c r="Q35" s="289">
        <v>51</v>
      </c>
    </row>
    <row r="36" spans="4:17" ht="90">
      <c r="D36" s="576" t="s">
        <v>410</v>
      </c>
      <c r="E36" s="576" t="str">
        <f t="shared" ca="1" si="1"/>
        <v>UNIVERSIDAD NACIONAL DE COLOMBIA
NIT.  899.999.063-3
CONTRATO INTERADMINISTRATIVO  1471299
ANEXO 6:  RENDIMIENTOS FINANCIEROS CUENTA MINERA DE COBRE 
QUEBRADONA
AL 31 DE JULIO DE 2023</v>
      </c>
      <c r="M36" s="289">
        <v>2024</v>
      </c>
      <c r="N36" s="289" t="s">
        <v>355</v>
      </c>
      <c r="P36" s="289" t="str">
        <f t="shared" si="0"/>
        <v xml:space="preserve">JULIO DE </v>
      </c>
      <c r="Q36" s="289">
        <v>52</v>
      </c>
    </row>
    <row r="37" spans="4:17" ht="75">
      <c r="D37" s="576" t="s">
        <v>411</v>
      </c>
      <c r="E37" s="576" t="str">
        <f t="shared" ca="1" si="1"/>
        <v>UNIVERSIDAD NACIONAL DE COLOMBIA
NIT.  899.999.063-3
CONTRATO INTERADMINISTRATIVO  1471299
ANEXO 6:  RENDIMIENTOS FINANCIEROS CUENTA MINISTERIO DEL INTERIOR
AL 31 DE JULIO DE 2023</v>
      </c>
      <c r="M37" s="289">
        <v>2024</v>
      </c>
      <c r="N37" s="289" t="s">
        <v>356</v>
      </c>
      <c r="P37" s="289" t="str">
        <f t="shared" si="0"/>
        <v xml:space="preserve">AGOSTO DE </v>
      </c>
      <c r="Q37" s="289">
        <v>53</v>
      </c>
    </row>
    <row r="38" spans="4:17" ht="75">
      <c r="D38" s="576" t="s">
        <v>412</v>
      </c>
      <c r="E38" s="576" t="str">
        <f t="shared" ca="1" si="1"/>
        <v>UNIVERSIDAD NACIONAL DE COLOMBIA
NIT.  899.999.063-3
CONTRATO INTERADMINISTRATIVO  1471299
ANEXO 6:  RENDIMIENTOS FINANCIEROS CUENTA MUNICIPIO MANIZALES
AL 31 DE JULIO DE 2023</v>
      </c>
      <c r="M38" s="289">
        <v>2024</v>
      </c>
      <c r="N38" s="289" t="s">
        <v>392</v>
      </c>
      <c r="P38" s="289" t="str">
        <f t="shared" si="0"/>
        <v xml:space="preserve">SEPTIEMBRE DE </v>
      </c>
      <c r="Q38" s="289">
        <v>54</v>
      </c>
    </row>
    <row r="39" spans="4:17" ht="90">
      <c r="D39" s="576" t="s">
        <v>422</v>
      </c>
      <c r="E39" s="576" t="str">
        <f t="shared" ca="1" si="1"/>
        <v>UNIVERSIDAD NACIONAL DE COLOMBIA
NIT.  899.999.063-3
CONTRATO INTERADMINISTRATIVO  1471299
ANEXO 6:  RENDIMIENTOS FINANCIEROS CUENTA DEPARTAMENTO DE NORTE DE SANTANDER
AL 31 DE JULIO DE 2023</v>
      </c>
      <c r="M39" s="289">
        <v>2024</v>
      </c>
      <c r="N39" s="289" t="s">
        <v>393</v>
      </c>
      <c r="P39" s="289" t="str">
        <f t="shared" si="0"/>
        <v xml:space="preserve">OCTUBRE DE </v>
      </c>
      <c r="Q39" s="289">
        <v>55</v>
      </c>
    </row>
    <row r="40" spans="4:17" ht="75">
      <c r="D40" s="576" t="s">
        <v>413</v>
      </c>
      <c r="E40" s="576" t="str">
        <f t="shared" ca="1" si="1"/>
        <v>UNIVERSIDAD NACIONAL DE COLOMBIA
NIT.  899.999.063-3
CONTRATO INTERADMINISTRATIVO  1471299
ANEXO 6:  RENDIMIENTOS FINANCIEROS CUENTA MUNICIPIO DE LA VIRGINIA
AL 31 DE JULIO DE 2023</v>
      </c>
      <c r="M40" s="289">
        <v>2024</v>
      </c>
      <c r="N40" s="289" t="s">
        <v>394</v>
      </c>
      <c r="P40" s="289" t="str">
        <f t="shared" si="0"/>
        <v xml:space="preserve">NOVIEMBRE DE </v>
      </c>
      <c r="Q40" s="289">
        <v>56</v>
      </c>
    </row>
    <row r="41" spans="4:17" ht="75">
      <c r="D41" s="576" t="s">
        <v>414</v>
      </c>
      <c r="E41" s="576" t="str">
        <f t="shared" ca="1" si="1"/>
        <v>UNIVERSIDAD NACIONAL DE COLOMBIA
NIT.  899.999.063-3
CONTRATO INTERADMINISTRATIVO  1471299
ANEXO 6:  RENDIMIENTOS FINANCIEROS CUENTA MUNICIPIO DE LA ACACÍAS
AL 31 DE JULIO DE 2023</v>
      </c>
      <c r="M41" s="289">
        <v>2024</v>
      </c>
      <c r="N41" s="289" t="s">
        <v>395</v>
      </c>
      <c r="P41" s="289" t="str">
        <f t="shared" si="0"/>
        <v xml:space="preserve">DICIEMBRE DE </v>
      </c>
      <c r="Q41" s="289">
        <v>57</v>
      </c>
    </row>
    <row r="42" spans="4:17" ht="90">
      <c r="D42" s="576" t="s">
        <v>415</v>
      </c>
      <c r="E42" s="576" t="str">
        <f t="shared" ca="1" si="1"/>
        <v>UNIVERSIDAD NACIONAL DE COLOMBIA
NIT.  899.999.063-3
CONTRATO INTERADMINISTRATIVO  1471299
ANEXO 6:  RENDIMIENTOS FINANCIEROS CUENTA DISTRITO 
ESPECIAL TURISTICO Y CULTURAL DE RIOHACHA
AL 31 DE JULIO DE 2023</v>
      </c>
      <c r="M42">
        <v>2025</v>
      </c>
      <c r="N42" s="289" t="s">
        <v>387</v>
      </c>
      <c r="P42" s="289" t="str">
        <f t="shared" si="0"/>
        <v xml:space="preserve">ENERO DE </v>
      </c>
      <c r="Q42" s="289">
        <v>58</v>
      </c>
    </row>
    <row r="43" spans="4:17" ht="75">
      <c r="D43" s="576" t="s">
        <v>423</v>
      </c>
      <c r="E43" s="576" t="str">
        <f t="shared" ca="1" si="1"/>
        <v>UNIVERSIDAD NACIONAL DE COLOMBIA
NIT.  899.999.063-3
CONTRATO INTERADMINISTRATIVO  1471299
ANEXO 4:  RELACIÓN FACTURAS CON IVA  
AL 31 DE JULIO DE 2023</v>
      </c>
      <c r="M43" s="289">
        <v>2025</v>
      </c>
      <c r="N43" s="289" t="s">
        <v>386</v>
      </c>
      <c r="P43" s="289" t="str">
        <f t="shared" si="0"/>
        <v xml:space="preserve">FEBRERO DE </v>
      </c>
      <c r="Q43" s="289">
        <v>59</v>
      </c>
    </row>
    <row r="44" spans="4:17" ht="75">
      <c r="D44" s="576" t="s">
        <v>424</v>
      </c>
      <c r="E44" s="576" t="str">
        <f t="shared" ca="1" si="1"/>
        <v>UNIVERSIDAD NACIONAL DE COLOMBIA
NIT.  899.999.063-3
CONTRATO INTERADMINISTRATIVO  1471299
ANEXO 3:  RELACION CORRIENTE /NO CORRIENTE SALDO POR EJECUTAR
AL 31 DE JULIO DE 2023</v>
      </c>
      <c r="M44" s="289">
        <v>2025</v>
      </c>
      <c r="N44" s="289" t="s">
        <v>388</v>
      </c>
      <c r="P44" s="289" t="str">
        <f t="shared" si="0"/>
        <v xml:space="preserve">MARZO DE </v>
      </c>
      <c r="Q44" s="289">
        <v>60</v>
      </c>
    </row>
    <row r="45" spans="4:17" ht="75">
      <c r="D45" s="576" t="s">
        <v>418</v>
      </c>
      <c r="E45" s="576" t="str">
        <f t="shared" ca="1" si="1"/>
        <v>UNIVERSIDAD NACIONAL DE COLOMBIA
NIT.  899.999.063-3
CONTRATO INTERADMINISTRATIVO  1471299
INFORME DE EJECUCION ADHESIONES 
DEL 1 AL 31 DE JULIO DE 2023</v>
      </c>
      <c r="M45" s="289">
        <v>2025</v>
      </c>
      <c r="N45" s="289" t="s">
        <v>389</v>
      </c>
      <c r="P45" s="289" t="str">
        <f t="shared" si="0"/>
        <v xml:space="preserve">ABRIL DE </v>
      </c>
      <c r="Q45" s="289">
        <v>61</v>
      </c>
    </row>
    <row r="46" spans="4:17" ht="75">
      <c r="D46" s="576" t="s">
        <v>419</v>
      </c>
      <c r="E46" s="576" t="str">
        <f t="shared" ca="1" si="1"/>
        <v>UNIVERSIDAD NACIONAL DE COLOMBIA
NIT.  899.999.063-3
CONTRATO INTERADMINISTRATIVO  1471299
ANEXO 7: EJECUCION CAPITAL SEMILLA 
DEL 1 AL 31 DE JULIO DE 2023</v>
      </c>
      <c r="M46" s="289">
        <v>2025</v>
      </c>
      <c r="N46" s="289" t="s">
        <v>390</v>
      </c>
      <c r="P46" s="289" t="str">
        <f t="shared" si="0"/>
        <v xml:space="preserve">MAYO DE </v>
      </c>
      <c r="Q46" s="289">
        <v>62</v>
      </c>
    </row>
    <row r="47" spans="4:17" ht="75">
      <c r="D47" s="576" t="s">
        <v>420</v>
      </c>
      <c r="E47" s="576" t="str">
        <f t="shared" ca="1" si="1"/>
        <v>UNIVERSIDAD NACIONAL DE COLOMBIA
NIT.  899.999.063-3
CONTRATO INTERADMINISTRATIVO  1471299
ANEXO 2:  RENDIMIENTOS FINANCIEROS CUENTA SENA  
AL 31 DE JULIO DE 2023</v>
      </c>
      <c r="M47" s="289">
        <v>2025</v>
      </c>
      <c r="N47" s="289" t="s">
        <v>391</v>
      </c>
      <c r="P47" s="289" t="str">
        <f t="shared" si="0"/>
        <v xml:space="preserve">JUNIO DE </v>
      </c>
      <c r="Q47" s="289">
        <v>63</v>
      </c>
    </row>
    <row r="48" spans="4:17" ht="60">
      <c r="D48" s="576" t="s">
        <v>426</v>
      </c>
      <c r="E48" s="576" t="str">
        <f t="shared" ca="1" si="1"/>
        <v>UNIVERSIDAD NACIONAL DE COLOMBIA
NIT.  899.999.063-3
CONTRATO INTERADMINISTRATIVO  1471299
INFORME DE EJECUCION FINANCIERA No. 31 DE JULIO DE 2023</v>
      </c>
      <c r="F48" s="576" t="e">
        <f ca="1">CONCATENATE(D48,S2,
" DEL 1 AL ",E9)</f>
        <v>#N/A</v>
      </c>
      <c r="M48" s="289">
        <v>2025</v>
      </c>
      <c r="N48" s="289" t="s">
        <v>355</v>
      </c>
      <c r="P48" s="289" t="str">
        <f t="shared" si="0"/>
        <v xml:space="preserve">JULIO DE </v>
      </c>
      <c r="Q48" s="289">
        <v>64</v>
      </c>
    </row>
    <row r="49" spans="4:17" ht="195" customHeight="1">
      <c r="D49" s="576"/>
      <c r="E49" s="576" t="str">
        <f t="shared" ca="1" si="1"/>
        <v>31 DE JULIO DE 2023</v>
      </c>
      <c r="M49" s="289">
        <v>2025</v>
      </c>
      <c r="N49" s="289" t="s">
        <v>356</v>
      </c>
      <c r="P49" s="289" t="str">
        <f t="shared" si="0"/>
        <v xml:space="preserve">AGOSTO DE </v>
      </c>
      <c r="Q49" s="289">
        <v>65</v>
      </c>
    </row>
    <row r="50" spans="4:17">
      <c r="E50" s="576" t="str">
        <f t="shared" ca="1" si="1"/>
        <v>31 DE JULIO DE 2023</v>
      </c>
      <c r="M50" s="289">
        <v>2025</v>
      </c>
      <c r="N50" s="289" t="s">
        <v>392</v>
      </c>
      <c r="P50" s="289" t="str">
        <f t="shared" si="0"/>
        <v xml:space="preserve">SEPTIEMBRE DE </v>
      </c>
      <c r="Q50" s="289">
        <v>66</v>
      </c>
    </row>
    <row r="51" spans="4:17" ht="195" customHeight="1">
      <c r="E51" s="576" t="str">
        <f t="shared" ca="1" si="1"/>
        <v>31 DE JULIO DE 2023</v>
      </c>
      <c r="M51" s="289">
        <v>2025</v>
      </c>
      <c r="N51" s="289" t="s">
        <v>393</v>
      </c>
      <c r="P51" s="289" t="str">
        <f t="shared" si="0"/>
        <v xml:space="preserve">OCTUBRE DE </v>
      </c>
      <c r="Q51" s="289">
        <v>67</v>
      </c>
    </row>
    <row r="52" spans="4:17" ht="195" customHeight="1">
      <c r="E52" s="576" t="str">
        <f t="shared" ca="1" si="1"/>
        <v>31 DE JULIO DE 2023</v>
      </c>
      <c r="M52" s="289">
        <v>2025</v>
      </c>
      <c r="N52" s="289" t="s">
        <v>394</v>
      </c>
      <c r="P52" s="289" t="str">
        <f t="shared" si="0"/>
        <v xml:space="preserve">NOVIEMBRE DE </v>
      </c>
      <c r="Q52" s="289">
        <v>68</v>
      </c>
    </row>
    <row r="53" spans="4:17">
      <c r="E53" s="576" t="str">
        <f t="shared" ca="1" si="1"/>
        <v>31 DE JULIO DE 2023</v>
      </c>
      <c r="M53" s="289">
        <v>2025</v>
      </c>
      <c r="N53" s="289" t="s">
        <v>395</v>
      </c>
      <c r="P53" s="289" t="str">
        <f t="shared" si="0"/>
        <v xml:space="preserve">DICIEMBRE DE </v>
      </c>
      <c r="Q53" s="289">
        <v>69</v>
      </c>
    </row>
    <row r="54" spans="4:17">
      <c r="E54" s="576" t="str">
        <f t="shared" ca="1" si="1"/>
        <v>31 DE JULIO DE 2023</v>
      </c>
    </row>
    <row r="55" spans="4:17">
      <c r="E55" s="576" t="str">
        <f t="shared" ca="1" si="1"/>
        <v>31 DE JULIO DE 2023</v>
      </c>
    </row>
    <row r="56" spans="4:17">
      <c r="E56" s="576" t="str">
        <f t="shared" ca="1" si="1"/>
        <v>31 DE JULIO DE 2023</v>
      </c>
    </row>
    <row r="57" spans="4:17">
      <c r="E57" s="576" t="str">
        <f t="shared" ca="1" si="1"/>
        <v>31 DE JULIO DE 2023</v>
      </c>
    </row>
    <row r="58" spans="4:17">
      <c r="E58" s="576" t="str">
        <f t="shared" ca="1" si="1"/>
        <v>31 DE JULIO DE 2023</v>
      </c>
    </row>
    <row r="59" spans="4:17">
      <c r="E59" s="576" t="str">
        <f t="shared" ca="1" si="1"/>
        <v>31 DE JULIO DE 2023</v>
      </c>
    </row>
    <row r="60" spans="4:17">
      <c r="E60" s="576" t="str">
        <f t="shared" ca="1" si="1"/>
        <v>31 DE JULIO DE 2023</v>
      </c>
    </row>
    <row r="61" spans="4:17">
      <c r="E61" s="576" t="str">
        <f t="shared" ca="1" si="1"/>
        <v>31 DE JULIO DE 2023</v>
      </c>
    </row>
  </sheetData>
  <phoneticPr fontId="1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2">
    <pageSetUpPr fitToPage="1"/>
  </sheetPr>
  <dimension ref="A1:AE270"/>
  <sheetViews>
    <sheetView showGridLines="0" tabSelected="1" view="pageBreakPreview" topLeftCell="A91" zoomScale="70" zoomScaleNormal="85" zoomScaleSheetLayoutView="70" workbookViewId="0">
      <selection activeCell="B151" sqref="B151"/>
    </sheetView>
  </sheetViews>
  <sheetFormatPr baseColWidth="10" defaultRowHeight="14.25"/>
  <cols>
    <col min="1" max="1" width="34.28515625" style="405" customWidth="1"/>
    <col min="2" max="2" width="32" style="405" customWidth="1"/>
    <col min="3" max="3" width="20.42578125" style="405" customWidth="1"/>
    <col min="4" max="4" width="37.140625" style="405" customWidth="1"/>
    <col min="5" max="5" width="22.5703125" style="404" customWidth="1"/>
    <col min="6" max="6" width="25.28515625" style="405" customWidth="1"/>
    <col min="7" max="7" width="40" style="405" customWidth="1"/>
    <col min="8" max="8" width="25.28515625" style="405" customWidth="1"/>
    <col min="9" max="9" width="27.85546875" style="405" bestFit="1" customWidth="1"/>
    <col min="10" max="10" width="26.42578125" style="405" customWidth="1"/>
    <col min="11" max="11" width="18.7109375" style="405" customWidth="1"/>
    <col min="12" max="12" width="17.85546875" style="405" customWidth="1"/>
    <col min="13" max="13" width="21.7109375" style="405" bestFit="1" customWidth="1"/>
    <col min="14" max="14" width="19.28515625" style="405" customWidth="1"/>
    <col min="15" max="15" width="19.85546875" style="405" bestFit="1" customWidth="1"/>
    <col min="16" max="16" width="15.85546875" style="405" customWidth="1"/>
    <col min="17" max="18" width="15.85546875" style="405" bestFit="1" customWidth="1"/>
    <col min="19" max="19" width="17.7109375" style="405" bestFit="1" customWidth="1"/>
    <col min="20" max="21" width="16.28515625" style="405" bestFit="1" customWidth="1"/>
    <col min="22" max="16384" width="11.42578125" style="405"/>
  </cols>
  <sheetData>
    <row r="1" spans="1:30" s="400" customFormat="1" ht="108" customHeight="1">
      <c r="A1" s="1265" t="s">
        <v>1030</v>
      </c>
      <c r="B1" s="1265"/>
      <c r="C1" s="1265"/>
      <c r="D1" s="1265"/>
      <c r="E1" s="1265"/>
      <c r="F1" s="1265"/>
      <c r="G1" s="1265"/>
      <c r="H1" s="1265"/>
      <c r="I1" s="1265"/>
      <c r="J1" s="1265"/>
      <c r="K1" s="1265"/>
      <c r="L1" s="1265"/>
      <c r="M1" s="1265"/>
      <c r="N1" s="1265"/>
      <c r="O1" s="1265"/>
      <c r="P1" s="398"/>
      <c r="Q1" s="398"/>
      <c r="R1" s="398"/>
      <c r="S1" s="399"/>
      <c r="T1" s="399"/>
      <c r="U1" s="399"/>
      <c r="V1" s="399"/>
      <c r="W1" s="399"/>
      <c r="X1" s="399"/>
      <c r="Y1" s="399"/>
      <c r="Z1" s="399"/>
      <c r="AA1" s="399"/>
      <c r="AB1" s="399"/>
      <c r="AC1" s="399"/>
      <c r="AD1" s="399"/>
    </row>
    <row r="2" spans="1:30" s="406" customFormat="1" ht="15.75" thickBot="1">
      <c r="A2" s="401" t="s">
        <v>317</v>
      </c>
      <c r="B2" s="401"/>
      <c r="C2" s="401"/>
      <c r="D2" s="401"/>
      <c r="E2" s="402"/>
      <c r="F2" s="403"/>
      <c r="G2" s="404"/>
      <c r="H2" s="405"/>
      <c r="N2" s="407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</row>
    <row r="3" spans="1:30" s="406" customFormat="1" ht="15.75" customHeight="1">
      <c r="A3" s="1266" t="s">
        <v>25</v>
      </c>
      <c r="B3" s="1263" t="s">
        <v>318</v>
      </c>
      <c r="C3" s="1263" t="s">
        <v>319</v>
      </c>
      <c r="D3" s="1263" t="s">
        <v>320</v>
      </c>
      <c r="E3" s="1263" t="s">
        <v>321</v>
      </c>
      <c r="F3" s="1263" t="s">
        <v>322</v>
      </c>
      <c r="G3" s="1245" t="s">
        <v>323</v>
      </c>
      <c r="H3" s="1246"/>
      <c r="I3" s="1247"/>
      <c r="J3" s="1260" t="s">
        <v>324</v>
      </c>
      <c r="K3" s="1261"/>
      <c r="L3" s="1262"/>
      <c r="M3" s="1251" t="s">
        <v>325</v>
      </c>
      <c r="N3" s="1252"/>
      <c r="O3" s="1253"/>
      <c r="S3" s="1242"/>
      <c r="T3" s="1242"/>
      <c r="U3" s="408"/>
      <c r="V3" s="408"/>
      <c r="W3" s="408"/>
      <c r="X3" s="408"/>
      <c r="Y3" s="408"/>
      <c r="Z3" s="408"/>
      <c r="AA3" s="408"/>
      <c r="AB3" s="408"/>
      <c r="AC3" s="408"/>
      <c r="AD3" s="408"/>
    </row>
    <row r="4" spans="1:30" s="406" customFormat="1" ht="45.75" thickBot="1">
      <c r="A4" s="1267"/>
      <c r="B4" s="1264"/>
      <c r="C4" s="1264"/>
      <c r="D4" s="1264"/>
      <c r="E4" s="1264"/>
      <c r="F4" s="1264"/>
      <c r="G4" s="409" t="s">
        <v>326</v>
      </c>
      <c r="H4" s="409" t="s">
        <v>327</v>
      </c>
      <c r="I4" s="410" t="s">
        <v>328</v>
      </c>
      <c r="J4" s="411" t="s">
        <v>1033</v>
      </c>
      <c r="K4" s="412" t="s">
        <v>327</v>
      </c>
      <c r="L4" s="413" t="s">
        <v>328</v>
      </c>
      <c r="M4" s="414" t="s">
        <v>329</v>
      </c>
      <c r="N4" s="409" t="s">
        <v>330</v>
      </c>
      <c r="O4" s="415" t="s">
        <v>328</v>
      </c>
      <c r="S4" s="397"/>
      <c r="T4" s="397"/>
      <c r="U4" s="397"/>
      <c r="V4" s="408"/>
      <c r="W4" s="408"/>
      <c r="X4" s="408"/>
      <c r="Y4" s="408"/>
      <c r="Z4" s="408"/>
      <c r="AA4" s="408"/>
      <c r="AB4" s="408"/>
      <c r="AC4" s="408"/>
      <c r="AD4" s="408"/>
    </row>
    <row r="5" spans="1:30" s="406" customFormat="1">
      <c r="A5" s="416" t="s">
        <v>345</v>
      </c>
      <c r="B5" s="417">
        <v>1000000000</v>
      </c>
      <c r="C5" s="418">
        <f t="shared" ref="C5:C28" si="0">B5/F5</f>
        <v>0.5</v>
      </c>
      <c r="D5" s="419">
        <v>1000000000</v>
      </c>
      <c r="E5" s="420">
        <f t="shared" ref="E5:E10" si="1">D5/F5</f>
        <v>0.5</v>
      </c>
      <c r="F5" s="704">
        <f t="shared" ref="F5:F10" si="2">B5+D5</f>
        <v>2000000000</v>
      </c>
      <c r="G5" s="421">
        <v>1878154645.0000002</v>
      </c>
      <c r="H5" s="422">
        <v>939077322.50000012</v>
      </c>
      <c r="I5" s="423">
        <v>939077322.50000012</v>
      </c>
      <c r="J5" s="424">
        <f>+J93</f>
        <v>0</v>
      </c>
      <c r="K5" s="704">
        <f t="shared" ref="K5:K10" si="3">(+J5)*C5</f>
        <v>0</v>
      </c>
      <c r="L5" s="425">
        <f t="shared" ref="L5:L10" si="4">+(J5)*E5</f>
        <v>0</v>
      </c>
      <c r="M5" s="713">
        <f t="shared" ref="M5:M10" si="5">+G5+J5</f>
        <v>1878154645.0000002</v>
      </c>
      <c r="N5" s="419">
        <f t="shared" ref="N5:N10" si="6">(M5)*C5</f>
        <v>939077322.50000012</v>
      </c>
      <c r="O5" s="739">
        <f t="shared" ref="O5:O10" si="7">(M5)*E5</f>
        <v>939077322.50000012</v>
      </c>
      <c r="S5" s="408"/>
      <c r="T5" s="408"/>
      <c r="U5" s="408"/>
      <c r="V5" s="408"/>
      <c r="W5" s="408"/>
      <c r="X5" s="408"/>
      <c r="Y5" s="408"/>
      <c r="Z5" s="408"/>
      <c r="AA5" s="408"/>
      <c r="AB5" s="408"/>
      <c r="AC5" s="408"/>
      <c r="AD5" s="408"/>
    </row>
    <row r="6" spans="1:30" s="406" customFormat="1">
      <c r="A6" s="426" t="s">
        <v>346</v>
      </c>
      <c r="B6" s="427">
        <v>500000000</v>
      </c>
      <c r="C6" s="428">
        <f t="shared" si="0"/>
        <v>0.36289658245772438</v>
      </c>
      <c r="D6" s="429">
        <v>877803000</v>
      </c>
      <c r="E6" s="430">
        <f t="shared" si="1"/>
        <v>0.63710341754227562</v>
      </c>
      <c r="F6" s="705">
        <f t="shared" si="2"/>
        <v>1377803000</v>
      </c>
      <c r="G6" s="421">
        <v>867061841.29999995</v>
      </c>
      <c r="H6" s="422">
        <v>314653778.98727179</v>
      </c>
      <c r="I6" s="423">
        <v>552408062.31272817</v>
      </c>
      <c r="J6" s="431">
        <f>+J98</f>
        <v>0</v>
      </c>
      <c r="K6" s="704">
        <f t="shared" si="3"/>
        <v>0</v>
      </c>
      <c r="L6" s="425">
        <f t="shared" si="4"/>
        <v>0</v>
      </c>
      <c r="M6" s="713">
        <f t="shared" si="5"/>
        <v>867061841.29999995</v>
      </c>
      <c r="N6" s="419">
        <f t="shared" si="6"/>
        <v>314653778.98727179</v>
      </c>
      <c r="O6" s="739">
        <f t="shared" si="7"/>
        <v>552408062.31272817</v>
      </c>
      <c r="S6" s="408"/>
      <c r="T6" s="408"/>
      <c r="U6" s="408"/>
      <c r="V6" s="408"/>
      <c r="W6" s="408"/>
      <c r="X6" s="408"/>
      <c r="Y6" s="408"/>
      <c r="Z6" s="408"/>
      <c r="AA6" s="408"/>
      <c r="AB6" s="408"/>
      <c r="AC6" s="408"/>
      <c r="AD6" s="408"/>
    </row>
    <row r="7" spans="1:30" s="406" customFormat="1">
      <c r="A7" s="426" t="s">
        <v>347</v>
      </c>
      <c r="B7" s="427">
        <v>300000000</v>
      </c>
      <c r="C7" s="428">
        <f t="shared" si="0"/>
        <v>0.33333333333333331</v>
      </c>
      <c r="D7" s="429">
        <v>600000000</v>
      </c>
      <c r="E7" s="430">
        <f t="shared" si="1"/>
        <v>0.66666666666666663</v>
      </c>
      <c r="F7" s="705">
        <f t="shared" si="2"/>
        <v>900000000</v>
      </c>
      <c r="G7" s="713">
        <v>821917872.4000001</v>
      </c>
      <c r="H7" s="422">
        <v>273972624.13333333</v>
      </c>
      <c r="I7" s="423">
        <v>547945248.26666665</v>
      </c>
      <c r="J7" s="431">
        <f>+J103</f>
        <v>0</v>
      </c>
      <c r="K7" s="704">
        <f t="shared" si="3"/>
        <v>0</v>
      </c>
      <c r="L7" s="425">
        <f t="shared" si="4"/>
        <v>0</v>
      </c>
      <c r="M7" s="713">
        <f t="shared" si="5"/>
        <v>821917872.4000001</v>
      </c>
      <c r="N7" s="704">
        <f t="shared" si="6"/>
        <v>273972624.13333333</v>
      </c>
      <c r="O7" s="739">
        <f t="shared" si="7"/>
        <v>547945248.26666665</v>
      </c>
      <c r="S7" s="408"/>
      <c r="T7" s="408"/>
      <c r="U7" s="408"/>
      <c r="V7" s="408"/>
      <c r="W7" s="408"/>
      <c r="X7" s="408"/>
      <c r="Y7" s="408"/>
      <c r="Z7" s="408"/>
      <c r="AA7" s="408"/>
      <c r="AB7" s="408"/>
      <c r="AC7" s="408"/>
      <c r="AD7" s="408"/>
    </row>
    <row r="8" spans="1:30" s="406" customFormat="1">
      <c r="A8" s="426" t="s">
        <v>349</v>
      </c>
      <c r="B8" s="427">
        <v>600000000</v>
      </c>
      <c r="C8" s="428">
        <f t="shared" si="0"/>
        <v>0.4</v>
      </c>
      <c r="D8" s="429">
        <v>900000000</v>
      </c>
      <c r="E8" s="430">
        <f t="shared" si="1"/>
        <v>0.6</v>
      </c>
      <c r="F8" s="705">
        <f t="shared" si="2"/>
        <v>1500000000</v>
      </c>
      <c r="G8" s="421">
        <v>1028457665.01</v>
      </c>
      <c r="H8" s="422">
        <v>411383066.00400001</v>
      </c>
      <c r="I8" s="423">
        <v>617074599.00599992</v>
      </c>
      <c r="J8" s="431">
        <f>+J109</f>
        <v>9075355</v>
      </c>
      <c r="K8" s="704">
        <f t="shared" si="3"/>
        <v>3630142</v>
      </c>
      <c r="L8" s="425">
        <f t="shared" si="4"/>
        <v>5445213</v>
      </c>
      <c r="M8" s="713">
        <f t="shared" si="5"/>
        <v>1037533020.01</v>
      </c>
      <c r="N8" s="419">
        <f t="shared" si="6"/>
        <v>415013208.00400001</v>
      </c>
      <c r="O8" s="739">
        <f t="shared" si="7"/>
        <v>622519812.00599992</v>
      </c>
      <c r="S8" s="408"/>
      <c r="T8" s="408"/>
      <c r="U8" s="408"/>
      <c r="V8" s="408"/>
      <c r="W8" s="408"/>
      <c r="X8" s="408"/>
      <c r="Y8" s="408"/>
      <c r="Z8" s="408"/>
      <c r="AA8" s="408"/>
      <c r="AB8" s="408"/>
      <c r="AC8" s="408"/>
      <c r="AD8" s="408"/>
    </row>
    <row r="9" spans="1:30" s="406" customFormat="1">
      <c r="A9" s="426" t="s">
        <v>353</v>
      </c>
      <c r="B9" s="996">
        <f>350000000-51483757</f>
        <v>298516243</v>
      </c>
      <c r="C9" s="706">
        <v>0.33333333333333331</v>
      </c>
      <c r="D9" s="429">
        <v>700000000</v>
      </c>
      <c r="E9" s="430">
        <v>0.66666666666666663</v>
      </c>
      <c r="F9" s="705">
        <f t="shared" si="2"/>
        <v>998516243</v>
      </c>
      <c r="G9" s="421">
        <v>892597996.64999986</v>
      </c>
      <c r="H9" s="422">
        <v>297532665.54999995</v>
      </c>
      <c r="I9" s="423">
        <v>595065331.0999999</v>
      </c>
      <c r="J9" s="431">
        <f>+J122</f>
        <v>0</v>
      </c>
      <c r="K9" s="704">
        <f t="shared" si="3"/>
        <v>0</v>
      </c>
      <c r="L9" s="425">
        <f t="shared" si="4"/>
        <v>0</v>
      </c>
      <c r="M9" s="713">
        <f t="shared" si="5"/>
        <v>892597996.64999986</v>
      </c>
      <c r="N9" s="419">
        <f t="shared" si="6"/>
        <v>297532665.54999995</v>
      </c>
      <c r="O9" s="739">
        <f t="shared" si="7"/>
        <v>595065331.0999999</v>
      </c>
      <c r="S9" s="408"/>
      <c r="T9" s="408"/>
      <c r="U9" s="408"/>
      <c r="V9" s="408"/>
      <c r="W9" s="408"/>
      <c r="X9" s="408"/>
      <c r="Y9" s="408"/>
      <c r="Z9" s="408"/>
      <c r="AA9" s="408"/>
      <c r="AB9" s="408"/>
      <c r="AC9" s="408"/>
      <c r="AD9" s="408"/>
    </row>
    <row r="10" spans="1:30" s="406" customFormat="1">
      <c r="A10" s="426" t="s">
        <v>366</v>
      </c>
      <c r="B10" s="427">
        <v>600000000</v>
      </c>
      <c r="C10" s="428">
        <f t="shared" si="0"/>
        <v>0.40600810798191639</v>
      </c>
      <c r="D10" s="429">
        <v>877803000</v>
      </c>
      <c r="E10" s="430">
        <f t="shared" si="1"/>
        <v>0.59399189201808356</v>
      </c>
      <c r="F10" s="705">
        <f t="shared" si="2"/>
        <v>1477803000</v>
      </c>
      <c r="G10" s="421">
        <v>1189173887.3600001</v>
      </c>
      <c r="H10" s="422">
        <v>482814240.0685342</v>
      </c>
      <c r="I10" s="423">
        <v>706359647.29146588</v>
      </c>
      <c r="J10" s="431">
        <f>+J117</f>
        <v>26001416.77</v>
      </c>
      <c r="K10" s="704">
        <f t="shared" si="3"/>
        <v>10556786.027636971</v>
      </c>
      <c r="L10" s="425">
        <f t="shared" si="4"/>
        <v>15444630.742363026</v>
      </c>
      <c r="M10" s="713">
        <f t="shared" si="5"/>
        <v>1215175304.1300001</v>
      </c>
      <c r="N10" s="419">
        <f t="shared" si="6"/>
        <v>493371026.0961712</v>
      </c>
      <c r="O10" s="739">
        <f t="shared" si="7"/>
        <v>721804278.03382885</v>
      </c>
      <c r="Q10" s="693"/>
      <c r="R10" s="712"/>
      <c r="S10" s="711"/>
      <c r="T10" s="408"/>
      <c r="U10" s="408"/>
      <c r="V10" s="408"/>
      <c r="W10" s="408"/>
      <c r="X10" s="408"/>
      <c r="Y10" s="408"/>
      <c r="Z10" s="408"/>
      <c r="AA10" s="408"/>
      <c r="AB10" s="408"/>
      <c r="AC10" s="408"/>
      <c r="AD10" s="408"/>
    </row>
    <row r="11" spans="1:30" s="406" customFormat="1">
      <c r="A11" s="416" t="s">
        <v>457</v>
      </c>
      <c r="B11" s="417">
        <v>300000000</v>
      </c>
      <c r="C11" s="428">
        <f t="shared" si="0"/>
        <v>0.33333333333333331</v>
      </c>
      <c r="D11" s="419">
        <v>600000000</v>
      </c>
      <c r="E11" s="420">
        <f t="shared" ref="E11:E21" si="8">D11/F11</f>
        <v>0.66666666666666663</v>
      </c>
      <c r="F11" s="704">
        <f t="shared" ref="F11:F28" si="9">B11+D11</f>
        <v>900000000</v>
      </c>
      <c r="G11" s="421">
        <v>823941281.69000006</v>
      </c>
      <c r="H11" s="422">
        <v>274647093.89666665</v>
      </c>
      <c r="I11" s="423">
        <v>549294187.79333329</v>
      </c>
      <c r="J11" s="424">
        <f>+J170</f>
        <v>6082238</v>
      </c>
      <c r="K11" s="704">
        <f t="shared" ref="K11:K21" si="10">(+J11)*C11</f>
        <v>2027412.6666666665</v>
      </c>
      <c r="L11" s="425">
        <f t="shared" ref="L11:L24" si="11">+(J11)*E11</f>
        <v>4054825.333333333</v>
      </c>
      <c r="M11" s="713">
        <f t="shared" ref="M11:M17" si="12">+G11+J11</f>
        <v>830023519.69000006</v>
      </c>
      <c r="N11" s="419">
        <f t="shared" ref="N11:N17" si="13">(M11)*C11</f>
        <v>276674506.56333333</v>
      </c>
      <c r="O11" s="739">
        <f t="shared" ref="O11:O17" si="14">(M11)*E11</f>
        <v>553349013.12666667</v>
      </c>
      <c r="S11" s="408"/>
      <c r="T11" s="408"/>
      <c r="U11" s="408"/>
      <c r="V11" s="408"/>
      <c r="W11" s="408"/>
      <c r="X11" s="408"/>
      <c r="Y11" s="408"/>
      <c r="Z11" s="408"/>
      <c r="AA11" s="408"/>
      <c r="AB11" s="408"/>
      <c r="AC11" s="408"/>
      <c r="AD11" s="408"/>
    </row>
    <row r="12" spans="1:30" s="406" customFormat="1">
      <c r="A12" s="426" t="s">
        <v>371</v>
      </c>
      <c r="B12" s="427">
        <v>300000000</v>
      </c>
      <c r="C12" s="428">
        <f t="shared" si="0"/>
        <v>0.33333333333333331</v>
      </c>
      <c r="D12" s="429">
        <v>600000000</v>
      </c>
      <c r="E12" s="430">
        <f t="shared" si="8"/>
        <v>0.66666666666666663</v>
      </c>
      <c r="F12" s="705">
        <f t="shared" si="9"/>
        <v>900000000</v>
      </c>
      <c r="G12" s="421">
        <v>891004911.17999983</v>
      </c>
      <c r="H12" s="422">
        <v>297001637.05999994</v>
      </c>
      <c r="I12" s="423">
        <v>594003274.11999989</v>
      </c>
      <c r="J12" s="424">
        <f>+J140</f>
        <v>0</v>
      </c>
      <c r="K12" s="704">
        <f t="shared" si="10"/>
        <v>0</v>
      </c>
      <c r="L12" s="425">
        <f t="shared" si="11"/>
        <v>0</v>
      </c>
      <c r="M12" s="713">
        <f t="shared" si="12"/>
        <v>891004911.17999983</v>
      </c>
      <c r="N12" s="419">
        <f t="shared" si="13"/>
        <v>297001637.05999994</v>
      </c>
      <c r="O12" s="739">
        <f t="shared" si="14"/>
        <v>594003274.11999989</v>
      </c>
      <c r="S12" s="408"/>
      <c r="T12" s="408"/>
      <c r="U12" s="408"/>
      <c r="V12" s="408"/>
      <c r="W12" s="408"/>
      <c r="X12" s="408"/>
      <c r="Y12" s="408"/>
      <c r="Z12" s="408"/>
      <c r="AA12" s="408"/>
      <c r="AB12" s="408"/>
      <c r="AC12" s="408"/>
      <c r="AD12" s="408"/>
    </row>
    <row r="13" spans="1:30" s="406" customFormat="1">
      <c r="A13" s="426" t="s">
        <v>372</v>
      </c>
      <c r="B13" s="427">
        <v>308000000</v>
      </c>
      <c r="C13" s="428">
        <f t="shared" si="0"/>
        <v>0.33333333333333331</v>
      </c>
      <c r="D13" s="429">
        <v>616000000</v>
      </c>
      <c r="E13" s="430">
        <f t="shared" si="8"/>
        <v>0.66666666666666663</v>
      </c>
      <c r="F13" s="705">
        <f t="shared" si="9"/>
        <v>924000000</v>
      </c>
      <c r="G13" s="421">
        <v>670253873</v>
      </c>
      <c r="H13" s="422">
        <v>223417957.66666666</v>
      </c>
      <c r="I13" s="423">
        <v>446835915.33333331</v>
      </c>
      <c r="J13" s="424">
        <f>+J158</f>
        <v>26500000</v>
      </c>
      <c r="K13" s="704">
        <f t="shared" si="10"/>
        <v>8833333.3333333321</v>
      </c>
      <c r="L13" s="425">
        <f t="shared" si="11"/>
        <v>17666666.666666664</v>
      </c>
      <c r="M13" s="713">
        <f t="shared" si="12"/>
        <v>696753873</v>
      </c>
      <c r="N13" s="419">
        <f t="shared" si="13"/>
        <v>232251291</v>
      </c>
      <c r="O13" s="739">
        <f t="shared" si="14"/>
        <v>464502582</v>
      </c>
      <c r="S13" s="408"/>
      <c r="T13" s="408"/>
      <c r="U13" s="408"/>
      <c r="V13" s="408"/>
      <c r="W13" s="408"/>
      <c r="X13" s="408"/>
      <c r="Y13" s="408"/>
      <c r="Z13" s="408"/>
      <c r="AA13" s="408"/>
      <c r="AB13" s="408"/>
      <c r="AC13" s="408"/>
      <c r="AD13" s="408"/>
    </row>
    <row r="14" spans="1:30" s="406" customFormat="1">
      <c r="A14" s="426" t="s">
        <v>373</v>
      </c>
      <c r="B14" s="427">
        <v>500000000</v>
      </c>
      <c r="C14" s="428">
        <f t="shared" si="0"/>
        <v>0.36289658245772438</v>
      </c>
      <c r="D14" s="429">
        <v>877803000</v>
      </c>
      <c r="E14" s="430">
        <f t="shared" si="8"/>
        <v>0.63710341754227562</v>
      </c>
      <c r="F14" s="705">
        <f t="shared" si="9"/>
        <v>1377803000</v>
      </c>
      <c r="G14" s="421">
        <v>1222633970.52</v>
      </c>
      <c r="H14" s="422">
        <v>443689689.49842614</v>
      </c>
      <c r="I14" s="423">
        <v>778944281.0215739</v>
      </c>
      <c r="J14" s="424">
        <f>+J164</f>
        <v>500000</v>
      </c>
      <c r="K14" s="704">
        <f t="shared" si="10"/>
        <v>181448.29122886219</v>
      </c>
      <c r="L14" s="425">
        <f>+(J14)*E14</f>
        <v>318551.70877113781</v>
      </c>
      <c r="M14" s="713">
        <f>+G14+J14</f>
        <v>1223133970.52</v>
      </c>
      <c r="N14" s="419">
        <f>(M14)*C14</f>
        <v>443871137.78965497</v>
      </c>
      <c r="O14" s="739">
        <f>(M14)*E14</f>
        <v>779262832.73034501</v>
      </c>
      <c r="R14" s="712"/>
      <c r="S14" s="711"/>
      <c r="T14" s="408"/>
      <c r="U14" s="408"/>
      <c r="V14" s="408"/>
      <c r="W14" s="408"/>
      <c r="X14" s="408"/>
      <c r="Y14" s="408"/>
      <c r="Z14" s="408"/>
      <c r="AA14" s="408"/>
      <c r="AB14" s="408"/>
      <c r="AC14" s="408"/>
      <c r="AD14" s="408"/>
    </row>
    <row r="15" spans="1:30" s="406" customFormat="1">
      <c r="A15" s="426" t="s">
        <v>374</v>
      </c>
      <c r="B15" s="427">
        <v>750000000</v>
      </c>
      <c r="C15" s="428">
        <f t="shared" si="0"/>
        <v>0.5</v>
      </c>
      <c r="D15" s="429">
        <v>750000000</v>
      </c>
      <c r="E15" s="430">
        <f t="shared" si="8"/>
        <v>0.5</v>
      </c>
      <c r="F15" s="705">
        <f t="shared" si="9"/>
        <v>1500000000</v>
      </c>
      <c r="G15" s="421">
        <v>1161586271.26</v>
      </c>
      <c r="H15" s="422">
        <v>580793135.63</v>
      </c>
      <c r="I15" s="423">
        <v>580793135.63</v>
      </c>
      <c r="J15" s="424">
        <f>+J134</f>
        <v>2081250</v>
      </c>
      <c r="K15" s="704">
        <f t="shared" si="10"/>
        <v>1040625</v>
      </c>
      <c r="L15" s="425">
        <f t="shared" si="11"/>
        <v>1040625</v>
      </c>
      <c r="M15" s="713">
        <f t="shared" si="12"/>
        <v>1163667521.26</v>
      </c>
      <c r="N15" s="419">
        <f t="shared" si="13"/>
        <v>581833760.63</v>
      </c>
      <c r="O15" s="739">
        <f t="shared" si="14"/>
        <v>581833760.63</v>
      </c>
      <c r="S15" s="408"/>
      <c r="T15" s="408"/>
      <c r="U15" s="408"/>
      <c r="V15" s="408"/>
      <c r="W15" s="408"/>
      <c r="X15" s="408"/>
      <c r="Y15" s="408"/>
      <c r="Z15" s="408"/>
      <c r="AA15" s="408"/>
      <c r="AB15" s="408"/>
      <c r="AC15" s="408"/>
      <c r="AD15" s="408"/>
    </row>
    <row r="16" spans="1:30" s="406" customFormat="1" ht="28.5">
      <c r="A16" s="426" t="s">
        <v>375</v>
      </c>
      <c r="B16" s="996">
        <f>1000000000-539183391-88530000</f>
        <v>372286609</v>
      </c>
      <c r="C16" s="706">
        <v>0.5</v>
      </c>
      <c r="D16" s="429">
        <v>1000000000</v>
      </c>
      <c r="E16" s="707">
        <v>0.5</v>
      </c>
      <c r="F16" s="705">
        <f t="shared" si="9"/>
        <v>1372286609</v>
      </c>
      <c r="G16" s="421">
        <v>620164858</v>
      </c>
      <c r="H16" s="422">
        <v>310082429</v>
      </c>
      <c r="I16" s="423">
        <v>310082429</v>
      </c>
      <c r="J16" s="424">
        <f>+J146</f>
        <v>0</v>
      </c>
      <c r="K16" s="704">
        <f t="shared" si="10"/>
        <v>0</v>
      </c>
      <c r="L16" s="425">
        <f t="shared" si="11"/>
        <v>0</v>
      </c>
      <c r="M16" s="713">
        <f t="shared" si="12"/>
        <v>620164858</v>
      </c>
      <c r="N16" s="419">
        <f t="shared" si="13"/>
        <v>310082429</v>
      </c>
      <c r="O16" s="739">
        <f t="shared" si="14"/>
        <v>310082429</v>
      </c>
      <c r="S16" s="408"/>
      <c r="T16" s="408"/>
      <c r="U16" s="408"/>
      <c r="V16" s="408"/>
      <c r="W16" s="408"/>
      <c r="X16" s="408"/>
      <c r="Y16" s="408"/>
      <c r="Z16" s="408"/>
      <c r="AA16" s="408"/>
      <c r="AB16" s="408"/>
      <c r="AC16" s="408"/>
      <c r="AD16" s="408"/>
    </row>
    <row r="17" spans="1:30" s="406" customFormat="1" ht="28.5">
      <c r="A17" s="426" t="s">
        <v>376</v>
      </c>
      <c r="B17" s="427">
        <v>750000000</v>
      </c>
      <c r="C17" s="428">
        <f t="shared" si="0"/>
        <v>0.5</v>
      </c>
      <c r="D17" s="429">
        <v>750000000</v>
      </c>
      <c r="E17" s="430">
        <f t="shared" si="8"/>
        <v>0.5</v>
      </c>
      <c r="F17" s="705">
        <f t="shared" si="9"/>
        <v>1500000000</v>
      </c>
      <c r="G17" s="421">
        <v>1356230905.5499997</v>
      </c>
      <c r="H17" s="422">
        <v>678115452.77499986</v>
      </c>
      <c r="I17" s="423">
        <v>678115452.77499986</v>
      </c>
      <c r="J17" s="424">
        <f>+J152</f>
        <v>0</v>
      </c>
      <c r="K17" s="704">
        <f t="shared" si="10"/>
        <v>0</v>
      </c>
      <c r="L17" s="425">
        <f t="shared" si="11"/>
        <v>0</v>
      </c>
      <c r="M17" s="713">
        <f t="shared" si="12"/>
        <v>1356230905.5499997</v>
      </c>
      <c r="N17" s="419">
        <f t="shared" si="13"/>
        <v>678115452.77499986</v>
      </c>
      <c r="O17" s="739">
        <f t="shared" si="14"/>
        <v>678115452.77499986</v>
      </c>
      <c r="S17" s="408"/>
      <c r="T17" s="408"/>
      <c r="U17" s="408"/>
      <c r="V17" s="408"/>
      <c r="W17" s="408"/>
      <c r="X17" s="408"/>
      <c r="Y17" s="408"/>
      <c r="Z17" s="408"/>
      <c r="AA17" s="408"/>
      <c r="AB17" s="408"/>
      <c r="AC17" s="408"/>
      <c r="AD17" s="408"/>
    </row>
    <row r="18" spans="1:30" s="406" customFormat="1">
      <c r="A18" s="426" t="s">
        <v>377</v>
      </c>
      <c r="B18" s="427">
        <v>746132550</v>
      </c>
      <c r="C18" s="428">
        <f>B18/F18</f>
        <v>0.5</v>
      </c>
      <c r="D18" s="429">
        <v>746132550</v>
      </c>
      <c r="E18" s="430">
        <f t="shared" si="8"/>
        <v>0.5</v>
      </c>
      <c r="F18" s="705">
        <f t="shared" si="9"/>
        <v>1492265100</v>
      </c>
      <c r="G18" s="421">
        <v>1347267382.1000001</v>
      </c>
      <c r="H18" s="422">
        <v>673633691.05000007</v>
      </c>
      <c r="I18" s="423">
        <v>673633691.05000007</v>
      </c>
      <c r="J18" s="424">
        <f>+J128</f>
        <v>-16799991.600000001</v>
      </c>
      <c r="K18" s="704">
        <f t="shared" si="10"/>
        <v>-8399995.8000000007</v>
      </c>
      <c r="L18" s="425">
        <f t="shared" si="11"/>
        <v>-8399995.8000000007</v>
      </c>
      <c r="M18" s="713">
        <f t="shared" ref="M18:M28" si="15">+G18+J18</f>
        <v>1330467390.5000002</v>
      </c>
      <c r="N18" s="419">
        <f t="shared" ref="N18:N28" si="16">(M18)*C18</f>
        <v>665233695.25000012</v>
      </c>
      <c r="O18" s="739">
        <f>(M18)*E18</f>
        <v>665233695.25000012</v>
      </c>
      <c r="S18" s="408"/>
      <c r="T18" s="408"/>
      <c r="U18" s="408"/>
      <c r="V18" s="408"/>
      <c r="W18" s="408"/>
      <c r="X18" s="408"/>
      <c r="Y18" s="408"/>
      <c r="Z18" s="408"/>
      <c r="AA18" s="408"/>
      <c r="AB18" s="408"/>
      <c r="AC18" s="408"/>
      <c r="AD18" s="408"/>
    </row>
    <row r="19" spans="1:30" s="406" customFormat="1">
      <c r="A19" s="426" t="s">
        <v>436</v>
      </c>
      <c r="B19" s="427">
        <v>571000000</v>
      </c>
      <c r="C19" s="428">
        <f>B19/F19</f>
        <v>0.4</v>
      </c>
      <c r="D19" s="429">
        <v>856500000</v>
      </c>
      <c r="E19" s="430">
        <f t="shared" si="8"/>
        <v>0.6</v>
      </c>
      <c r="F19" s="705">
        <f t="shared" si="9"/>
        <v>1427500000</v>
      </c>
      <c r="G19" s="421">
        <v>1347984128.3900001</v>
      </c>
      <c r="H19" s="422">
        <v>539193651.35600007</v>
      </c>
      <c r="I19" s="423">
        <v>808790477.03400004</v>
      </c>
      <c r="J19" s="424">
        <f>+J176</f>
        <v>0</v>
      </c>
      <c r="K19" s="704">
        <f t="shared" si="10"/>
        <v>0</v>
      </c>
      <c r="L19" s="425">
        <f>+(J19)*E19</f>
        <v>0</v>
      </c>
      <c r="M19" s="713">
        <f t="shared" si="15"/>
        <v>1347984128.3900001</v>
      </c>
      <c r="N19" s="419">
        <f t="shared" si="16"/>
        <v>539193651.35600007</v>
      </c>
      <c r="O19" s="739">
        <f>(M19)*E19</f>
        <v>808790477.03400004</v>
      </c>
      <c r="S19" s="408"/>
      <c r="T19" s="408"/>
      <c r="U19" s="408"/>
      <c r="V19" s="408"/>
      <c r="W19" s="408"/>
      <c r="X19" s="408"/>
      <c r="Y19" s="408"/>
      <c r="Z19" s="408"/>
      <c r="AA19" s="408"/>
      <c r="AB19" s="408"/>
      <c r="AC19" s="408"/>
      <c r="AD19" s="408"/>
    </row>
    <row r="20" spans="1:30" s="406" customFormat="1">
      <c r="A20" s="426" t="s">
        <v>476</v>
      </c>
      <c r="B20" s="427">
        <v>300000000</v>
      </c>
      <c r="C20" s="428">
        <f>B20/F20</f>
        <v>0.33333333333333331</v>
      </c>
      <c r="D20" s="429">
        <v>600000000</v>
      </c>
      <c r="E20" s="430">
        <f t="shared" si="8"/>
        <v>0.66666666666666663</v>
      </c>
      <c r="F20" s="705">
        <f t="shared" si="9"/>
        <v>900000000</v>
      </c>
      <c r="G20" s="421">
        <v>842030445.10000014</v>
      </c>
      <c r="H20" s="422">
        <v>280676815.03333336</v>
      </c>
      <c r="I20" s="423">
        <v>561353630.06666672</v>
      </c>
      <c r="J20" s="424">
        <f>+J199</f>
        <v>8939088</v>
      </c>
      <c r="K20" s="704">
        <f t="shared" si="10"/>
        <v>2979696</v>
      </c>
      <c r="L20" s="425">
        <f t="shared" si="11"/>
        <v>5959392</v>
      </c>
      <c r="M20" s="421">
        <f t="shared" si="15"/>
        <v>850969533.10000014</v>
      </c>
      <c r="N20" s="419">
        <f t="shared" si="16"/>
        <v>283656511.03333336</v>
      </c>
      <c r="O20" s="739">
        <f>(M20)*E20</f>
        <v>567313022.06666672</v>
      </c>
      <c r="S20" s="408"/>
      <c r="T20" s="408"/>
      <c r="U20" s="408"/>
      <c r="V20" s="408"/>
      <c r="W20" s="408"/>
      <c r="X20" s="408"/>
      <c r="Y20" s="408"/>
      <c r="Z20" s="408"/>
      <c r="AA20" s="408"/>
      <c r="AB20" s="408"/>
      <c r="AC20" s="408"/>
      <c r="AD20" s="408"/>
    </row>
    <row r="21" spans="1:30" s="406" customFormat="1">
      <c r="A21" s="426" t="s">
        <v>477</v>
      </c>
      <c r="B21" s="427">
        <v>1000000000</v>
      </c>
      <c r="C21" s="428">
        <f>B21/F21</f>
        <v>0.5</v>
      </c>
      <c r="D21" s="429">
        <v>1000000000</v>
      </c>
      <c r="E21" s="430">
        <f t="shared" si="8"/>
        <v>0.5</v>
      </c>
      <c r="F21" s="705">
        <f t="shared" si="9"/>
        <v>2000000000</v>
      </c>
      <c r="G21" s="421">
        <v>1955579507.6400001</v>
      </c>
      <c r="H21" s="422">
        <v>977789753.82000005</v>
      </c>
      <c r="I21" s="423">
        <v>977789753.82000005</v>
      </c>
      <c r="J21" s="424">
        <f>+J182</f>
        <v>0</v>
      </c>
      <c r="K21" s="704">
        <f t="shared" si="10"/>
        <v>0</v>
      </c>
      <c r="L21" s="425">
        <f t="shared" si="11"/>
        <v>0</v>
      </c>
      <c r="M21" s="421">
        <f t="shared" si="15"/>
        <v>1955579507.6400001</v>
      </c>
      <c r="N21" s="419">
        <f t="shared" si="16"/>
        <v>977789753.82000005</v>
      </c>
      <c r="O21" s="739">
        <f>(M21)*E21</f>
        <v>977789753.82000005</v>
      </c>
      <c r="S21" s="408"/>
      <c r="T21" s="408"/>
      <c r="U21" s="408"/>
      <c r="V21" s="408"/>
      <c r="W21" s="408"/>
      <c r="X21" s="408"/>
      <c r="Y21" s="408"/>
      <c r="Z21" s="408"/>
      <c r="AA21" s="408"/>
      <c r="AB21" s="408"/>
      <c r="AC21" s="408"/>
      <c r="AD21" s="408"/>
    </row>
    <row r="22" spans="1:30" s="693" customFormat="1" ht="28.5">
      <c r="A22" s="1139" t="s">
        <v>1083</v>
      </c>
      <c r="B22" s="1112">
        <f>1485000000-685000000</f>
        <v>800000000</v>
      </c>
      <c r="C22" s="1113">
        <v>0.5</v>
      </c>
      <c r="D22" s="1141">
        <v>800000000</v>
      </c>
      <c r="E22" s="1114">
        <v>0.5</v>
      </c>
      <c r="F22" s="705">
        <f t="shared" si="9"/>
        <v>1600000000</v>
      </c>
      <c r="G22" s="713">
        <v>1355868248.8100002</v>
      </c>
      <c r="H22" s="422">
        <v>677934124.40500009</v>
      </c>
      <c r="I22" s="453">
        <v>677934124.40500009</v>
      </c>
      <c r="J22" s="1145">
        <f>+[7]Hoja3!$G$13</f>
        <v>1191945</v>
      </c>
      <c r="K22" s="704">
        <f>((+J22)*C22)</f>
        <v>595972.5</v>
      </c>
      <c r="L22" s="425">
        <f t="shared" si="11"/>
        <v>595972.5</v>
      </c>
      <c r="M22" s="713">
        <f t="shared" si="15"/>
        <v>1357060193.8100002</v>
      </c>
      <c r="N22" s="704">
        <f>((M22)*C22)</f>
        <v>678530096.90500009</v>
      </c>
      <c r="O22" s="739">
        <f>((M22)*E22)</f>
        <v>678530096.90500009</v>
      </c>
      <c r="S22" s="929"/>
      <c r="T22" s="929"/>
      <c r="U22" s="929"/>
      <c r="V22" s="929"/>
      <c r="W22" s="929"/>
      <c r="X22" s="929"/>
      <c r="Y22" s="929"/>
      <c r="Z22" s="929"/>
      <c r="AA22" s="929"/>
      <c r="AB22" s="929"/>
      <c r="AC22" s="929"/>
      <c r="AD22" s="929"/>
    </row>
    <row r="23" spans="1:30" s="693" customFormat="1">
      <c r="A23" s="1140" t="s">
        <v>1084</v>
      </c>
      <c r="B23" s="1112">
        <f>685000000-79999762</f>
        <v>605000238</v>
      </c>
      <c r="C23" s="1113">
        <v>1</v>
      </c>
      <c r="D23" s="1141">
        <v>0</v>
      </c>
      <c r="E23" s="1114">
        <v>0</v>
      </c>
      <c r="F23" s="705">
        <f t="shared" si="9"/>
        <v>605000238</v>
      </c>
      <c r="G23" s="705">
        <v>92306308</v>
      </c>
      <c r="H23" s="449">
        <v>92306308</v>
      </c>
      <c r="I23" s="1147">
        <v>0</v>
      </c>
      <c r="J23" s="1146">
        <f>+[7]Hoja3!$F$12</f>
        <v>51426258</v>
      </c>
      <c r="K23" s="704">
        <f t="shared" ref="K23:K24" si="17">((+J23)*C23)</f>
        <v>51426258</v>
      </c>
      <c r="L23" s="425">
        <f t="shared" si="11"/>
        <v>0</v>
      </c>
      <c r="M23" s="705">
        <f t="shared" ref="M23:M24" si="18">+G23+J23</f>
        <v>143732566</v>
      </c>
      <c r="N23" s="705">
        <f t="shared" ref="N23:N24" si="19">((M23)*C23)</f>
        <v>143732566</v>
      </c>
      <c r="O23" s="705">
        <f t="shared" ref="O23:O24" si="20">((M23)*E23)</f>
        <v>0</v>
      </c>
      <c r="S23" s="929"/>
      <c r="T23" s="929"/>
      <c r="U23" s="929"/>
      <c r="V23" s="929"/>
      <c r="W23" s="929"/>
      <c r="X23" s="929"/>
      <c r="Y23" s="929"/>
      <c r="Z23" s="929"/>
      <c r="AA23" s="929"/>
      <c r="AB23" s="929"/>
      <c r="AC23" s="929"/>
      <c r="AD23" s="929"/>
    </row>
    <row r="24" spans="1:30" s="693" customFormat="1" ht="28.5">
      <c r="A24" s="1142" t="s">
        <v>1085</v>
      </c>
      <c r="B24" s="1112">
        <v>79999762</v>
      </c>
      <c r="C24" s="1114">
        <v>0.51046647488776276</v>
      </c>
      <c r="D24" s="1141">
        <v>0</v>
      </c>
      <c r="E24" s="1114">
        <v>0.48953352511223719</v>
      </c>
      <c r="F24" s="705">
        <f t="shared" si="9"/>
        <v>79999762</v>
      </c>
      <c r="G24" s="705">
        <v>0</v>
      </c>
      <c r="H24" s="449">
        <v>0</v>
      </c>
      <c r="I24" s="1147">
        <v>0</v>
      </c>
      <c r="J24" s="1146">
        <f>+[7]Hoja3!$G$14</f>
        <v>6450000</v>
      </c>
      <c r="K24" s="704">
        <f t="shared" si="17"/>
        <v>3292508.7630260698</v>
      </c>
      <c r="L24" s="425">
        <f t="shared" si="11"/>
        <v>3157491.2369739297</v>
      </c>
      <c r="M24" s="705">
        <f t="shared" si="18"/>
        <v>6450000</v>
      </c>
      <c r="N24" s="705">
        <f t="shared" si="19"/>
        <v>3292508.7630260698</v>
      </c>
      <c r="O24" s="705">
        <f t="shared" si="20"/>
        <v>3157491.2369739297</v>
      </c>
      <c r="S24" s="929"/>
      <c r="T24" s="929"/>
      <c r="U24" s="929"/>
      <c r="V24" s="929"/>
      <c r="W24" s="929"/>
      <c r="X24" s="929"/>
      <c r="Y24" s="929"/>
      <c r="Z24" s="929"/>
      <c r="AA24" s="929"/>
      <c r="AB24" s="929"/>
      <c r="AC24" s="929"/>
      <c r="AD24" s="929"/>
    </row>
    <row r="25" spans="1:30" s="406" customFormat="1">
      <c r="A25" s="456" t="s">
        <v>296</v>
      </c>
      <c r="B25" s="750">
        <v>273000000</v>
      </c>
      <c r="C25" s="428">
        <f t="shared" si="0"/>
        <v>0.33333333333333331</v>
      </c>
      <c r="D25" s="751">
        <v>546000000</v>
      </c>
      <c r="E25" s="430">
        <f>D25/F25</f>
        <v>0.66666666666666663</v>
      </c>
      <c r="F25" s="705">
        <f t="shared" si="9"/>
        <v>819000000</v>
      </c>
      <c r="G25" s="752">
        <v>708451578.55999994</v>
      </c>
      <c r="H25" s="752">
        <v>236150526.18666664</v>
      </c>
      <c r="I25" s="752">
        <v>472301052.37333328</v>
      </c>
      <c r="J25" s="424">
        <f>+J205</f>
        <v>3705209</v>
      </c>
      <c r="K25" s="704">
        <f>(+J25)*C25</f>
        <v>1235069.6666666665</v>
      </c>
      <c r="L25" s="425">
        <f>+(J25)*E25</f>
        <v>2470139.333333333</v>
      </c>
      <c r="M25" s="421">
        <f t="shared" si="15"/>
        <v>712156787.55999994</v>
      </c>
      <c r="N25" s="419">
        <f t="shared" si="16"/>
        <v>237385595.85333329</v>
      </c>
      <c r="O25" s="739">
        <f>(M25)*E25</f>
        <v>474771191.70666659</v>
      </c>
      <c r="S25" s="408"/>
      <c r="T25" s="408"/>
      <c r="U25" s="408"/>
      <c r="V25" s="408"/>
      <c r="W25" s="408"/>
      <c r="X25" s="408"/>
      <c r="Y25" s="408"/>
      <c r="Z25" s="408"/>
      <c r="AA25" s="408"/>
      <c r="AB25" s="408"/>
      <c r="AC25" s="408"/>
      <c r="AD25" s="408"/>
    </row>
    <row r="26" spans="1:30" s="406" customFormat="1" ht="28.5">
      <c r="A26" s="907" t="s">
        <v>551</v>
      </c>
      <c r="B26" s="750">
        <v>650000000</v>
      </c>
      <c r="C26" s="428">
        <f t="shared" si="0"/>
        <v>0.41935483870967744</v>
      </c>
      <c r="D26" s="751">
        <v>900000000</v>
      </c>
      <c r="E26" s="430">
        <f>D26/F26</f>
        <v>0.58064516129032262</v>
      </c>
      <c r="F26" s="705">
        <f t="shared" si="9"/>
        <v>1550000000</v>
      </c>
      <c r="G26" s="752">
        <v>1296733085.3399999</v>
      </c>
      <c r="H26" s="752">
        <v>543791293.85225809</v>
      </c>
      <c r="I26" s="752">
        <v>752941791.48774195</v>
      </c>
      <c r="J26" s="424">
        <f>+J213</f>
        <v>51874097</v>
      </c>
      <c r="K26" s="704">
        <f>(+J26)*C26</f>
        <v>21753653.580645163</v>
      </c>
      <c r="L26" s="425">
        <f>+(J26)*E26</f>
        <v>30120443.419354841</v>
      </c>
      <c r="M26" s="421">
        <f t="shared" si="15"/>
        <v>1348607182.3399999</v>
      </c>
      <c r="N26" s="419">
        <f t="shared" si="16"/>
        <v>565544947.43290317</v>
      </c>
      <c r="O26" s="739">
        <f>(M26)*E26</f>
        <v>783062234.90709674</v>
      </c>
      <c r="S26" s="408"/>
      <c r="T26" s="408"/>
      <c r="U26" s="408"/>
      <c r="V26" s="408"/>
      <c r="W26" s="408"/>
      <c r="X26" s="408"/>
      <c r="Y26" s="408"/>
      <c r="Z26" s="408"/>
      <c r="AA26" s="408"/>
      <c r="AB26" s="408"/>
      <c r="AC26" s="408"/>
      <c r="AD26" s="408"/>
    </row>
    <row r="27" spans="1:30" s="406" customFormat="1">
      <c r="A27" s="906" t="s">
        <v>385</v>
      </c>
      <c r="B27" s="750">
        <v>600000000</v>
      </c>
      <c r="C27" s="428">
        <f t="shared" si="0"/>
        <v>0.4</v>
      </c>
      <c r="D27" s="751">
        <v>900000000</v>
      </c>
      <c r="E27" s="430">
        <f>D27/F27</f>
        <v>0.6</v>
      </c>
      <c r="F27" s="705">
        <f t="shared" si="9"/>
        <v>1500000000</v>
      </c>
      <c r="G27" s="752">
        <v>1308477509.1800001</v>
      </c>
      <c r="H27" s="752">
        <v>523391003.67200005</v>
      </c>
      <c r="I27" s="752">
        <v>785086505.50800002</v>
      </c>
      <c r="J27" s="424">
        <f>+J219</f>
        <v>0</v>
      </c>
      <c r="K27" s="704">
        <f>(+J27)*C27</f>
        <v>0</v>
      </c>
      <c r="L27" s="425">
        <f>+(J27)*E27</f>
        <v>0</v>
      </c>
      <c r="M27" s="421">
        <f t="shared" si="15"/>
        <v>1308477509.1800001</v>
      </c>
      <c r="N27" s="419">
        <f t="shared" si="16"/>
        <v>523391003.67200005</v>
      </c>
      <c r="O27" s="739">
        <f>(M27)*E27</f>
        <v>785086505.50800002</v>
      </c>
      <c r="S27" s="408"/>
      <c r="T27" s="408"/>
      <c r="U27" s="408"/>
      <c r="V27" s="408"/>
      <c r="W27" s="408"/>
      <c r="X27" s="408"/>
      <c r="Y27" s="408"/>
      <c r="Z27" s="408"/>
      <c r="AA27" s="408"/>
      <c r="AB27" s="408"/>
      <c r="AC27" s="408"/>
      <c r="AD27" s="408"/>
    </row>
    <row r="28" spans="1:30" s="406" customFormat="1" ht="35.25" customHeight="1">
      <c r="A28" s="1359" t="s">
        <v>379</v>
      </c>
      <c r="B28" s="750">
        <v>300000000</v>
      </c>
      <c r="C28" s="428">
        <f t="shared" si="0"/>
        <v>0.33333333333333331</v>
      </c>
      <c r="D28" s="751">
        <v>600000000</v>
      </c>
      <c r="E28" s="430">
        <f>D28/F28</f>
        <v>0.66666666666666663</v>
      </c>
      <c r="F28" s="705">
        <f t="shared" si="9"/>
        <v>900000000</v>
      </c>
      <c r="G28" s="752">
        <v>789242471.13</v>
      </c>
      <c r="H28" s="752">
        <v>263080823.70999998</v>
      </c>
      <c r="I28" s="752">
        <v>526161647.41999996</v>
      </c>
      <c r="J28" s="424">
        <f>+J224</f>
        <v>6563530</v>
      </c>
      <c r="K28" s="704">
        <f>(+J28)*C28</f>
        <v>2187843.333333333</v>
      </c>
      <c r="L28" s="425">
        <f>+(J28)*E28</f>
        <v>4375686.666666666</v>
      </c>
      <c r="M28" s="421">
        <f t="shared" si="15"/>
        <v>795806001.13</v>
      </c>
      <c r="N28" s="419">
        <f t="shared" si="16"/>
        <v>265268667.04333332</v>
      </c>
      <c r="O28" s="739">
        <f>(M28)*E28</f>
        <v>530537334.08666664</v>
      </c>
      <c r="S28" s="408"/>
      <c r="T28" s="408"/>
      <c r="U28" s="408"/>
      <c r="V28" s="408"/>
      <c r="W28" s="408"/>
      <c r="X28" s="408"/>
      <c r="Y28" s="408"/>
      <c r="Z28" s="408"/>
      <c r="AA28" s="408"/>
      <c r="AB28" s="408"/>
      <c r="AC28" s="408"/>
      <c r="AD28" s="408"/>
    </row>
    <row r="29" spans="1:30" s="406" customFormat="1" ht="15.75" thickBot="1">
      <c r="A29" s="432"/>
      <c r="B29" s="433">
        <f>SUM(B5:B28)</f>
        <v>12503935402</v>
      </c>
      <c r="C29" s="434"/>
      <c r="D29" s="433">
        <f>SUM(D5:D28)</f>
        <v>17098041550</v>
      </c>
      <c r="E29" s="435"/>
      <c r="F29" s="433">
        <f>SUM(F5:F28)</f>
        <v>29601976952</v>
      </c>
      <c r="G29" s="433">
        <f t="shared" ref="G29:O29" si="21">SUM(G5:G28)</f>
        <v>24467120643.170006</v>
      </c>
      <c r="H29" s="433">
        <f t="shared" si="21"/>
        <v>10335129083.855156</v>
      </c>
      <c r="I29" s="433">
        <f t="shared" si="21"/>
        <v>14131991559.314842</v>
      </c>
      <c r="J29" s="433">
        <f>SUM(J5:J28)</f>
        <v>183590395.16999999</v>
      </c>
      <c r="K29" s="433">
        <f>SUM(K5:K28)</f>
        <v>101340753.36253706</v>
      </c>
      <c r="L29" s="433">
        <f>SUM(L5:L28)</f>
        <v>82249641.807462946</v>
      </c>
      <c r="M29" s="433">
        <f>SUM(M5:M28)</f>
        <v>24650711038.340004</v>
      </c>
      <c r="N29" s="433">
        <f t="shared" si="21"/>
        <v>10436469837.217693</v>
      </c>
      <c r="O29" s="433">
        <f t="shared" si="21"/>
        <v>14214241201.122307</v>
      </c>
      <c r="S29" s="399"/>
      <c r="T29" s="399"/>
      <c r="U29" s="399"/>
      <c r="V29" s="408"/>
      <c r="W29" s="408"/>
      <c r="X29" s="408"/>
      <c r="Y29" s="408"/>
      <c r="Z29" s="408"/>
      <c r="AA29" s="408"/>
      <c r="AB29" s="408"/>
      <c r="AC29" s="408"/>
      <c r="AD29" s="408"/>
    </row>
    <row r="30" spans="1:30" s="406" customFormat="1" ht="15">
      <c r="A30" s="401"/>
      <c r="B30" s="436"/>
      <c r="C30" s="436"/>
      <c r="D30" s="436"/>
      <c r="E30" s="436"/>
      <c r="F30" s="436"/>
      <c r="G30" s="436"/>
      <c r="H30" s="436"/>
      <c r="I30" s="1116"/>
      <c r="J30" s="1116"/>
      <c r="K30" s="436"/>
      <c r="L30" s="1116">
        <v>82249641.810000002</v>
      </c>
      <c r="M30" s="1116"/>
      <c r="N30" s="1352">
        <f>+[8]Hoja2!$H$32</f>
        <v>10436469837.329693</v>
      </c>
      <c r="O30" s="1352">
        <f>+[8]Hoja2!$G$34</f>
        <v>14214241200.900307</v>
      </c>
      <c r="P30" s="408"/>
      <c r="Q30" s="408"/>
      <c r="R30" s="408"/>
      <c r="S30" s="408"/>
      <c r="T30" s="408"/>
      <c r="U30" s="408"/>
      <c r="V30" s="408"/>
      <c r="W30" s="408"/>
      <c r="X30" s="408"/>
      <c r="Y30" s="408"/>
      <c r="Z30" s="408"/>
      <c r="AA30" s="408"/>
      <c r="AB30" s="408"/>
      <c r="AC30" s="408"/>
      <c r="AD30" s="408"/>
    </row>
    <row r="31" spans="1:30" s="442" customFormat="1" ht="15">
      <c r="A31" s="401" t="s">
        <v>350</v>
      </c>
      <c r="B31" s="438"/>
      <c r="C31" s="439"/>
      <c r="D31" s="438"/>
      <c r="E31" s="440"/>
      <c r="F31" s="438"/>
      <c r="G31" s="439"/>
      <c r="H31" s="439"/>
      <c r="I31" s="1115"/>
      <c r="J31" s="1115"/>
      <c r="K31" s="439"/>
      <c r="L31" s="1115">
        <f>+L29-L30</f>
        <v>-2.5370568037033081E-3</v>
      </c>
      <c r="M31" s="1115"/>
      <c r="N31" s="1115">
        <f>+N29-N30</f>
        <v>-0.11199951171875</v>
      </c>
      <c r="O31" s="1115">
        <f>+O29-O30</f>
        <v>0.2220001220703125</v>
      </c>
      <c r="Q31" s="443"/>
      <c r="R31" s="443"/>
      <c r="S31" s="443"/>
      <c r="T31" s="443"/>
      <c r="U31" s="443"/>
      <c r="V31" s="443"/>
      <c r="W31" s="443"/>
      <c r="X31" s="443"/>
      <c r="Y31" s="443"/>
      <c r="Z31" s="443"/>
      <c r="AA31" s="443"/>
      <c r="AB31" s="443"/>
      <c r="AC31" s="443"/>
      <c r="AD31" s="443"/>
    </row>
    <row r="32" spans="1:30" s="442" customFormat="1" ht="15">
      <c r="A32" s="444"/>
      <c r="B32" s="438"/>
      <c r="C32" s="439"/>
      <c r="D32" s="438"/>
      <c r="E32" s="440"/>
      <c r="F32" s="438"/>
      <c r="G32" s="439"/>
      <c r="H32" s="441"/>
      <c r="I32" s="441"/>
      <c r="J32" s="441"/>
      <c r="K32" s="441"/>
      <c r="L32" s="441"/>
      <c r="M32" s="441"/>
      <c r="N32" s="441"/>
      <c r="O32" s="406"/>
      <c r="Q32" s="443"/>
      <c r="R32" s="443"/>
      <c r="S32" s="443"/>
      <c r="T32" s="443"/>
      <c r="U32" s="443"/>
      <c r="V32" s="443"/>
      <c r="W32" s="443"/>
      <c r="X32" s="443"/>
      <c r="Y32" s="443"/>
      <c r="Z32" s="443"/>
      <c r="AA32" s="443"/>
      <c r="AB32" s="443"/>
      <c r="AC32" s="443"/>
      <c r="AD32" s="443"/>
    </row>
    <row r="33" spans="1:30" s="442" customFormat="1" ht="15.75" thickBot="1">
      <c r="A33" s="401" t="s">
        <v>331</v>
      </c>
      <c r="B33" s="438"/>
      <c r="C33" s="439"/>
      <c r="D33" s="438"/>
      <c r="E33" s="440"/>
      <c r="F33" s="438"/>
      <c r="G33" s="439"/>
      <c r="H33" s="441"/>
      <c r="I33" s="441"/>
      <c r="J33" s="441"/>
      <c r="K33" s="441"/>
      <c r="L33" s="441"/>
      <c r="M33" s="441"/>
      <c r="N33" s="441"/>
      <c r="O33" s="406"/>
      <c r="Q33" s="443"/>
      <c r="R33" s="443"/>
      <c r="S33" s="443"/>
      <c r="T33" s="443"/>
      <c r="U33" s="443"/>
      <c r="V33" s="443"/>
      <c r="W33" s="443"/>
      <c r="X33" s="443"/>
      <c r="Y33" s="443"/>
      <c r="Z33" s="443"/>
      <c r="AA33" s="443"/>
      <c r="AB33" s="443"/>
      <c r="AC33" s="443"/>
      <c r="AD33" s="443"/>
    </row>
    <row r="34" spans="1:30" s="442" customFormat="1" ht="15">
      <c r="A34" s="1257" t="s">
        <v>25</v>
      </c>
      <c r="B34" s="1259" t="s">
        <v>323</v>
      </c>
      <c r="C34" s="1259"/>
      <c r="D34" s="1259"/>
      <c r="E34" s="1248" t="s">
        <v>324</v>
      </c>
      <c r="F34" s="1248"/>
      <c r="G34" s="1248"/>
      <c r="H34" s="1249" t="s">
        <v>351</v>
      </c>
      <c r="I34" s="1249"/>
      <c r="J34" s="1250"/>
      <c r="K34" s="441"/>
      <c r="L34" s="441"/>
      <c r="M34" s="441"/>
      <c r="N34" s="441"/>
      <c r="O34" s="406"/>
      <c r="Q34" s="443"/>
      <c r="R34" s="443"/>
      <c r="S34" s="443"/>
      <c r="T34" s="443"/>
      <c r="U34" s="443"/>
      <c r="V34" s="443"/>
      <c r="W34" s="443"/>
      <c r="X34" s="443"/>
      <c r="Y34" s="443"/>
      <c r="Z34" s="443"/>
      <c r="AA34" s="443"/>
      <c r="AB34" s="443"/>
      <c r="AC34" s="443"/>
      <c r="AD34" s="443"/>
    </row>
    <row r="35" spans="1:30" s="442" customFormat="1" ht="30">
      <c r="A35" s="1258"/>
      <c r="B35" s="447" t="s">
        <v>332</v>
      </c>
      <c r="C35" s="447" t="s">
        <v>333</v>
      </c>
      <c r="D35" s="447" t="s">
        <v>334</v>
      </c>
      <c r="E35" s="447" t="s">
        <v>1031</v>
      </c>
      <c r="F35" s="447" t="s">
        <v>333</v>
      </c>
      <c r="G35" s="447" t="s">
        <v>334</v>
      </c>
      <c r="H35" s="447" t="s">
        <v>335</v>
      </c>
      <c r="I35" s="447" t="s">
        <v>333</v>
      </c>
      <c r="J35" s="448" t="s">
        <v>334</v>
      </c>
      <c r="K35" s="441"/>
      <c r="L35" s="441"/>
      <c r="M35" s="441"/>
      <c r="N35" s="441"/>
      <c r="O35" s="406"/>
      <c r="Q35" s="443"/>
      <c r="R35" s="443"/>
      <c r="S35" s="443"/>
      <c r="T35" s="443"/>
      <c r="U35" s="443"/>
      <c r="V35" s="443"/>
      <c r="W35" s="443"/>
      <c r="X35" s="443"/>
      <c r="Y35" s="443"/>
      <c r="Z35" s="443"/>
      <c r="AA35" s="443"/>
      <c r="AB35" s="443"/>
      <c r="AC35" s="443"/>
      <c r="AD35" s="443"/>
    </row>
    <row r="36" spans="1:30" s="442" customFormat="1" ht="15">
      <c r="A36" s="416" t="s">
        <v>221</v>
      </c>
      <c r="B36" s="429">
        <v>7512618.580000001</v>
      </c>
      <c r="C36" s="449">
        <v>3756309.2900000005</v>
      </c>
      <c r="D36" s="449">
        <v>3756309.2900000005</v>
      </c>
      <c r="E36" s="449">
        <f t="shared" ref="E36:E54" si="22">+J5*0.004</f>
        <v>0</v>
      </c>
      <c r="F36" s="429">
        <f t="shared" ref="F36:F52" si="23">+E36*C5</f>
        <v>0</v>
      </c>
      <c r="G36" s="429">
        <f t="shared" ref="G36:G52" si="24">+E36*E5</f>
        <v>0</v>
      </c>
      <c r="H36" s="429">
        <f>+B36+E36</f>
        <v>7512618.580000001</v>
      </c>
      <c r="I36" s="429">
        <f>+C36+F36</f>
        <v>3756309.2900000005</v>
      </c>
      <c r="J36" s="450">
        <f>+D36+G36</f>
        <v>3756309.2900000005</v>
      </c>
      <c r="K36" s="441"/>
      <c r="L36" s="441"/>
      <c r="M36" s="441"/>
      <c r="N36" s="441"/>
      <c r="O36" s="406"/>
      <c r="Q36" s="443"/>
      <c r="R36" s="443"/>
      <c r="S36" s="443"/>
      <c r="T36" s="443"/>
      <c r="U36" s="443"/>
      <c r="V36" s="443"/>
      <c r="W36" s="443"/>
      <c r="X36" s="443"/>
      <c r="Y36" s="443"/>
      <c r="Z36" s="443"/>
      <c r="AA36" s="443"/>
      <c r="AB36" s="443"/>
      <c r="AC36" s="443"/>
      <c r="AD36" s="443"/>
    </row>
    <row r="37" spans="1:30" s="442" customFormat="1" ht="15">
      <c r="A37" s="426" t="s">
        <v>346</v>
      </c>
      <c r="B37" s="429">
        <v>3468247.3652000003</v>
      </c>
      <c r="C37" s="449">
        <v>1258615.1159490873</v>
      </c>
      <c r="D37" s="449">
        <v>2209632.2492509126</v>
      </c>
      <c r="E37" s="449">
        <f t="shared" si="22"/>
        <v>0</v>
      </c>
      <c r="F37" s="429">
        <f t="shared" si="23"/>
        <v>0</v>
      </c>
      <c r="G37" s="429">
        <f t="shared" si="24"/>
        <v>0</v>
      </c>
      <c r="H37" s="429">
        <f t="shared" ref="H37:J41" si="25">+B37+E37</f>
        <v>3468247.3652000003</v>
      </c>
      <c r="I37" s="429">
        <f t="shared" si="25"/>
        <v>1258615.1159490873</v>
      </c>
      <c r="J37" s="450">
        <f t="shared" si="25"/>
        <v>2209632.2492509126</v>
      </c>
      <c r="K37" s="441"/>
      <c r="L37" s="441"/>
      <c r="M37" s="441"/>
      <c r="N37" s="441"/>
      <c r="O37" s="406"/>
      <c r="Q37" s="443"/>
      <c r="R37" s="443"/>
      <c r="S37" s="443"/>
      <c r="T37" s="443"/>
      <c r="U37" s="443"/>
      <c r="V37" s="443"/>
      <c r="W37" s="443"/>
      <c r="X37" s="443"/>
      <c r="Y37" s="443"/>
      <c r="Z37" s="443"/>
      <c r="AA37" s="443"/>
      <c r="AB37" s="443"/>
      <c r="AC37" s="443"/>
      <c r="AD37" s="443"/>
    </row>
    <row r="38" spans="1:30" s="442" customFormat="1" ht="15">
      <c r="A38" s="426" t="s">
        <v>347</v>
      </c>
      <c r="B38" s="429">
        <v>3287671.4896</v>
      </c>
      <c r="C38" s="449">
        <v>1095890.4965333333</v>
      </c>
      <c r="D38" s="449">
        <v>2191780.9930666666</v>
      </c>
      <c r="E38" s="449">
        <f t="shared" si="22"/>
        <v>0</v>
      </c>
      <c r="F38" s="429">
        <f t="shared" si="23"/>
        <v>0</v>
      </c>
      <c r="G38" s="429">
        <f t="shared" si="24"/>
        <v>0</v>
      </c>
      <c r="H38" s="429">
        <f t="shared" si="25"/>
        <v>3287671.4896</v>
      </c>
      <c r="I38" s="429">
        <f t="shared" si="25"/>
        <v>1095890.4965333333</v>
      </c>
      <c r="J38" s="450">
        <f t="shared" si="25"/>
        <v>2191780.9930666666</v>
      </c>
      <c r="K38" s="441"/>
      <c r="L38" s="441"/>
      <c r="M38" s="441"/>
      <c r="N38" s="441"/>
      <c r="O38" s="406"/>
      <c r="Q38" s="443"/>
      <c r="R38" s="443"/>
      <c r="S38" s="443"/>
      <c r="T38" s="443"/>
      <c r="U38" s="443"/>
      <c r="V38" s="443"/>
      <c r="W38" s="443"/>
      <c r="X38" s="443"/>
      <c r="Y38" s="443"/>
      <c r="Z38" s="443"/>
      <c r="AA38" s="443"/>
      <c r="AB38" s="443"/>
      <c r="AC38" s="443"/>
      <c r="AD38" s="443"/>
    </row>
    <row r="39" spans="1:30" s="442" customFormat="1" ht="15">
      <c r="A39" s="426" t="s">
        <v>349</v>
      </c>
      <c r="B39" s="429">
        <v>4113830.66004</v>
      </c>
      <c r="C39" s="449">
        <v>1645532.2640160001</v>
      </c>
      <c r="D39" s="449">
        <v>2468298.3960240004</v>
      </c>
      <c r="E39" s="449">
        <f t="shared" si="22"/>
        <v>36301.42</v>
      </c>
      <c r="F39" s="429">
        <f t="shared" si="23"/>
        <v>14520.567999999999</v>
      </c>
      <c r="G39" s="429">
        <f t="shared" si="24"/>
        <v>21780.851999999999</v>
      </c>
      <c r="H39" s="429">
        <f t="shared" ref="H39:J40" si="26">+B39+E39</f>
        <v>4150132.0800399999</v>
      </c>
      <c r="I39" s="429">
        <f t="shared" si="26"/>
        <v>1660052.8320160001</v>
      </c>
      <c r="J39" s="450">
        <f t="shared" si="26"/>
        <v>2490079.2480240003</v>
      </c>
      <c r="K39" s="441"/>
      <c r="L39" s="441"/>
      <c r="M39" s="441"/>
      <c r="N39" s="441"/>
      <c r="O39" s="406"/>
      <c r="Q39" s="443"/>
      <c r="R39" s="443"/>
      <c r="S39" s="443"/>
      <c r="T39" s="443"/>
      <c r="U39" s="443"/>
      <c r="V39" s="443"/>
      <c r="W39" s="443"/>
      <c r="X39" s="443"/>
      <c r="Y39" s="443"/>
      <c r="Z39" s="443"/>
      <c r="AA39" s="443"/>
      <c r="AB39" s="443"/>
      <c r="AC39" s="443"/>
      <c r="AD39" s="443"/>
    </row>
    <row r="40" spans="1:30" s="442" customFormat="1" ht="15">
      <c r="A40" s="426" t="s">
        <v>353</v>
      </c>
      <c r="B40" s="429">
        <v>3570391.9865999999</v>
      </c>
      <c r="C40" s="449">
        <v>1190130.6622000001</v>
      </c>
      <c r="D40" s="449">
        <v>2380261.3244000003</v>
      </c>
      <c r="E40" s="449">
        <f t="shared" si="22"/>
        <v>0</v>
      </c>
      <c r="F40" s="429">
        <f t="shared" si="23"/>
        <v>0</v>
      </c>
      <c r="G40" s="429">
        <f t="shared" si="24"/>
        <v>0</v>
      </c>
      <c r="H40" s="429">
        <f t="shared" si="26"/>
        <v>3570391.9865999999</v>
      </c>
      <c r="I40" s="429">
        <f t="shared" si="26"/>
        <v>1190130.6622000001</v>
      </c>
      <c r="J40" s="450">
        <f t="shared" si="26"/>
        <v>2380261.3244000003</v>
      </c>
      <c r="K40" s="441"/>
      <c r="L40" s="441"/>
      <c r="M40" s="441"/>
      <c r="N40" s="441"/>
      <c r="O40" s="406"/>
      <c r="Q40" s="443"/>
      <c r="R40" s="443"/>
      <c r="S40" s="443"/>
      <c r="T40" s="443"/>
      <c r="U40" s="443"/>
      <c r="V40" s="443"/>
      <c r="W40" s="443"/>
      <c r="X40" s="443"/>
      <c r="Y40" s="443"/>
      <c r="Z40" s="443"/>
      <c r="AA40" s="443"/>
      <c r="AB40" s="443"/>
      <c r="AC40" s="443"/>
      <c r="AD40" s="443"/>
    </row>
    <row r="41" spans="1:30" s="442" customFormat="1" ht="15">
      <c r="A41" s="426" t="s">
        <v>366</v>
      </c>
      <c r="B41" s="429">
        <v>4756695.5494400011</v>
      </c>
      <c r="C41" s="449">
        <v>1931256.9602741371</v>
      </c>
      <c r="D41" s="449">
        <v>2825438.5891658636</v>
      </c>
      <c r="E41" s="449">
        <f t="shared" si="22"/>
        <v>104005.66708</v>
      </c>
      <c r="F41" s="429">
        <f t="shared" si="23"/>
        <v>42227.144110547888</v>
      </c>
      <c r="G41" s="429">
        <f t="shared" si="24"/>
        <v>61778.522969452104</v>
      </c>
      <c r="H41" s="429">
        <f t="shared" si="25"/>
        <v>4860701.2165200012</v>
      </c>
      <c r="I41" s="429">
        <f t="shared" si="25"/>
        <v>1973484.1043846849</v>
      </c>
      <c r="J41" s="450">
        <f t="shared" si="25"/>
        <v>2887217.1121353158</v>
      </c>
      <c r="K41" s="441"/>
      <c r="L41" s="441"/>
      <c r="M41" s="441"/>
      <c r="N41" s="441"/>
      <c r="O41" s="406"/>
      <c r="Q41" s="443"/>
      <c r="R41" s="443"/>
      <c r="S41" s="443"/>
      <c r="T41" s="443"/>
      <c r="U41" s="443"/>
      <c r="V41" s="443"/>
      <c r="W41" s="443"/>
      <c r="X41" s="443"/>
      <c r="Y41" s="443"/>
      <c r="Z41" s="443"/>
      <c r="AA41" s="443"/>
      <c r="AB41" s="443"/>
      <c r="AC41" s="443"/>
      <c r="AD41" s="443"/>
    </row>
    <row r="42" spans="1:30" s="442" customFormat="1" ht="15">
      <c r="A42" s="416" t="s">
        <v>370</v>
      </c>
      <c r="B42" s="429">
        <v>3295765.1267599999</v>
      </c>
      <c r="C42" s="449">
        <v>1098588.3755866666</v>
      </c>
      <c r="D42" s="449">
        <v>2197176.7511733333</v>
      </c>
      <c r="E42" s="449">
        <f t="shared" si="22"/>
        <v>24328.952000000001</v>
      </c>
      <c r="F42" s="429">
        <f t="shared" si="23"/>
        <v>8109.6506666666664</v>
      </c>
      <c r="G42" s="429">
        <f t="shared" si="24"/>
        <v>16219.301333333333</v>
      </c>
      <c r="H42" s="429">
        <f t="shared" ref="H42:J45" si="27">+B42+E42</f>
        <v>3320094.0787599999</v>
      </c>
      <c r="I42" s="429">
        <f t="shared" si="27"/>
        <v>1106698.0262533333</v>
      </c>
      <c r="J42" s="450">
        <f t="shared" si="27"/>
        <v>2213396.0525066666</v>
      </c>
      <c r="K42" s="441"/>
      <c r="L42" s="441"/>
      <c r="M42" s="441"/>
      <c r="N42" s="441"/>
      <c r="O42" s="406"/>
      <c r="Q42" s="443"/>
      <c r="R42" s="443"/>
      <c r="S42" s="443"/>
      <c r="T42" s="443"/>
      <c r="U42" s="443"/>
      <c r="V42" s="443"/>
      <c r="W42" s="443"/>
      <c r="X42" s="443"/>
      <c r="Y42" s="443"/>
      <c r="Z42" s="443"/>
      <c r="AA42" s="443"/>
      <c r="AB42" s="443"/>
      <c r="AC42" s="443"/>
      <c r="AD42" s="443"/>
    </row>
    <row r="43" spans="1:30" s="442" customFormat="1" ht="15">
      <c r="A43" s="426" t="s">
        <v>371</v>
      </c>
      <c r="B43" s="429">
        <v>3564019.6447199997</v>
      </c>
      <c r="C43" s="449">
        <v>1188006.5482400001</v>
      </c>
      <c r="D43" s="449">
        <v>2376013.0964800003</v>
      </c>
      <c r="E43" s="449">
        <f t="shared" si="22"/>
        <v>0</v>
      </c>
      <c r="F43" s="429">
        <f t="shared" si="23"/>
        <v>0</v>
      </c>
      <c r="G43" s="429">
        <f t="shared" si="24"/>
        <v>0</v>
      </c>
      <c r="H43" s="429">
        <f t="shared" si="27"/>
        <v>3564019.6447199997</v>
      </c>
      <c r="I43" s="429">
        <f t="shared" si="27"/>
        <v>1188006.5482400001</v>
      </c>
      <c r="J43" s="450">
        <f t="shared" si="27"/>
        <v>2376013.0964800003</v>
      </c>
      <c r="K43" s="441"/>
      <c r="L43" s="441"/>
      <c r="M43" s="441"/>
      <c r="N43" s="441"/>
      <c r="O43" s="406"/>
      <c r="Q43" s="443"/>
      <c r="R43" s="443"/>
      <c r="S43" s="443"/>
      <c r="T43" s="443"/>
      <c r="U43" s="443"/>
      <c r="V43" s="443"/>
      <c r="W43" s="443"/>
      <c r="X43" s="443"/>
      <c r="Y43" s="443"/>
      <c r="Z43" s="443"/>
      <c r="AA43" s="443"/>
      <c r="AB43" s="443"/>
      <c r="AC43" s="443"/>
      <c r="AD43" s="443"/>
    </row>
    <row r="44" spans="1:30" s="442" customFormat="1" ht="15">
      <c r="A44" s="426" t="s">
        <v>372</v>
      </c>
      <c r="B44" s="429">
        <v>2681015.4920000001</v>
      </c>
      <c r="C44" s="449">
        <v>893671.83066666662</v>
      </c>
      <c r="D44" s="449">
        <v>1787343.6613333332</v>
      </c>
      <c r="E44" s="449">
        <f t="shared" si="22"/>
        <v>106000</v>
      </c>
      <c r="F44" s="429">
        <f t="shared" si="23"/>
        <v>35333.333333333328</v>
      </c>
      <c r="G44" s="429">
        <f t="shared" si="24"/>
        <v>70666.666666666657</v>
      </c>
      <c r="H44" s="429">
        <f t="shared" si="27"/>
        <v>2787015.4920000001</v>
      </c>
      <c r="I44" s="429">
        <f t="shared" si="27"/>
        <v>929005.16399999999</v>
      </c>
      <c r="J44" s="450">
        <f t="shared" si="27"/>
        <v>1858010.328</v>
      </c>
      <c r="K44" s="441"/>
      <c r="L44" s="441"/>
      <c r="M44" s="441"/>
      <c r="N44" s="441"/>
      <c r="O44" s="406"/>
      <c r="Q44" s="443"/>
      <c r="R44" s="443"/>
      <c r="S44" s="443"/>
      <c r="T44" s="443"/>
      <c r="U44" s="443"/>
      <c r="V44" s="443"/>
      <c r="W44" s="443"/>
      <c r="X44" s="443"/>
      <c r="Y44" s="443"/>
      <c r="Z44" s="443"/>
      <c r="AA44" s="443"/>
      <c r="AB44" s="443"/>
      <c r="AC44" s="443"/>
      <c r="AD44" s="443"/>
    </row>
    <row r="45" spans="1:30" s="442" customFormat="1" ht="15">
      <c r="A45" s="426" t="s">
        <v>373</v>
      </c>
      <c r="B45" s="429">
        <v>4890535.8820800008</v>
      </c>
      <c r="C45" s="449">
        <v>1774758.7579937046</v>
      </c>
      <c r="D45" s="449">
        <v>3115777.1240862948</v>
      </c>
      <c r="E45" s="449">
        <f t="shared" si="22"/>
        <v>2000</v>
      </c>
      <c r="F45" s="429">
        <f t="shared" si="23"/>
        <v>725.79316491544876</v>
      </c>
      <c r="G45" s="429">
        <f t="shared" si="24"/>
        <v>1274.2068350845511</v>
      </c>
      <c r="H45" s="705">
        <f t="shared" si="27"/>
        <v>4892535.8820800008</v>
      </c>
      <c r="I45" s="429">
        <f t="shared" si="27"/>
        <v>1775484.55115862</v>
      </c>
      <c r="J45" s="450">
        <f t="shared" si="27"/>
        <v>3117051.3309213794</v>
      </c>
      <c r="K45" s="441"/>
      <c r="L45" s="441"/>
      <c r="M45" s="441"/>
      <c r="N45" s="441"/>
      <c r="O45" s="406"/>
      <c r="Q45" s="443"/>
      <c r="R45" s="443"/>
      <c r="S45" s="443"/>
      <c r="T45" s="443"/>
      <c r="U45" s="443"/>
      <c r="V45" s="443"/>
      <c r="W45" s="443"/>
      <c r="X45" s="443"/>
      <c r="Y45" s="443"/>
      <c r="Z45" s="443"/>
      <c r="AA45" s="443"/>
      <c r="AB45" s="443"/>
      <c r="AC45" s="443"/>
      <c r="AD45" s="443"/>
    </row>
    <row r="46" spans="1:30" s="442" customFormat="1" ht="15">
      <c r="A46" s="426" t="s">
        <v>374</v>
      </c>
      <c r="B46" s="429">
        <v>4646345.0850400003</v>
      </c>
      <c r="C46" s="449">
        <v>2323172.5425200001</v>
      </c>
      <c r="D46" s="449">
        <v>2323172.5425200001</v>
      </c>
      <c r="E46" s="449">
        <f t="shared" si="22"/>
        <v>8325</v>
      </c>
      <c r="F46" s="429">
        <f t="shared" si="23"/>
        <v>4162.5</v>
      </c>
      <c r="G46" s="429">
        <f t="shared" si="24"/>
        <v>4162.5</v>
      </c>
      <c r="H46" s="429">
        <f t="shared" ref="H46:J47" si="28">+B46+E46</f>
        <v>4654670.0850400003</v>
      </c>
      <c r="I46" s="429">
        <f t="shared" si="28"/>
        <v>2327335.0425200001</v>
      </c>
      <c r="J46" s="450">
        <f t="shared" si="28"/>
        <v>2327335.0425200001</v>
      </c>
      <c r="K46" s="441"/>
      <c r="L46" s="441"/>
      <c r="M46" s="441"/>
      <c r="N46" s="441"/>
      <c r="O46" s="406"/>
      <c r="Q46" s="443"/>
      <c r="R46" s="443"/>
      <c r="S46" s="443"/>
      <c r="T46" s="443"/>
      <c r="U46" s="443"/>
      <c r="V46" s="443"/>
      <c r="W46" s="443"/>
      <c r="X46" s="443"/>
      <c r="Y46" s="443"/>
      <c r="Z46" s="443"/>
      <c r="AA46" s="443"/>
      <c r="AB46" s="443"/>
      <c r="AC46" s="443"/>
      <c r="AD46" s="443"/>
    </row>
    <row r="47" spans="1:30" s="442" customFormat="1" ht="28.5">
      <c r="A47" s="426" t="s">
        <v>375</v>
      </c>
      <c r="B47" s="429">
        <v>2480659.4319999996</v>
      </c>
      <c r="C47" s="449">
        <v>1240329.7159999998</v>
      </c>
      <c r="D47" s="449">
        <v>1240329.7159999998</v>
      </c>
      <c r="E47" s="449">
        <f t="shared" si="22"/>
        <v>0</v>
      </c>
      <c r="F47" s="429">
        <f t="shared" si="23"/>
        <v>0</v>
      </c>
      <c r="G47" s="429">
        <f t="shared" si="24"/>
        <v>0</v>
      </c>
      <c r="H47" s="429">
        <f t="shared" si="28"/>
        <v>2480659.4319999996</v>
      </c>
      <c r="I47" s="429">
        <f>+C47+F47</f>
        <v>1240329.7159999998</v>
      </c>
      <c r="J47" s="450">
        <f t="shared" si="28"/>
        <v>1240329.7159999998</v>
      </c>
      <c r="K47" s="441"/>
      <c r="L47" s="441"/>
      <c r="M47" s="441"/>
      <c r="N47" s="441"/>
      <c r="O47" s="406"/>
      <c r="Q47" s="443"/>
      <c r="R47" s="443"/>
      <c r="S47" s="443"/>
      <c r="T47" s="443"/>
      <c r="U47" s="443"/>
      <c r="V47" s="443"/>
      <c r="W47" s="443"/>
      <c r="X47" s="443"/>
      <c r="Y47" s="443"/>
      <c r="Z47" s="443"/>
      <c r="AA47" s="443"/>
      <c r="AB47" s="443"/>
      <c r="AC47" s="443"/>
      <c r="AD47" s="443"/>
    </row>
    <row r="48" spans="1:30" s="442" customFormat="1" ht="28.5">
      <c r="A48" s="426" t="s">
        <v>376</v>
      </c>
      <c r="B48" s="429">
        <v>5424923.6221999992</v>
      </c>
      <c r="C48" s="449">
        <v>2712461.8110999996</v>
      </c>
      <c r="D48" s="449">
        <v>2712461.8110999996</v>
      </c>
      <c r="E48" s="449">
        <f t="shared" si="22"/>
        <v>0</v>
      </c>
      <c r="F48" s="429">
        <f t="shared" si="23"/>
        <v>0</v>
      </c>
      <c r="G48" s="429">
        <f t="shared" si="24"/>
        <v>0</v>
      </c>
      <c r="H48" s="429">
        <f>+B48+E48</f>
        <v>5424923.6221999992</v>
      </c>
      <c r="I48" s="429">
        <f>+C48+F48</f>
        <v>2712461.8110999996</v>
      </c>
      <c r="J48" s="450">
        <f>+D48+G48</f>
        <v>2712461.8110999996</v>
      </c>
      <c r="K48" s="441"/>
      <c r="L48" s="441"/>
      <c r="M48" s="441"/>
      <c r="N48" s="441"/>
      <c r="O48" s="406"/>
      <c r="Q48" s="443"/>
      <c r="R48" s="443"/>
      <c r="S48" s="443"/>
      <c r="T48" s="443"/>
      <c r="U48" s="443"/>
      <c r="V48" s="443"/>
      <c r="W48" s="443"/>
      <c r="X48" s="443"/>
      <c r="Y48" s="443"/>
      <c r="Z48" s="443"/>
      <c r="AA48" s="443"/>
      <c r="AB48" s="443"/>
      <c r="AC48" s="443"/>
      <c r="AD48" s="443"/>
    </row>
    <row r="49" spans="1:31" s="442" customFormat="1" ht="15">
      <c r="A49" s="426" t="s">
        <v>377</v>
      </c>
      <c r="B49" s="429">
        <v>5389069.5283999983</v>
      </c>
      <c r="C49" s="449">
        <v>2694534.7641999992</v>
      </c>
      <c r="D49" s="449">
        <v>2694534.7641999992</v>
      </c>
      <c r="E49" s="449">
        <f t="shared" si="22"/>
        <v>-67199.966400000005</v>
      </c>
      <c r="F49" s="429">
        <f t="shared" si="23"/>
        <v>-33599.983200000002</v>
      </c>
      <c r="G49" s="429">
        <f t="shared" si="24"/>
        <v>-33599.983200000002</v>
      </c>
      <c r="H49" s="429">
        <f t="shared" ref="H49:J52" si="29">+B49+E49</f>
        <v>5321869.5619999981</v>
      </c>
      <c r="I49" s="429">
        <f t="shared" si="29"/>
        <v>2660934.780999999</v>
      </c>
      <c r="J49" s="450">
        <f t="shared" si="29"/>
        <v>2660934.780999999</v>
      </c>
      <c r="K49" s="441"/>
      <c r="L49" s="441"/>
      <c r="M49" s="441"/>
      <c r="N49" s="441"/>
      <c r="O49" s="406"/>
      <c r="Q49" s="443"/>
      <c r="R49" s="443"/>
      <c r="S49" s="443"/>
      <c r="T49" s="443"/>
      <c r="U49" s="443"/>
      <c r="V49" s="443"/>
      <c r="W49" s="443"/>
      <c r="X49" s="443"/>
      <c r="Y49" s="443"/>
      <c r="Z49" s="443"/>
      <c r="AA49" s="443"/>
      <c r="AB49" s="443"/>
      <c r="AC49" s="443"/>
      <c r="AD49" s="443"/>
    </row>
    <row r="50" spans="1:31" s="442" customFormat="1" ht="15">
      <c r="A50" s="426" t="s">
        <v>436</v>
      </c>
      <c r="B50" s="429">
        <v>5391936.5135599989</v>
      </c>
      <c r="C50" s="449">
        <v>2156774.6054240004</v>
      </c>
      <c r="D50" s="449">
        <v>3235161.9081359995</v>
      </c>
      <c r="E50" s="449">
        <f t="shared" si="22"/>
        <v>0</v>
      </c>
      <c r="F50" s="429">
        <f t="shared" si="23"/>
        <v>0</v>
      </c>
      <c r="G50" s="429">
        <f t="shared" si="24"/>
        <v>0</v>
      </c>
      <c r="H50" s="429">
        <f t="shared" si="29"/>
        <v>5391936.5135599989</v>
      </c>
      <c r="I50" s="429">
        <f t="shared" si="29"/>
        <v>2156774.6054240004</v>
      </c>
      <c r="J50" s="450">
        <f t="shared" si="29"/>
        <v>3235161.9081359995</v>
      </c>
      <c r="K50" s="441"/>
      <c r="L50" s="441"/>
      <c r="M50" s="441"/>
      <c r="N50" s="441"/>
      <c r="O50" s="406"/>
      <c r="Q50" s="443"/>
      <c r="R50" s="443"/>
      <c r="S50" s="443"/>
      <c r="T50" s="443"/>
      <c r="U50" s="443"/>
      <c r="V50" s="443"/>
      <c r="W50" s="443"/>
      <c r="X50" s="443"/>
      <c r="Y50" s="443"/>
      <c r="Z50" s="443"/>
      <c r="AA50" s="443"/>
      <c r="AB50" s="443"/>
      <c r="AC50" s="443"/>
      <c r="AD50" s="443"/>
    </row>
    <row r="51" spans="1:31" s="442" customFormat="1" ht="15">
      <c r="A51" s="426" t="s">
        <v>476</v>
      </c>
      <c r="B51" s="429">
        <v>3368121.7804</v>
      </c>
      <c r="C51" s="449">
        <v>1122707.2601333333</v>
      </c>
      <c r="D51" s="449">
        <v>2245414.5202666665</v>
      </c>
      <c r="E51" s="449">
        <f t="shared" si="22"/>
        <v>35756.351999999999</v>
      </c>
      <c r="F51" s="429">
        <f t="shared" si="23"/>
        <v>11918.784</v>
      </c>
      <c r="G51" s="429">
        <f t="shared" si="24"/>
        <v>23837.567999999999</v>
      </c>
      <c r="H51" s="429">
        <f t="shared" si="29"/>
        <v>3403878.1324</v>
      </c>
      <c r="I51" s="429">
        <f t="shared" si="29"/>
        <v>1134626.0441333333</v>
      </c>
      <c r="J51" s="450">
        <f t="shared" si="29"/>
        <v>2269252.0882666665</v>
      </c>
      <c r="K51" s="441"/>
      <c r="L51" s="441"/>
      <c r="M51" s="441"/>
      <c r="N51" s="441"/>
      <c r="O51" s="406"/>
      <c r="Q51" s="443"/>
      <c r="R51" s="443"/>
      <c r="S51" s="443"/>
      <c r="T51" s="443"/>
      <c r="U51" s="443"/>
      <c r="V51" s="443"/>
      <c r="W51" s="443"/>
      <c r="X51" s="443"/>
      <c r="Y51" s="443"/>
      <c r="Z51" s="443"/>
      <c r="AA51" s="443"/>
      <c r="AB51" s="443"/>
      <c r="AC51" s="443"/>
      <c r="AD51" s="443"/>
    </row>
    <row r="52" spans="1:31" s="442" customFormat="1" ht="15">
      <c r="A52" s="426" t="s">
        <v>477</v>
      </c>
      <c r="B52" s="429">
        <v>7822318.0305599999</v>
      </c>
      <c r="C52" s="449">
        <v>3911159.0152799999</v>
      </c>
      <c r="D52" s="449">
        <v>3911159.0152799999</v>
      </c>
      <c r="E52" s="449">
        <f t="shared" si="22"/>
        <v>0</v>
      </c>
      <c r="F52" s="429">
        <f t="shared" si="23"/>
        <v>0</v>
      </c>
      <c r="G52" s="429">
        <f t="shared" si="24"/>
        <v>0</v>
      </c>
      <c r="H52" s="429">
        <f t="shared" si="29"/>
        <v>7822318.0305599999</v>
      </c>
      <c r="I52" s="429">
        <f t="shared" si="29"/>
        <v>3911159.0152799999</v>
      </c>
      <c r="J52" s="450">
        <f t="shared" si="29"/>
        <v>3911159.0152799999</v>
      </c>
      <c r="K52" s="441"/>
      <c r="L52" s="441"/>
      <c r="M52" s="441"/>
      <c r="N52" s="441"/>
      <c r="O52" s="406"/>
      <c r="Q52" s="443"/>
      <c r="R52" s="443"/>
      <c r="S52" s="443"/>
      <c r="T52" s="443"/>
      <c r="U52" s="443"/>
      <c r="V52" s="443"/>
      <c r="W52" s="443"/>
      <c r="X52" s="443"/>
      <c r="Y52" s="443"/>
      <c r="Z52" s="443"/>
      <c r="AA52" s="443"/>
      <c r="AB52" s="443"/>
      <c r="AC52" s="443"/>
      <c r="AD52" s="443"/>
    </row>
    <row r="53" spans="1:31" s="442" customFormat="1" ht="28.5">
      <c r="A53" s="1102" t="s">
        <v>1083</v>
      </c>
      <c r="B53" s="429">
        <v>5423472.9952400001</v>
      </c>
      <c r="C53" s="449">
        <v>2711736.49762</v>
      </c>
      <c r="D53" s="449">
        <v>2711736.49762</v>
      </c>
      <c r="E53" s="449">
        <f t="shared" si="22"/>
        <v>4767.78</v>
      </c>
      <c r="F53" s="429">
        <f>+(E53*C22)</f>
        <v>2383.89</v>
      </c>
      <c r="G53" s="429">
        <f>+(E53*E22)</f>
        <v>2383.89</v>
      </c>
      <c r="H53" s="429">
        <f t="shared" ref="H53:J59" si="30">+B53+E53</f>
        <v>5428240.7752400003</v>
      </c>
      <c r="I53" s="429">
        <f>+(C53+F53)</f>
        <v>2714120.3876200002</v>
      </c>
      <c r="J53" s="450">
        <f>+(D53+G53)</f>
        <v>2714120.3876200002</v>
      </c>
      <c r="K53" s="441"/>
      <c r="L53" s="441"/>
      <c r="M53" s="441"/>
      <c r="N53" s="441"/>
      <c r="O53" s="406"/>
      <c r="Q53" s="443"/>
      <c r="R53" s="443"/>
      <c r="S53" s="443"/>
      <c r="T53" s="443"/>
      <c r="U53" s="443"/>
      <c r="V53" s="443"/>
      <c r="W53" s="443"/>
      <c r="X53" s="443"/>
      <c r="Y53" s="443"/>
      <c r="Z53" s="443"/>
      <c r="AA53" s="443"/>
      <c r="AB53" s="443"/>
      <c r="AC53" s="443"/>
      <c r="AD53" s="443"/>
    </row>
    <row r="54" spans="1:31" s="442" customFormat="1" ht="15">
      <c r="A54" s="1102" t="s">
        <v>1084</v>
      </c>
      <c r="B54" s="751">
        <v>369225.23200000002</v>
      </c>
      <c r="C54" s="458">
        <v>369225.23200000002</v>
      </c>
      <c r="D54" s="458">
        <v>0</v>
      </c>
      <c r="E54" s="449">
        <f t="shared" si="22"/>
        <v>205705.03200000001</v>
      </c>
      <c r="F54" s="429">
        <f>+(E54*C23)</f>
        <v>205705.03200000001</v>
      </c>
      <c r="G54" s="429">
        <f>+(E54*E23)</f>
        <v>0</v>
      </c>
      <c r="H54" s="429">
        <f>+B54+E54</f>
        <v>574930.26399999997</v>
      </c>
      <c r="I54" s="429">
        <f>+(C54+F54)</f>
        <v>574930.26399999997</v>
      </c>
      <c r="J54" s="450">
        <f>+(D54+G54)</f>
        <v>0</v>
      </c>
      <c r="K54" s="441"/>
      <c r="L54" s="441"/>
      <c r="M54" s="441"/>
      <c r="N54" s="441"/>
      <c r="O54" s="406"/>
      <c r="Q54" s="443"/>
      <c r="R54" s="443"/>
      <c r="S54" s="443"/>
      <c r="T54" s="443"/>
      <c r="U54" s="443"/>
      <c r="V54" s="443"/>
      <c r="W54" s="443"/>
      <c r="X54" s="443"/>
      <c r="Y54" s="443"/>
      <c r="Z54" s="443"/>
      <c r="AA54" s="443"/>
      <c r="AB54" s="443"/>
      <c r="AC54" s="443"/>
      <c r="AD54" s="443"/>
    </row>
    <row r="55" spans="1:31" s="442" customFormat="1" ht="28.5">
      <c r="A55" s="1102" t="s">
        <v>1085</v>
      </c>
      <c r="B55" s="751">
        <v>0</v>
      </c>
      <c r="C55" s="458">
        <v>0</v>
      </c>
      <c r="D55" s="458">
        <v>0</v>
      </c>
      <c r="E55" s="449">
        <f t="shared" ref="E55" si="31">+J24*0.004</f>
        <v>25800</v>
      </c>
      <c r="F55" s="429">
        <f t="shared" ref="F55" si="32">+(E55*C24)</f>
        <v>13170.035052104278</v>
      </c>
      <c r="G55" s="429">
        <f t="shared" ref="G55" si="33">+(E55*E24)</f>
        <v>12629.96494789572</v>
      </c>
      <c r="H55" s="429">
        <f t="shared" ref="H55" si="34">+B55+E55</f>
        <v>25800</v>
      </c>
      <c r="I55" s="429">
        <f t="shared" ref="I55:J55" si="35">+(C55+F55)</f>
        <v>13170.035052104278</v>
      </c>
      <c r="J55" s="450">
        <f t="shared" si="35"/>
        <v>12629.96494789572</v>
      </c>
      <c r="K55" s="441"/>
      <c r="L55" s="441"/>
      <c r="M55" s="441"/>
      <c r="N55" s="441"/>
      <c r="O55" s="406"/>
      <c r="Q55" s="443"/>
      <c r="R55" s="443"/>
      <c r="S55" s="443"/>
      <c r="T55" s="443"/>
      <c r="U55" s="443"/>
      <c r="V55" s="443"/>
      <c r="W55" s="443"/>
      <c r="X55" s="443"/>
      <c r="Y55" s="443"/>
      <c r="Z55" s="443"/>
      <c r="AA55" s="443"/>
      <c r="AB55" s="443"/>
      <c r="AC55" s="443"/>
      <c r="AD55" s="443"/>
    </row>
    <row r="56" spans="1:31" s="442" customFormat="1" ht="15">
      <c r="A56" s="456" t="s">
        <v>524</v>
      </c>
      <c r="B56" s="751">
        <v>2833806.3142400002</v>
      </c>
      <c r="C56" s="458">
        <v>944602.10474666662</v>
      </c>
      <c r="D56" s="458">
        <v>1889204.2094933332</v>
      </c>
      <c r="E56" s="449">
        <f>+J25*0.004</f>
        <v>14820.836000000001</v>
      </c>
      <c r="F56" s="429">
        <f>+E56*C25</f>
        <v>4940.278666666667</v>
      </c>
      <c r="G56" s="429">
        <f>+E56*E25</f>
        <v>9880.5573333333341</v>
      </c>
      <c r="H56" s="429">
        <f>+B56+E56</f>
        <v>2848627.1502400003</v>
      </c>
      <c r="I56" s="429">
        <f>+C56+F56</f>
        <v>949542.38341333333</v>
      </c>
      <c r="J56" s="450">
        <f>+D56+G56</f>
        <v>1899084.7668266667</v>
      </c>
      <c r="K56" s="441"/>
      <c r="L56" s="441"/>
      <c r="M56" s="441"/>
      <c r="N56" s="441"/>
      <c r="O56" s="406"/>
      <c r="Q56" s="443"/>
      <c r="R56" s="443"/>
      <c r="S56" s="443"/>
      <c r="T56" s="443"/>
      <c r="U56" s="443"/>
      <c r="V56" s="443"/>
      <c r="W56" s="443"/>
      <c r="X56" s="443"/>
      <c r="Y56" s="443"/>
      <c r="Z56" s="443"/>
      <c r="AA56" s="443"/>
      <c r="AB56" s="443"/>
      <c r="AC56" s="443"/>
      <c r="AD56" s="443"/>
    </row>
    <row r="57" spans="1:31" s="442" customFormat="1" ht="15">
      <c r="A57" s="456" t="s">
        <v>257</v>
      </c>
      <c r="B57" s="751">
        <v>5186932.3413600009</v>
      </c>
      <c r="C57" s="458">
        <v>2175165.175409033</v>
      </c>
      <c r="D57" s="458">
        <v>3011767.1659509679</v>
      </c>
      <c r="E57" s="449">
        <f>+J26*0.004</f>
        <v>207496.38800000001</v>
      </c>
      <c r="F57" s="429">
        <f>+E57*C26</f>
        <v>87014.614322580645</v>
      </c>
      <c r="G57" s="429">
        <f>+E57*E26</f>
        <v>120481.77367741936</v>
      </c>
      <c r="H57" s="429">
        <f t="shared" si="30"/>
        <v>5394428.7293600012</v>
      </c>
      <c r="I57" s="429">
        <f t="shared" si="30"/>
        <v>2262179.7897316138</v>
      </c>
      <c r="J57" s="450">
        <f t="shared" si="30"/>
        <v>3132248.9396283873</v>
      </c>
      <c r="K57" s="441"/>
      <c r="L57" s="441"/>
      <c r="M57" s="441"/>
      <c r="N57" s="441"/>
      <c r="O57" s="406"/>
      <c r="Q57" s="443"/>
      <c r="R57" s="443"/>
      <c r="S57" s="443"/>
      <c r="T57" s="443"/>
      <c r="U57" s="443"/>
      <c r="V57" s="443"/>
      <c r="W57" s="443"/>
      <c r="X57" s="443"/>
      <c r="Y57" s="443"/>
      <c r="Z57" s="443"/>
      <c r="AA57" s="443"/>
      <c r="AB57" s="443"/>
      <c r="AC57" s="443"/>
      <c r="AD57" s="443"/>
    </row>
    <row r="58" spans="1:31" s="442" customFormat="1" ht="15">
      <c r="A58" s="456" t="s">
        <v>525</v>
      </c>
      <c r="B58" s="751">
        <v>5233910.0367200002</v>
      </c>
      <c r="C58" s="458">
        <v>2093564.0146880001</v>
      </c>
      <c r="D58" s="458">
        <v>3140346.0220320001</v>
      </c>
      <c r="E58" s="449">
        <f>+J27*0.004</f>
        <v>0</v>
      </c>
      <c r="F58" s="429">
        <f>+E58*C27</f>
        <v>0</v>
      </c>
      <c r="G58" s="429">
        <f>+E58*E27</f>
        <v>0</v>
      </c>
      <c r="H58" s="429">
        <f t="shared" si="30"/>
        <v>5233910.0367200002</v>
      </c>
      <c r="I58" s="429">
        <f t="shared" si="30"/>
        <v>2093564.0146880001</v>
      </c>
      <c r="J58" s="450">
        <f t="shared" si="30"/>
        <v>3140346.0220320001</v>
      </c>
      <c r="K58" s="441"/>
      <c r="L58" s="441"/>
      <c r="M58" s="441"/>
      <c r="N58" s="441"/>
      <c r="O58" s="406"/>
      <c r="Q58" s="443"/>
      <c r="R58" s="443"/>
      <c r="S58" s="443"/>
      <c r="T58" s="443"/>
      <c r="U58" s="443"/>
      <c r="V58" s="443"/>
      <c r="W58" s="443"/>
      <c r="X58" s="443"/>
      <c r="Y58" s="443"/>
      <c r="Z58" s="443"/>
      <c r="AA58" s="443"/>
      <c r="AB58" s="443"/>
      <c r="AC58" s="443"/>
      <c r="AD58" s="443"/>
    </row>
    <row r="59" spans="1:31" s="442" customFormat="1" ht="15">
      <c r="A59" s="456" t="s">
        <v>526</v>
      </c>
      <c r="B59" s="751">
        <v>3156969.8845200003</v>
      </c>
      <c r="C59" s="458">
        <v>1052323.2948399999</v>
      </c>
      <c r="D59" s="458">
        <v>2104646.5896799997</v>
      </c>
      <c r="E59" s="449">
        <f>+J28*0.004</f>
        <v>26254.12</v>
      </c>
      <c r="F59" s="429">
        <f>+E59*C28</f>
        <v>8751.373333333333</v>
      </c>
      <c r="G59" s="429">
        <f>+E59*E28</f>
        <v>17502.746666666666</v>
      </c>
      <c r="H59" s="429">
        <f t="shared" si="30"/>
        <v>3183224.0045200004</v>
      </c>
      <c r="I59" s="429">
        <f t="shared" si="30"/>
        <v>1061074.6681733332</v>
      </c>
      <c r="J59" s="450">
        <f t="shared" si="30"/>
        <v>2122149.3363466663</v>
      </c>
      <c r="K59" s="441"/>
      <c r="L59" s="441"/>
      <c r="M59" s="441"/>
      <c r="N59" s="441"/>
      <c r="O59" s="406"/>
      <c r="Q59" s="443"/>
      <c r="R59" s="443"/>
      <c r="S59" s="443"/>
      <c r="T59" s="443"/>
      <c r="U59" s="443"/>
      <c r="V59" s="443"/>
      <c r="W59" s="443"/>
      <c r="X59" s="443"/>
      <c r="Y59" s="443"/>
      <c r="Z59" s="443"/>
      <c r="AA59" s="443"/>
      <c r="AB59" s="443"/>
      <c r="AC59" s="443"/>
      <c r="AD59" s="443"/>
    </row>
    <row r="60" spans="1:31" s="442" customFormat="1" ht="15.75" thickBot="1">
      <c r="A60" s="432"/>
      <c r="B60" s="433">
        <f>SUM(B36:B59)</f>
        <v>97868482.572679967</v>
      </c>
      <c r="C60" s="433">
        <f t="shared" ref="C60:J60" si="36">SUM(C36:C59)</f>
        <v>41340516.335420631</v>
      </c>
      <c r="D60" s="433">
        <f t="shared" si="36"/>
        <v>56527966.237259381</v>
      </c>
      <c r="E60" s="433">
        <f t="shared" si="36"/>
        <v>734361.58068000001</v>
      </c>
      <c r="F60" s="433">
        <f t="shared" si="36"/>
        <v>405363.01345014822</v>
      </c>
      <c r="G60" s="433">
        <f t="shared" si="36"/>
        <v>328998.56722985167</v>
      </c>
      <c r="H60" s="433">
        <f t="shared" si="36"/>
        <v>98602844.153360009</v>
      </c>
      <c r="I60" s="433">
        <f t="shared" si="36"/>
        <v>41745879.348870777</v>
      </c>
      <c r="J60" s="433">
        <f t="shared" si="36"/>
        <v>56856964.804489218</v>
      </c>
      <c r="K60" s="441"/>
      <c r="L60" s="441"/>
      <c r="M60" s="441"/>
      <c r="N60" s="441"/>
      <c r="O60" s="406"/>
      <c r="Q60" s="443"/>
      <c r="R60" s="443"/>
      <c r="S60" s="443"/>
      <c r="T60" s="443"/>
      <c r="U60" s="443"/>
      <c r="V60" s="443"/>
      <c r="W60" s="443"/>
      <c r="X60" s="443"/>
      <c r="Y60" s="443"/>
      <c r="Z60" s="443"/>
      <c r="AA60" s="443"/>
      <c r="AB60" s="443"/>
      <c r="AC60" s="443"/>
      <c r="AD60" s="443"/>
    </row>
    <row r="61" spans="1:31" s="442" customFormat="1" ht="15">
      <c r="A61" s="444"/>
      <c r="B61" s="438"/>
      <c r="C61" s="439"/>
      <c r="D61" s="438"/>
      <c r="E61" s="440"/>
      <c r="F61" s="440"/>
      <c r="G61" s="440"/>
      <c r="H61" s="440"/>
      <c r="I61" s="440"/>
      <c r="J61" s="440"/>
      <c r="K61" s="441"/>
      <c r="L61" s="441"/>
      <c r="M61" s="441"/>
      <c r="N61" s="441"/>
      <c r="O61" s="406"/>
      <c r="Q61" s="443"/>
      <c r="R61" s="443"/>
      <c r="S61" s="443"/>
      <c r="T61" s="443"/>
      <c r="U61" s="443"/>
      <c r="V61" s="443"/>
      <c r="W61" s="443"/>
      <c r="X61" s="443"/>
      <c r="Y61" s="443"/>
      <c r="Z61" s="443"/>
      <c r="AA61" s="443"/>
      <c r="AB61" s="443"/>
      <c r="AC61" s="443"/>
      <c r="AD61" s="443"/>
    </row>
    <row r="62" spans="1:31" s="442" customFormat="1" ht="15">
      <c r="A62" s="444"/>
      <c r="B62" s="438"/>
      <c r="C62" s="438"/>
      <c r="D62" s="438"/>
      <c r="E62" s="438"/>
      <c r="F62" s="438"/>
      <c r="G62" s="438"/>
      <c r="H62" s="438"/>
      <c r="I62" s="438"/>
      <c r="J62" s="438"/>
      <c r="K62" s="441"/>
      <c r="L62" s="441"/>
      <c r="M62" s="441"/>
      <c r="N62" s="441"/>
      <c r="O62" s="406"/>
      <c r="Q62" s="443"/>
      <c r="R62" s="443"/>
      <c r="S62" s="443"/>
      <c r="T62" s="443"/>
      <c r="U62" s="443"/>
      <c r="V62" s="443"/>
      <c r="W62" s="443"/>
      <c r="X62" s="443"/>
      <c r="Y62" s="443"/>
      <c r="Z62" s="443"/>
      <c r="AA62" s="443"/>
      <c r="AB62" s="443"/>
      <c r="AC62" s="443"/>
      <c r="AD62" s="443"/>
    </row>
    <row r="63" spans="1:31" ht="15.75" thickBot="1">
      <c r="A63" s="401" t="s">
        <v>336</v>
      </c>
      <c r="B63" s="401"/>
      <c r="C63" s="401"/>
      <c r="D63" s="401"/>
      <c r="E63" s="402"/>
      <c r="F63" s="401"/>
      <c r="G63" s="444"/>
      <c r="H63" s="444"/>
      <c r="I63" s="444"/>
      <c r="J63" s="444"/>
      <c r="K63" s="439"/>
      <c r="L63" s="444"/>
      <c r="M63" s="444"/>
      <c r="N63" s="439"/>
      <c r="O63" s="406"/>
      <c r="P63" s="408"/>
      <c r="Q63" s="408"/>
      <c r="R63" s="408"/>
      <c r="S63" s="408"/>
      <c r="T63" s="408"/>
      <c r="U63" s="408"/>
      <c r="V63" s="408"/>
      <c r="W63" s="408"/>
      <c r="X63" s="408"/>
      <c r="Y63" s="408"/>
      <c r="Z63" s="408"/>
      <c r="AA63" s="408"/>
      <c r="AB63" s="408"/>
      <c r="AC63" s="408"/>
      <c r="AD63" s="408"/>
    </row>
    <row r="64" spans="1:31" ht="56.25" customHeight="1">
      <c r="A64" s="445" t="s">
        <v>25</v>
      </c>
      <c r="B64" s="446" t="s">
        <v>337</v>
      </c>
      <c r="C64" s="446" t="s">
        <v>338</v>
      </c>
      <c r="D64" s="446" t="s">
        <v>352</v>
      </c>
      <c r="E64" s="960" t="s">
        <v>672</v>
      </c>
      <c r="F64" s="446" t="s">
        <v>339</v>
      </c>
      <c r="G64" s="446" t="s">
        <v>354</v>
      </c>
      <c r="H64" s="446" t="s">
        <v>340</v>
      </c>
      <c r="I64" s="451" t="s">
        <v>341</v>
      </c>
      <c r="K64" s="397"/>
      <c r="L64" s="397"/>
      <c r="M64" s="444"/>
      <c r="N64" s="444"/>
      <c r="O64" s="439"/>
      <c r="P64" s="408"/>
      <c r="Q64" s="408"/>
      <c r="R64" s="408"/>
      <c r="S64" s="408"/>
      <c r="T64" s="408"/>
      <c r="U64" s="408"/>
      <c r="V64" s="408"/>
      <c r="W64" s="408"/>
      <c r="X64" s="408"/>
      <c r="Y64" s="408"/>
      <c r="Z64" s="408"/>
      <c r="AA64" s="408"/>
      <c r="AB64" s="408"/>
      <c r="AC64" s="408"/>
      <c r="AD64" s="408"/>
      <c r="AE64" s="408"/>
    </row>
    <row r="65" spans="1:31" ht="26.25" customHeight="1">
      <c r="A65" s="906" t="s">
        <v>590</v>
      </c>
      <c r="B65" s="452">
        <v>167</v>
      </c>
      <c r="C65" s="427">
        <f t="shared" ref="C65:C81" si="37">+B5</f>
        <v>1000000000</v>
      </c>
      <c r="D65" s="449">
        <v>979279843.5</v>
      </c>
      <c r="E65" s="705">
        <f>+[4]Hoja1!$C$11</f>
        <v>39929877.5</v>
      </c>
      <c r="F65" s="429">
        <f t="shared" ref="F65:F82" si="38">+N5</f>
        <v>939077322.50000012</v>
      </c>
      <c r="G65" s="449">
        <f>D65-F65-E65</f>
        <v>272643.49999988079</v>
      </c>
      <c r="H65" s="449">
        <f>C65-D65+E65</f>
        <v>60650034</v>
      </c>
      <c r="I65" s="453">
        <f>G65+H65</f>
        <v>60922677.499999881</v>
      </c>
      <c r="K65" s="454"/>
      <c r="L65" s="454"/>
      <c r="M65" s="455"/>
      <c r="N65" s="444"/>
      <c r="O65" s="439"/>
      <c r="P65" s="408"/>
      <c r="Q65" s="408"/>
      <c r="R65" s="408"/>
      <c r="S65" s="408"/>
      <c r="T65" s="408"/>
      <c r="U65" s="408"/>
      <c r="V65" s="408"/>
      <c r="W65" s="408"/>
      <c r="X65" s="408"/>
      <c r="Y65" s="408"/>
      <c r="Z65" s="408"/>
      <c r="AA65" s="408"/>
      <c r="AB65" s="408"/>
      <c r="AC65" s="408"/>
      <c r="AD65" s="408"/>
      <c r="AE65" s="408"/>
    </row>
    <row r="66" spans="1:31" ht="26.25" customHeight="1">
      <c r="A66" s="907" t="s">
        <v>591</v>
      </c>
      <c r="B66" s="452">
        <v>168</v>
      </c>
      <c r="C66" s="427">
        <f t="shared" si="37"/>
        <v>500000000</v>
      </c>
      <c r="D66" s="449">
        <v>492004039.75485802</v>
      </c>
      <c r="E66" s="429">
        <v>42349951.688567042</v>
      </c>
      <c r="F66" s="429">
        <f t="shared" si="38"/>
        <v>314653778.98727179</v>
      </c>
      <c r="G66" s="449">
        <f t="shared" ref="G66:G86" si="39">D66-F66-E66</f>
        <v>135000309.07901919</v>
      </c>
      <c r="H66" s="449">
        <f t="shared" ref="H66:H86" si="40">C66-D66+E66</f>
        <v>50345911.933709025</v>
      </c>
      <c r="I66" s="453">
        <f t="shared" ref="I66:I77" si="41">G66+H66</f>
        <v>185346221.01272821</v>
      </c>
      <c r="K66" s="454"/>
      <c r="L66" s="454"/>
      <c r="M66" s="455"/>
      <c r="N66" s="444"/>
      <c r="O66" s="439"/>
      <c r="P66" s="408"/>
      <c r="Q66" s="408"/>
      <c r="R66" s="408"/>
      <c r="S66" s="408"/>
      <c r="T66" s="408"/>
      <c r="U66" s="408"/>
      <c r="V66" s="408"/>
      <c r="W66" s="408"/>
      <c r="X66" s="408"/>
      <c r="Y66" s="408"/>
      <c r="Z66" s="408"/>
      <c r="AA66" s="408"/>
      <c r="AB66" s="408"/>
      <c r="AC66" s="408"/>
      <c r="AD66" s="408"/>
      <c r="AE66" s="408"/>
    </row>
    <row r="67" spans="1:31" ht="26.25" customHeight="1">
      <c r="A67" s="906" t="s">
        <v>592</v>
      </c>
      <c r="B67" s="452">
        <v>174</v>
      </c>
      <c r="C67" s="427">
        <f t="shared" si="37"/>
        <v>300000000</v>
      </c>
      <c r="D67" s="449">
        <f>276349893.93+2791413</f>
        <v>279141306.93000001</v>
      </c>
      <c r="E67" s="429"/>
      <c r="F67" s="705">
        <f t="shared" si="38"/>
        <v>273972624.13333333</v>
      </c>
      <c r="G67" s="449">
        <f t="shared" si="39"/>
        <v>5168682.7966666818</v>
      </c>
      <c r="H67" s="449">
        <f t="shared" si="40"/>
        <v>20858693.069999993</v>
      </c>
      <c r="I67" s="453">
        <f t="shared" si="41"/>
        <v>26027375.866666675</v>
      </c>
      <c r="K67" s="454"/>
      <c r="L67" s="454"/>
      <c r="M67" s="455"/>
      <c r="N67" s="444"/>
      <c r="O67" s="439"/>
      <c r="P67" s="408"/>
      <c r="Q67" s="408"/>
      <c r="R67" s="408"/>
      <c r="S67" s="408"/>
      <c r="T67" s="408"/>
      <c r="U67" s="408"/>
      <c r="V67" s="408"/>
      <c r="W67" s="408"/>
      <c r="X67" s="408"/>
      <c r="Y67" s="408"/>
      <c r="Z67" s="408"/>
      <c r="AA67" s="408"/>
      <c r="AB67" s="408"/>
      <c r="AC67" s="408"/>
      <c r="AD67" s="408"/>
      <c r="AE67" s="408"/>
    </row>
    <row r="68" spans="1:31" ht="26.25" customHeight="1">
      <c r="A68" s="907" t="s">
        <v>593</v>
      </c>
      <c r="B68" s="452">
        <v>177</v>
      </c>
      <c r="C68" s="427">
        <f t="shared" si="37"/>
        <v>600000000</v>
      </c>
      <c r="D68" s="449">
        <f>568159430+31600856</f>
        <v>599760286</v>
      </c>
      <c r="E68" s="429"/>
      <c r="F68" s="429">
        <f t="shared" si="38"/>
        <v>415013208.00400001</v>
      </c>
      <c r="G68" s="449">
        <f t="shared" si="39"/>
        <v>184747077.99599999</v>
      </c>
      <c r="H68" s="449">
        <f t="shared" si="40"/>
        <v>239714</v>
      </c>
      <c r="I68" s="453">
        <f t="shared" si="41"/>
        <v>184986791.99599999</v>
      </c>
      <c r="K68" s="454"/>
      <c r="L68" s="454"/>
      <c r="M68" s="455"/>
      <c r="N68" s="444"/>
      <c r="O68" s="439"/>
      <c r="P68" s="408"/>
      <c r="Q68" s="408"/>
      <c r="R68" s="408"/>
      <c r="S68" s="408"/>
      <c r="T68" s="408"/>
      <c r="U68" s="408"/>
      <c r="V68" s="408"/>
      <c r="W68" s="408"/>
      <c r="X68" s="408"/>
      <c r="Y68" s="408"/>
      <c r="Z68" s="408"/>
      <c r="AA68" s="408"/>
      <c r="AB68" s="408"/>
      <c r="AC68" s="408"/>
      <c r="AD68" s="408"/>
      <c r="AE68" s="408"/>
    </row>
    <row r="69" spans="1:31" ht="26.25" customHeight="1">
      <c r="A69" s="907" t="s">
        <v>594</v>
      </c>
      <c r="B69" s="457">
        <v>181</v>
      </c>
      <c r="C69" s="427">
        <f t="shared" si="37"/>
        <v>298516243</v>
      </c>
      <c r="D69" s="458">
        <v>331817042.37</v>
      </c>
      <c r="E69" s="429">
        <v>33300799.370000005</v>
      </c>
      <c r="F69" s="429">
        <f t="shared" si="38"/>
        <v>297532665.54999995</v>
      </c>
      <c r="G69" s="449">
        <f t="shared" si="39"/>
        <v>983577.45000004768</v>
      </c>
      <c r="H69" s="449">
        <f t="shared" si="40"/>
        <v>0</v>
      </c>
      <c r="I69" s="453">
        <f t="shared" si="41"/>
        <v>983577.45000004768</v>
      </c>
      <c r="J69" s="407"/>
      <c r="K69" s="454"/>
      <c r="L69" s="454"/>
      <c r="M69" s="455"/>
      <c r="N69" s="444"/>
      <c r="O69" s="439"/>
      <c r="P69" s="408"/>
      <c r="Q69" s="408"/>
      <c r="R69" s="408"/>
      <c r="S69" s="408"/>
      <c r="T69" s="408"/>
      <c r="U69" s="408"/>
      <c r="V69" s="408"/>
      <c r="W69" s="408"/>
      <c r="X69" s="408"/>
      <c r="Y69" s="408"/>
      <c r="Z69" s="408"/>
      <c r="AA69" s="408"/>
      <c r="AB69" s="408"/>
      <c r="AC69" s="408"/>
      <c r="AD69" s="408"/>
      <c r="AE69" s="408"/>
    </row>
    <row r="70" spans="1:31" ht="26.25" customHeight="1">
      <c r="A70" s="906" t="s">
        <v>595</v>
      </c>
      <c r="B70" s="457">
        <v>178</v>
      </c>
      <c r="C70" s="427">
        <f t="shared" si="37"/>
        <v>600000000</v>
      </c>
      <c r="D70" s="458">
        <f>576417912.529731+81062465.5654373</f>
        <v>657480378.09516835</v>
      </c>
      <c r="E70" s="429">
        <v>59062562.053382039</v>
      </c>
      <c r="F70" s="429">
        <f t="shared" si="38"/>
        <v>493371026.0961712</v>
      </c>
      <c r="G70" s="449">
        <f t="shared" si="39"/>
        <v>105046789.94561511</v>
      </c>
      <c r="H70" s="449">
        <f t="shared" si="40"/>
        <v>1582183.9582136869</v>
      </c>
      <c r="I70" s="453">
        <f t="shared" si="41"/>
        <v>106628973.9038288</v>
      </c>
      <c r="K70" s="454"/>
      <c r="L70" s="454"/>
      <c r="M70" s="455"/>
      <c r="N70" s="444"/>
      <c r="O70" s="439"/>
      <c r="P70" s="408"/>
      <c r="Q70" s="408"/>
      <c r="R70" s="408"/>
      <c r="S70" s="408"/>
      <c r="T70" s="408"/>
      <c r="U70" s="408"/>
      <c r="V70" s="408"/>
      <c r="W70" s="408"/>
      <c r="X70" s="408"/>
      <c r="Y70" s="408"/>
      <c r="Z70" s="408"/>
      <c r="AA70" s="408"/>
      <c r="AB70" s="408"/>
      <c r="AC70" s="408"/>
      <c r="AD70" s="408"/>
      <c r="AE70" s="408"/>
    </row>
    <row r="71" spans="1:31" ht="26.25" customHeight="1">
      <c r="A71" s="907" t="s">
        <v>596</v>
      </c>
      <c r="B71" s="452">
        <v>169</v>
      </c>
      <c r="C71" s="427">
        <f t="shared" si="37"/>
        <v>300000000</v>
      </c>
      <c r="D71" s="449">
        <v>300000000</v>
      </c>
      <c r="E71" s="429"/>
      <c r="F71" s="429">
        <f t="shared" si="38"/>
        <v>276674506.56333333</v>
      </c>
      <c r="G71" s="449">
        <f t="shared" si="39"/>
        <v>23325493.436666667</v>
      </c>
      <c r="H71" s="449">
        <f t="shared" si="40"/>
        <v>0</v>
      </c>
      <c r="I71" s="453">
        <f t="shared" si="41"/>
        <v>23325493.436666667</v>
      </c>
      <c r="K71" s="454"/>
      <c r="L71" s="454"/>
      <c r="M71" s="455"/>
      <c r="N71" s="444"/>
      <c r="O71" s="439"/>
      <c r="P71" s="408"/>
      <c r="Q71" s="408"/>
      <c r="R71" s="408"/>
      <c r="S71" s="408"/>
      <c r="T71" s="408"/>
      <c r="U71" s="408"/>
      <c r="V71" s="408"/>
      <c r="W71" s="408"/>
      <c r="X71" s="408"/>
      <c r="Y71" s="408"/>
      <c r="Z71" s="408"/>
      <c r="AA71" s="408"/>
      <c r="AB71" s="408"/>
      <c r="AC71" s="408"/>
      <c r="AD71" s="408"/>
      <c r="AE71" s="408"/>
    </row>
    <row r="72" spans="1:31" ht="26.25" customHeight="1">
      <c r="A72" s="907" t="s">
        <v>597</v>
      </c>
      <c r="B72" s="452">
        <v>172</v>
      </c>
      <c r="C72" s="427">
        <f t="shared" si="37"/>
        <v>300000000</v>
      </c>
      <c r="D72" s="449">
        <v>299479926.66666698</v>
      </c>
      <c r="E72" s="429">
        <v>0</v>
      </c>
      <c r="F72" s="429">
        <f t="shared" si="38"/>
        <v>297001637.05999994</v>
      </c>
      <c r="G72" s="449">
        <f t="shared" si="39"/>
        <v>2478289.6066670418</v>
      </c>
      <c r="H72" s="449">
        <f t="shared" si="40"/>
        <v>520073.33333301544</v>
      </c>
      <c r="I72" s="453">
        <f t="shared" si="41"/>
        <v>2998362.9400000572</v>
      </c>
      <c r="K72" s="454"/>
      <c r="L72" s="454"/>
      <c r="M72" s="455"/>
      <c r="N72" s="444"/>
      <c r="O72" s="439"/>
      <c r="P72" s="408"/>
      <c r="Q72" s="408"/>
      <c r="R72" s="408"/>
      <c r="S72" s="408"/>
      <c r="T72" s="408"/>
      <c r="U72" s="408"/>
      <c r="V72" s="408"/>
      <c r="W72" s="408"/>
      <c r="X72" s="408"/>
      <c r="Y72" s="408"/>
      <c r="Z72" s="408"/>
      <c r="AA72" s="408"/>
      <c r="AB72" s="408"/>
      <c r="AC72" s="408"/>
      <c r="AD72" s="408"/>
      <c r="AE72" s="408"/>
    </row>
    <row r="73" spans="1:31" ht="26.25" customHeight="1">
      <c r="A73" s="907" t="s">
        <v>598</v>
      </c>
      <c r="B73" s="452">
        <v>176</v>
      </c>
      <c r="C73" s="427">
        <f t="shared" si="37"/>
        <v>308000000</v>
      </c>
      <c r="D73" s="449">
        <f>307058312.333333+55917300</f>
        <v>362975612.33333302</v>
      </c>
      <c r="E73" s="429">
        <v>55890914.333333015</v>
      </c>
      <c r="F73" s="429">
        <f t="shared" si="38"/>
        <v>232251291</v>
      </c>
      <c r="G73" s="449">
        <f t="shared" si="39"/>
        <v>74833407</v>
      </c>
      <c r="H73" s="449">
        <f t="shared" si="40"/>
        <v>915302</v>
      </c>
      <c r="I73" s="453">
        <f t="shared" si="41"/>
        <v>75748709</v>
      </c>
      <c r="K73" s="454"/>
      <c r="L73" s="454"/>
      <c r="M73" s="455"/>
      <c r="N73" s="444"/>
      <c r="O73" s="439"/>
      <c r="P73" s="408"/>
      <c r="Q73" s="408"/>
      <c r="R73" s="408"/>
      <c r="S73" s="408"/>
      <c r="T73" s="408"/>
      <c r="U73" s="408"/>
      <c r="V73" s="408"/>
      <c r="W73" s="408"/>
      <c r="X73" s="408"/>
      <c r="Y73" s="408"/>
      <c r="Z73" s="408"/>
      <c r="AA73" s="408"/>
      <c r="AB73" s="408"/>
      <c r="AC73" s="408"/>
      <c r="AD73" s="408"/>
      <c r="AE73" s="408"/>
    </row>
    <row r="74" spans="1:31" ht="26.25" customHeight="1">
      <c r="A74" s="907" t="s">
        <v>599</v>
      </c>
      <c r="B74" s="452">
        <v>179</v>
      </c>
      <c r="C74" s="427">
        <f t="shared" si="37"/>
        <v>500000000</v>
      </c>
      <c r="D74" s="449">
        <v>496003856</v>
      </c>
      <c r="E74" s="429"/>
      <c r="F74" s="429">
        <f t="shared" si="38"/>
        <v>443871137.78965497</v>
      </c>
      <c r="G74" s="449">
        <f t="shared" si="39"/>
        <v>52132718.21034503</v>
      </c>
      <c r="H74" s="449">
        <f t="shared" si="40"/>
        <v>3996144</v>
      </c>
      <c r="I74" s="453">
        <f t="shared" si="41"/>
        <v>56128862.21034503</v>
      </c>
      <c r="K74" s="454"/>
      <c r="L74" s="454"/>
      <c r="M74" s="455"/>
      <c r="N74" s="444"/>
      <c r="O74" s="439"/>
      <c r="P74" s="408"/>
      <c r="Q74" s="408"/>
      <c r="R74" s="408"/>
      <c r="S74" s="408"/>
      <c r="T74" s="408"/>
      <c r="U74" s="408"/>
      <c r="V74" s="408"/>
      <c r="W74" s="408"/>
      <c r="X74" s="408"/>
      <c r="Y74" s="408"/>
      <c r="Z74" s="408"/>
      <c r="AA74" s="408"/>
      <c r="AB74" s="408"/>
      <c r="AC74" s="408"/>
      <c r="AD74" s="408"/>
      <c r="AE74" s="408"/>
    </row>
    <row r="75" spans="1:31" ht="26.25" customHeight="1">
      <c r="A75" s="906" t="s">
        <v>600</v>
      </c>
      <c r="B75" s="452">
        <v>182</v>
      </c>
      <c r="C75" s="427">
        <f t="shared" si="37"/>
        <v>750000000</v>
      </c>
      <c r="D75" s="449">
        <v>706449066</v>
      </c>
      <c r="E75" s="429">
        <v>28299407.5</v>
      </c>
      <c r="F75" s="429">
        <f t="shared" si="38"/>
        <v>581833760.63</v>
      </c>
      <c r="G75" s="449">
        <f t="shared" si="39"/>
        <v>96315897.870000005</v>
      </c>
      <c r="H75" s="449">
        <f t="shared" si="40"/>
        <v>71850341.5</v>
      </c>
      <c r="I75" s="453">
        <f t="shared" si="41"/>
        <v>168166239.37</v>
      </c>
      <c r="K75" s="454"/>
      <c r="L75" s="454"/>
      <c r="M75" s="455"/>
      <c r="N75" s="444"/>
      <c r="O75" s="439"/>
      <c r="P75" s="408"/>
      <c r="Q75" s="408"/>
      <c r="R75" s="408"/>
      <c r="S75" s="408"/>
      <c r="T75" s="408"/>
      <c r="U75" s="408"/>
      <c r="V75" s="408"/>
      <c r="W75" s="408"/>
      <c r="X75" s="408"/>
      <c r="Y75" s="408"/>
      <c r="Z75" s="408"/>
      <c r="AA75" s="408"/>
      <c r="AB75" s="408"/>
      <c r="AC75" s="408"/>
      <c r="AD75" s="408"/>
      <c r="AE75" s="408"/>
    </row>
    <row r="76" spans="1:31" ht="26.25" customHeight="1">
      <c r="A76" s="907" t="s">
        <v>460</v>
      </c>
      <c r="B76" s="452">
        <v>183</v>
      </c>
      <c r="C76" s="427">
        <f t="shared" si="37"/>
        <v>372286609</v>
      </c>
      <c r="D76" s="449">
        <v>460816609.5</v>
      </c>
      <c r="E76" s="429">
        <v>88530000.5</v>
      </c>
      <c r="F76" s="429">
        <f t="shared" si="38"/>
        <v>310082429</v>
      </c>
      <c r="G76" s="449">
        <f t="shared" si="39"/>
        <v>62204180</v>
      </c>
      <c r="H76" s="449">
        <f t="shared" si="40"/>
        <v>0</v>
      </c>
      <c r="I76" s="453">
        <f>G76+H76</f>
        <v>62204180</v>
      </c>
      <c r="K76" s="454"/>
      <c r="L76" s="454"/>
      <c r="M76" s="455"/>
      <c r="N76" s="444"/>
      <c r="O76" s="439"/>
      <c r="P76" s="408"/>
      <c r="Q76" s="408"/>
      <c r="R76" s="408"/>
      <c r="S76" s="408"/>
      <c r="T76" s="408"/>
      <c r="U76" s="408"/>
      <c r="V76" s="408"/>
      <c r="W76" s="408"/>
      <c r="X76" s="408"/>
      <c r="Y76" s="408"/>
      <c r="Z76" s="408"/>
      <c r="AA76" s="408"/>
      <c r="AB76" s="408"/>
      <c r="AC76" s="408"/>
      <c r="AD76" s="408"/>
      <c r="AE76" s="408"/>
    </row>
    <row r="77" spans="1:31" ht="26.25" customHeight="1">
      <c r="A77" s="906" t="s">
        <v>601</v>
      </c>
      <c r="B77" s="457">
        <v>184</v>
      </c>
      <c r="C77" s="427">
        <f t="shared" si="37"/>
        <v>750000000</v>
      </c>
      <c r="D77" s="458">
        <v>731987477</v>
      </c>
      <c r="E77" s="429">
        <v>0</v>
      </c>
      <c r="F77" s="429">
        <f t="shared" si="38"/>
        <v>678115452.77499986</v>
      </c>
      <c r="G77" s="449">
        <f t="shared" si="39"/>
        <v>53872024.225000143</v>
      </c>
      <c r="H77" s="449">
        <f t="shared" si="40"/>
        <v>18012523</v>
      </c>
      <c r="I77" s="453">
        <f t="shared" si="41"/>
        <v>71884547.225000143</v>
      </c>
      <c r="K77" s="454"/>
      <c r="L77" s="454"/>
      <c r="M77" s="455"/>
      <c r="N77" s="444"/>
      <c r="O77" s="439"/>
      <c r="P77" s="408"/>
      <c r="Q77" s="408"/>
      <c r="R77" s="408"/>
      <c r="S77" s="408"/>
      <c r="T77" s="408"/>
      <c r="U77" s="408"/>
      <c r="V77" s="408"/>
      <c r="W77" s="408"/>
      <c r="X77" s="408"/>
      <c r="Y77" s="408"/>
      <c r="Z77" s="408"/>
      <c r="AA77" s="408"/>
      <c r="AB77" s="408"/>
      <c r="AC77" s="408"/>
      <c r="AD77" s="408"/>
      <c r="AE77" s="408"/>
    </row>
    <row r="78" spans="1:31" ht="26.25" customHeight="1">
      <c r="A78" s="907" t="s">
        <v>456</v>
      </c>
      <c r="B78" s="457">
        <v>185</v>
      </c>
      <c r="C78" s="427">
        <f t="shared" si="37"/>
        <v>746132550</v>
      </c>
      <c r="D78" s="458">
        <v>745792389.5</v>
      </c>
      <c r="E78" s="429">
        <v>33161199</v>
      </c>
      <c r="F78" s="429">
        <f t="shared" si="38"/>
        <v>665233695.25000012</v>
      </c>
      <c r="G78" s="449">
        <f t="shared" si="39"/>
        <v>47397495.249999881</v>
      </c>
      <c r="H78" s="449">
        <f t="shared" si="40"/>
        <v>33501359.5</v>
      </c>
      <c r="I78" s="453">
        <f t="shared" ref="I78:I86" si="42">G78+H78</f>
        <v>80898854.749999881</v>
      </c>
      <c r="K78" s="454"/>
      <c r="L78" s="454"/>
      <c r="M78" s="455"/>
      <c r="N78" s="444"/>
      <c r="O78" s="439"/>
      <c r="P78" s="408"/>
      <c r="Q78" s="408"/>
      <c r="R78" s="408"/>
      <c r="S78" s="408"/>
      <c r="T78" s="408"/>
      <c r="U78" s="408"/>
      <c r="V78" s="408"/>
      <c r="W78" s="408"/>
      <c r="X78" s="408"/>
      <c r="Y78" s="408"/>
      <c r="Z78" s="408"/>
      <c r="AA78" s="408"/>
      <c r="AB78" s="408"/>
      <c r="AC78" s="408"/>
      <c r="AD78" s="408"/>
      <c r="AE78" s="408"/>
    </row>
    <row r="79" spans="1:31" ht="26.25" customHeight="1">
      <c r="A79" s="907" t="s">
        <v>602</v>
      </c>
      <c r="B79" s="457">
        <v>175</v>
      </c>
      <c r="C79" s="427">
        <f t="shared" si="37"/>
        <v>571000000</v>
      </c>
      <c r="D79" s="458">
        <v>545487305</v>
      </c>
      <c r="E79" s="429">
        <v>0</v>
      </c>
      <c r="F79" s="429">
        <f t="shared" si="38"/>
        <v>539193651.35600007</v>
      </c>
      <c r="G79" s="449">
        <f t="shared" si="39"/>
        <v>6293653.6439999342</v>
      </c>
      <c r="H79" s="449">
        <f t="shared" si="40"/>
        <v>25512695</v>
      </c>
      <c r="I79" s="453">
        <f t="shared" si="42"/>
        <v>31806348.643999934</v>
      </c>
      <c r="K79" s="454"/>
      <c r="L79" s="454"/>
      <c r="M79" s="455"/>
      <c r="N79" s="444"/>
      <c r="O79" s="439"/>
      <c r="P79" s="408"/>
      <c r="Q79" s="408"/>
      <c r="R79" s="408"/>
      <c r="S79" s="408"/>
      <c r="T79" s="408"/>
      <c r="U79" s="408"/>
      <c r="V79" s="408"/>
      <c r="W79" s="408"/>
      <c r="X79" s="408"/>
      <c r="Y79" s="408"/>
      <c r="Z79" s="408"/>
      <c r="AA79" s="408"/>
      <c r="AB79" s="408"/>
      <c r="AC79" s="408"/>
      <c r="AD79" s="408"/>
      <c r="AE79" s="408"/>
    </row>
    <row r="80" spans="1:31" ht="26.25" customHeight="1">
      <c r="A80" s="906" t="s">
        <v>603</v>
      </c>
      <c r="B80" s="457">
        <v>171</v>
      </c>
      <c r="C80" s="427">
        <f t="shared" si="37"/>
        <v>300000000</v>
      </c>
      <c r="D80" s="458">
        <v>285801989</v>
      </c>
      <c r="E80" s="429">
        <v>0</v>
      </c>
      <c r="F80" s="429">
        <f t="shared" si="38"/>
        <v>283656511.03333336</v>
      </c>
      <c r="G80" s="449">
        <f t="shared" si="39"/>
        <v>2145477.9666666389</v>
      </c>
      <c r="H80" s="449">
        <f t="shared" si="40"/>
        <v>14198011</v>
      </c>
      <c r="I80" s="453">
        <f t="shared" si="42"/>
        <v>16343488.966666639</v>
      </c>
      <c r="K80" s="454"/>
      <c r="L80" s="454"/>
      <c r="M80" s="455"/>
      <c r="N80" s="444"/>
      <c r="O80" s="439"/>
      <c r="P80" s="408"/>
      <c r="Q80" s="408"/>
      <c r="R80" s="408"/>
      <c r="S80" s="408"/>
      <c r="T80" s="408"/>
      <c r="U80" s="408"/>
      <c r="V80" s="408"/>
      <c r="W80" s="408"/>
      <c r="X80" s="408"/>
      <c r="Y80" s="408"/>
      <c r="Z80" s="408"/>
      <c r="AA80" s="408"/>
      <c r="AB80" s="408"/>
      <c r="AC80" s="408"/>
      <c r="AD80" s="408"/>
      <c r="AE80" s="408"/>
    </row>
    <row r="81" spans="1:31" ht="26.25" customHeight="1">
      <c r="A81" s="907" t="s">
        <v>604</v>
      </c>
      <c r="B81" s="457">
        <v>187</v>
      </c>
      <c r="C81" s="427">
        <f t="shared" si="37"/>
        <v>1000000000</v>
      </c>
      <c r="D81" s="458">
        <v>989442867</v>
      </c>
      <c r="E81" s="429">
        <v>0</v>
      </c>
      <c r="F81" s="429">
        <f t="shared" si="38"/>
        <v>977789753.82000005</v>
      </c>
      <c r="G81" s="449">
        <f t="shared" si="39"/>
        <v>11653113.179999948</v>
      </c>
      <c r="H81" s="449">
        <f t="shared" si="40"/>
        <v>10557133</v>
      </c>
      <c r="I81" s="453">
        <f t="shared" si="42"/>
        <v>22210246.179999948</v>
      </c>
      <c r="K81" s="454"/>
      <c r="L81" s="454"/>
      <c r="M81" s="455"/>
      <c r="N81" s="444"/>
      <c r="O81" s="439"/>
      <c r="P81" s="408"/>
      <c r="Q81" s="408"/>
      <c r="R81" s="408"/>
      <c r="S81" s="408"/>
      <c r="T81" s="408"/>
      <c r="U81" s="408"/>
      <c r="V81" s="408"/>
      <c r="W81" s="408"/>
      <c r="X81" s="408"/>
      <c r="Y81" s="408"/>
      <c r="Z81" s="408"/>
      <c r="AA81" s="408"/>
      <c r="AB81" s="408"/>
      <c r="AC81" s="408"/>
      <c r="AD81" s="408"/>
      <c r="AE81" s="408"/>
    </row>
    <row r="82" spans="1:31" ht="26.25" customHeight="1">
      <c r="A82" s="907" t="s">
        <v>605</v>
      </c>
      <c r="B82" s="457">
        <v>188</v>
      </c>
      <c r="C82" s="427">
        <f>+B22+B23+B24</f>
        <v>1485000000</v>
      </c>
      <c r="D82" s="458">
        <f>1274627051+163060513.5</f>
        <v>1437687564.5</v>
      </c>
      <c r="E82" s="429">
        <v>0</v>
      </c>
      <c r="F82" s="429">
        <f t="shared" si="38"/>
        <v>678530096.90500009</v>
      </c>
      <c r="G82" s="449">
        <f t="shared" si="39"/>
        <v>759157467.59499991</v>
      </c>
      <c r="H82" s="449">
        <f t="shared" si="40"/>
        <v>47312435.5</v>
      </c>
      <c r="I82" s="453">
        <f t="shared" si="42"/>
        <v>806469903.09499991</v>
      </c>
      <c r="K82" s="454"/>
      <c r="L82" s="454"/>
      <c r="M82" s="455"/>
      <c r="N82" s="444"/>
      <c r="O82" s="439"/>
      <c r="P82" s="408"/>
      <c r="Q82" s="408"/>
      <c r="R82" s="408"/>
      <c r="S82" s="408"/>
      <c r="T82" s="408"/>
      <c r="U82" s="408"/>
      <c r="V82" s="408"/>
      <c r="W82" s="408"/>
      <c r="X82" s="408"/>
      <c r="Y82" s="408"/>
      <c r="Z82" s="408"/>
      <c r="AA82" s="408"/>
      <c r="AB82" s="408"/>
      <c r="AC82" s="408"/>
      <c r="AD82" s="408"/>
      <c r="AE82" s="408"/>
    </row>
    <row r="83" spans="1:31" ht="26.25" customHeight="1">
      <c r="A83" s="907" t="s">
        <v>606</v>
      </c>
      <c r="B83" s="457">
        <v>189</v>
      </c>
      <c r="C83" s="427">
        <f>+B25</f>
        <v>273000000</v>
      </c>
      <c r="D83" s="458">
        <v>265602340.33333331</v>
      </c>
      <c r="E83" s="429">
        <v>26666591.333333313</v>
      </c>
      <c r="F83" s="429">
        <f>+N25</f>
        <v>237385595.85333329</v>
      </c>
      <c r="G83" s="449">
        <f t="shared" si="39"/>
        <v>1550153.1466667056</v>
      </c>
      <c r="H83" s="449">
        <f t="shared" si="40"/>
        <v>34064251</v>
      </c>
      <c r="I83" s="453">
        <f t="shared" si="42"/>
        <v>35614404.146666706</v>
      </c>
      <c r="K83" s="454"/>
      <c r="L83" s="454"/>
      <c r="M83" s="455"/>
      <c r="N83" s="444"/>
      <c r="O83" s="439"/>
      <c r="P83" s="408"/>
      <c r="Q83" s="408"/>
      <c r="R83" s="408"/>
      <c r="S83" s="408"/>
      <c r="T83" s="408"/>
      <c r="U83" s="408"/>
      <c r="V83" s="408"/>
      <c r="W83" s="408"/>
      <c r="X83" s="408"/>
      <c r="Y83" s="408"/>
      <c r="Z83" s="408"/>
      <c r="AA83" s="408"/>
      <c r="AB83" s="408"/>
      <c r="AC83" s="408"/>
      <c r="AD83" s="408"/>
      <c r="AE83" s="408"/>
    </row>
    <row r="84" spans="1:31" ht="26.25" customHeight="1">
      <c r="A84" s="906" t="s">
        <v>607</v>
      </c>
      <c r="B84" s="457">
        <v>190</v>
      </c>
      <c r="C84" s="427">
        <f>+B26</f>
        <v>650000000</v>
      </c>
      <c r="D84" s="458">
        <f>635946036+66946351.6129032</f>
        <v>702892387.61290324</v>
      </c>
      <c r="E84" s="429">
        <v>67034274.903226018</v>
      </c>
      <c r="F84" s="429">
        <f>+N26</f>
        <v>565544947.43290317</v>
      </c>
      <c r="G84" s="449">
        <f t="shared" si="39"/>
        <v>70313165.276774049</v>
      </c>
      <c r="H84" s="449">
        <f t="shared" si="40"/>
        <v>14141887.290322781</v>
      </c>
      <c r="I84" s="453">
        <f t="shared" si="42"/>
        <v>84455052.567096829</v>
      </c>
      <c r="K84" s="454"/>
      <c r="L84" s="454"/>
      <c r="M84" s="455"/>
      <c r="N84" s="444"/>
      <c r="O84" s="439"/>
      <c r="P84" s="408"/>
      <c r="Q84" s="408"/>
      <c r="R84" s="408"/>
      <c r="S84" s="408"/>
      <c r="T84" s="408"/>
      <c r="U84" s="408"/>
      <c r="V84" s="408"/>
      <c r="W84" s="408"/>
      <c r="X84" s="408"/>
      <c r="Y84" s="408"/>
      <c r="Z84" s="408"/>
      <c r="AA84" s="408"/>
      <c r="AB84" s="408"/>
      <c r="AC84" s="408"/>
      <c r="AD84" s="408"/>
      <c r="AE84" s="408"/>
    </row>
    <row r="85" spans="1:31" ht="26.25" customHeight="1">
      <c r="A85" s="456" t="s">
        <v>608</v>
      </c>
      <c r="B85" s="457">
        <v>191</v>
      </c>
      <c r="C85" s="427">
        <f>+B27</f>
        <v>600000000</v>
      </c>
      <c r="D85" s="458">
        <f>575736057.4+'[3]EJEMPLO BLOQUE 13'!$J$2</f>
        <v>607736057.39999998</v>
      </c>
      <c r="E85" s="429">
        <v>32000000</v>
      </c>
      <c r="F85" s="429">
        <f>+N27</f>
        <v>523391003.67200005</v>
      </c>
      <c r="G85" s="449">
        <f t="shared" si="39"/>
        <v>52345053.727999926</v>
      </c>
      <c r="H85" s="449">
        <f t="shared" si="40"/>
        <v>24263942.600000024</v>
      </c>
      <c r="I85" s="453">
        <f t="shared" si="42"/>
        <v>76608996.327999949</v>
      </c>
      <c r="K85" s="454"/>
      <c r="L85" s="454"/>
      <c r="M85" s="455"/>
      <c r="N85" s="444"/>
      <c r="O85" s="439"/>
      <c r="P85" s="408"/>
      <c r="Q85" s="408"/>
      <c r="R85" s="408"/>
      <c r="S85" s="408"/>
      <c r="T85" s="408"/>
      <c r="U85" s="408"/>
      <c r="V85" s="408"/>
      <c r="W85" s="408"/>
      <c r="X85" s="408"/>
      <c r="Y85" s="408"/>
      <c r="Z85" s="408"/>
      <c r="AA85" s="408"/>
      <c r="AB85" s="408"/>
      <c r="AC85" s="408"/>
      <c r="AD85" s="408"/>
      <c r="AE85" s="408"/>
    </row>
    <row r="86" spans="1:31" ht="26.25" customHeight="1">
      <c r="A86" s="456" t="s">
        <v>609</v>
      </c>
      <c r="B86" s="457">
        <v>192</v>
      </c>
      <c r="C86" s="427">
        <f>+B28</f>
        <v>300000000</v>
      </c>
      <c r="D86" s="458">
        <v>292717950</v>
      </c>
      <c r="E86" s="429">
        <v>0</v>
      </c>
      <c r="F86" s="429">
        <f>+N28</f>
        <v>265268667.04333332</v>
      </c>
      <c r="G86" s="449">
        <f t="shared" si="39"/>
        <v>27449282.956666678</v>
      </c>
      <c r="H86" s="449">
        <f t="shared" si="40"/>
        <v>7282050</v>
      </c>
      <c r="I86" s="453">
        <f t="shared" si="42"/>
        <v>34731332.956666678</v>
      </c>
      <c r="K86" s="454"/>
      <c r="L86" s="454"/>
      <c r="M86" s="455"/>
      <c r="N86" s="444"/>
      <c r="O86" s="439"/>
      <c r="P86" s="408"/>
      <c r="Q86" s="408"/>
      <c r="R86" s="408"/>
      <c r="S86" s="408"/>
      <c r="T86" s="408"/>
      <c r="U86" s="408"/>
      <c r="V86" s="408"/>
      <c r="W86" s="408"/>
      <c r="X86" s="408"/>
      <c r="Y86" s="408"/>
      <c r="Z86" s="408"/>
      <c r="AA86" s="408"/>
      <c r="AB86" s="408"/>
      <c r="AC86" s="408"/>
      <c r="AD86" s="408"/>
      <c r="AE86" s="408"/>
    </row>
    <row r="87" spans="1:31" s="406" customFormat="1" ht="15.75" thickBot="1">
      <c r="A87" s="459"/>
      <c r="B87" s="460"/>
      <c r="C87" s="461">
        <f t="shared" ref="C87:I87" si="43">SUM(C65:C86)</f>
        <v>12503935402</v>
      </c>
      <c r="D87" s="461">
        <f t="shared" si="43"/>
        <v>12570356294.496264</v>
      </c>
      <c r="E87" s="461">
        <f t="shared" si="43"/>
        <v>506225578.18184143</v>
      </c>
      <c r="F87" s="461">
        <f t="shared" si="43"/>
        <v>10289444762.454668</v>
      </c>
      <c r="G87" s="461">
        <f t="shared" si="43"/>
        <v>1774685953.8597536</v>
      </c>
      <c r="H87" s="461">
        <f t="shared" si="43"/>
        <v>439804685.68557853</v>
      </c>
      <c r="I87" s="461">
        <f t="shared" si="43"/>
        <v>2214490639.545332</v>
      </c>
      <c r="K87" s="437"/>
      <c r="L87" s="437"/>
      <c r="O87" s="407"/>
      <c r="P87" s="408"/>
      <c r="Q87" s="408"/>
      <c r="R87" s="408"/>
      <c r="S87" s="408"/>
      <c r="T87" s="408"/>
      <c r="U87" s="408"/>
      <c r="V87" s="408"/>
      <c r="W87" s="408"/>
      <c r="X87" s="408"/>
      <c r="Y87" s="408"/>
      <c r="Z87" s="408"/>
      <c r="AA87" s="408"/>
      <c r="AB87" s="408"/>
      <c r="AC87" s="408"/>
      <c r="AD87" s="408"/>
      <c r="AE87" s="408"/>
    </row>
    <row r="88" spans="1:31" s="406" customFormat="1" ht="15">
      <c r="A88" s="401"/>
      <c r="C88" s="934"/>
      <c r="D88" s="935">
        <v>543736057.60000002</v>
      </c>
      <c r="N88" s="407"/>
      <c r="O88" s="408"/>
      <c r="P88" s="408"/>
      <c r="Q88" s="408"/>
      <c r="R88" s="408"/>
      <c r="S88" s="408"/>
      <c r="T88" s="408"/>
      <c r="U88" s="408"/>
      <c r="V88" s="408"/>
      <c r="W88" s="408"/>
      <c r="X88" s="408"/>
      <c r="Y88" s="408"/>
      <c r="Z88" s="408"/>
      <c r="AA88" s="408"/>
      <c r="AB88" s="408"/>
      <c r="AC88" s="408"/>
      <c r="AD88" s="408"/>
    </row>
    <row r="89" spans="1:31" s="406" customFormat="1" ht="15">
      <c r="A89" s="401" t="s">
        <v>342</v>
      </c>
      <c r="C89" s="934" t="s">
        <v>659</v>
      </c>
      <c r="D89" s="934">
        <f>+D85-D88</f>
        <v>63999999.799999952</v>
      </c>
      <c r="F89" s="403"/>
      <c r="G89" s="404"/>
      <c r="H89" s="407"/>
      <c r="N89" s="407"/>
      <c r="O89" s="408"/>
      <c r="P89" s="408"/>
      <c r="Q89" s="408"/>
      <c r="R89" s="408"/>
      <c r="S89" s="408"/>
      <c r="T89" s="408"/>
      <c r="U89" s="408"/>
      <c r="V89" s="408"/>
      <c r="W89" s="408"/>
      <c r="X89" s="408"/>
      <c r="Y89" s="408"/>
      <c r="Z89" s="408"/>
      <c r="AA89" s="408"/>
      <c r="AB89" s="408"/>
      <c r="AC89" s="408"/>
      <c r="AD89" s="408"/>
    </row>
    <row r="90" spans="1:31" s="406" customFormat="1" ht="15.75" thickBot="1">
      <c r="A90" s="462"/>
      <c r="B90" s="437"/>
      <c r="C90" s="463"/>
      <c r="E90" s="464"/>
      <c r="F90" s="403"/>
      <c r="G90" s="403"/>
      <c r="H90" s="407"/>
      <c r="N90" s="407"/>
      <c r="O90" s="408"/>
      <c r="P90" s="408"/>
      <c r="Q90" s="408"/>
      <c r="R90" s="408"/>
      <c r="S90" s="408"/>
      <c r="T90" s="408"/>
      <c r="U90" s="408"/>
      <c r="V90" s="408"/>
      <c r="W90" s="408"/>
      <c r="X90" s="408"/>
      <c r="Y90" s="408"/>
      <c r="Z90" s="408"/>
      <c r="AA90" s="408"/>
      <c r="AB90" s="408"/>
      <c r="AC90" s="408"/>
      <c r="AD90" s="408"/>
    </row>
    <row r="91" spans="1:31" s="104" customFormat="1" ht="30">
      <c r="A91" s="669" t="s">
        <v>31</v>
      </c>
      <c r="B91" s="446" t="s">
        <v>33</v>
      </c>
      <c r="C91" s="446" t="s">
        <v>247</v>
      </c>
      <c r="D91" s="446" t="s">
        <v>248</v>
      </c>
      <c r="E91" s="537" t="s">
        <v>249</v>
      </c>
      <c r="F91" s="446" t="s">
        <v>250</v>
      </c>
      <c r="G91" s="446" t="s">
        <v>251</v>
      </c>
      <c r="H91" s="446" t="s">
        <v>36</v>
      </c>
      <c r="I91" s="446" t="s">
        <v>252</v>
      </c>
      <c r="J91" s="538" t="s">
        <v>253</v>
      </c>
      <c r="K91" s="451" t="s">
        <v>20</v>
      </c>
    </row>
    <row r="92" spans="1:31" s="104" customFormat="1">
      <c r="A92" s="465" t="s">
        <v>1028</v>
      </c>
      <c r="B92" s="466" t="s">
        <v>1119</v>
      </c>
      <c r="C92" s="466">
        <v>167</v>
      </c>
      <c r="D92" s="466"/>
      <c r="E92" s="497"/>
      <c r="F92" s="498"/>
      <c r="G92" s="466"/>
      <c r="H92" s="499"/>
      <c r="I92" s="466"/>
      <c r="J92" s="496"/>
      <c r="K92" s="467"/>
    </row>
    <row r="93" spans="1:31" s="404" customFormat="1" ht="22.5" customHeight="1" thickBot="1">
      <c r="A93" s="468"/>
      <c r="B93" s="469"/>
      <c r="C93" s="468"/>
      <c r="D93" s="470"/>
      <c r="E93" s="471"/>
      <c r="F93" s="472"/>
      <c r="G93" s="1243" t="s">
        <v>1032</v>
      </c>
      <c r="H93" s="1244"/>
      <c r="I93" s="1244"/>
      <c r="J93" s="473">
        <f>+SUM(J92:J92)</f>
        <v>0</v>
      </c>
      <c r="K93" s="473">
        <f>+SUM(K92:K92)</f>
        <v>0</v>
      </c>
      <c r="O93" s="405"/>
      <c r="P93" s="474"/>
      <c r="Q93" s="475"/>
      <c r="R93" s="475"/>
      <c r="S93" s="476"/>
      <c r="T93" s="475"/>
      <c r="U93" s="475"/>
      <c r="V93" s="475"/>
      <c r="W93" s="475"/>
      <c r="X93" s="475"/>
      <c r="Y93" s="475"/>
      <c r="Z93" s="475"/>
      <c r="AA93" s="475"/>
      <c r="AB93" s="475"/>
      <c r="AC93" s="475"/>
      <c r="AD93" s="475"/>
    </row>
    <row r="94" spans="1:31" s="104" customFormat="1" ht="15">
      <c r="A94" s="477" t="s">
        <v>343</v>
      </c>
      <c r="B94" s="478"/>
      <c r="C94" s="479"/>
      <c r="D94" s="480"/>
      <c r="E94" s="481"/>
      <c r="F94" s="482"/>
      <c r="G94" s="479"/>
      <c r="H94" s="478"/>
      <c r="I94" s="478"/>
      <c r="J94" s="483"/>
      <c r="K94" s="484"/>
    </row>
    <row r="95" spans="1:31" s="104" customFormat="1" ht="15.75" thickBot="1">
      <c r="A95" s="477"/>
      <c r="B95" s="478"/>
      <c r="C95" s="479"/>
      <c r="D95" s="480"/>
      <c r="E95" s="481"/>
      <c r="F95" s="482"/>
      <c r="G95" s="479"/>
      <c r="H95" s="478"/>
      <c r="I95" s="478"/>
      <c r="J95" s="483"/>
      <c r="K95" s="484"/>
    </row>
    <row r="96" spans="1:31" s="104" customFormat="1" ht="30">
      <c r="A96" s="669" t="s">
        <v>31</v>
      </c>
      <c r="B96" s="446" t="s">
        <v>33</v>
      </c>
      <c r="C96" s="446" t="s">
        <v>247</v>
      </c>
      <c r="D96" s="446" t="s">
        <v>248</v>
      </c>
      <c r="E96" s="537" t="s">
        <v>249</v>
      </c>
      <c r="F96" s="446" t="s">
        <v>250</v>
      </c>
      <c r="G96" s="446" t="s">
        <v>251</v>
      </c>
      <c r="H96" s="446" t="s">
        <v>36</v>
      </c>
      <c r="I96" s="446" t="s">
        <v>252</v>
      </c>
      <c r="J96" s="538" t="s">
        <v>253</v>
      </c>
      <c r="K96" s="451" t="s">
        <v>20</v>
      </c>
    </row>
    <row r="97" spans="1:30" s="104" customFormat="1" ht="35.25" customHeight="1">
      <c r="A97" s="465" t="s">
        <v>1028</v>
      </c>
      <c r="B97" s="691" t="s">
        <v>1120</v>
      </c>
      <c r="C97" s="466">
        <v>168</v>
      </c>
      <c r="D97" s="466"/>
      <c r="E97" s="497"/>
      <c r="F97" s="498"/>
      <c r="G97" s="466"/>
      <c r="H97" s="499"/>
      <c r="I97" s="466"/>
      <c r="J97" s="496"/>
      <c r="K97" s="467"/>
    </row>
    <row r="98" spans="1:30" s="404" customFormat="1" ht="22.5" customHeight="1" thickBot="1">
      <c r="A98" s="468"/>
      <c r="B98" s="469"/>
      <c r="C98" s="468"/>
      <c r="D98" s="470"/>
      <c r="E98" s="471"/>
      <c r="F98" s="472"/>
      <c r="G98" s="1243" t="s">
        <v>1032</v>
      </c>
      <c r="H98" s="1244"/>
      <c r="I98" s="1244"/>
      <c r="J98" s="473">
        <f>SUM(J97:J97)</f>
        <v>0</v>
      </c>
      <c r="K98" s="473">
        <f>SUM(K97:K97)</f>
        <v>0</v>
      </c>
      <c r="O98" s="405"/>
      <c r="P98" s="474"/>
      <c r="Q98" s="475"/>
      <c r="R98" s="475"/>
      <c r="S98" s="476"/>
      <c r="T98" s="475"/>
      <c r="U98" s="475"/>
      <c r="V98" s="475"/>
      <c r="W98" s="475"/>
      <c r="X98" s="475"/>
      <c r="Y98" s="475"/>
      <c r="Z98" s="475"/>
      <c r="AA98" s="475"/>
      <c r="AB98" s="475"/>
      <c r="AC98" s="475"/>
      <c r="AD98" s="475"/>
    </row>
    <row r="99" spans="1:30" s="404" customFormat="1" ht="22.5" customHeight="1">
      <c r="A99" s="547" t="s">
        <v>344</v>
      </c>
      <c r="B99" s="469"/>
      <c r="C99" s="468"/>
      <c r="D99" s="470"/>
      <c r="E99" s="471"/>
      <c r="F99" s="472"/>
      <c r="G99" s="472"/>
      <c r="H99" s="472"/>
      <c r="I99" s="472"/>
      <c r="J99" s="472"/>
      <c r="K99" s="472"/>
      <c r="O99" s="405"/>
      <c r="P99" s="474"/>
      <c r="Q99" s="475"/>
      <c r="R99" s="475"/>
      <c r="S99" s="476"/>
      <c r="T99" s="475"/>
      <c r="U99" s="475"/>
      <c r="V99" s="475"/>
      <c r="W99" s="475"/>
      <c r="X99" s="475"/>
      <c r="Y99" s="475"/>
      <c r="Z99" s="475"/>
      <c r="AA99" s="475"/>
      <c r="AB99" s="475"/>
      <c r="AC99" s="475"/>
      <c r="AD99" s="475"/>
    </row>
    <row r="100" spans="1:30" s="104" customFormat="1" ht="15" thickBot="1">
      <c r="E100" s="485"/>
    </row>
    <row r="101" spans="1:30" s="104" customFormat="1" ht="30">
      <c r="A101" s="445" t="s">
        <v>31</v>
      </c>
      <c r="B101" s="446" t="s">
        <v>33</v>
      </c>
      <c r="C101" s="446" t="s">
        <v>247</v>
      </c>
      <c r="D101" s="446" t="s">
        <v>248</v>
      </c>
      <c r="E101" s="537" t="s">
        <v>249</v>
      </c>
      <c r="F101" s="446" t="s">
        <v>250</v>
      </c>
      <c r="G101" s="446" t="s">
        <v>251</v>
      </c>
      <c r="H101" s="446" t="s">
        <v>36</v>
      </c>
      <c r="I101" s="446" t="s">
        <v>252</v>
      </c>
      <c r="J101" s="538" t="s">
        <v>253</v>
      </c>
      <c r="K101" s="451" t="s">
        <v>20</v>
      </c>
    </row>
    <row r="102" spans="1:30" s="104" customFormat="1">
      <c r="A102" s="465" t="s">
        <v>1028</v>
      </c>
      <c r="B102" s="691" t="s">
        <v>1121</v>
      </c>
      <c r="C102" s="466">
        <v>174</v>
      </c>
      <c r="D102" s="466"/>
      <c r="E102" s="497"/>
      <c r="F102" s="500"/>
      <c r="G102" s="466"/>
      <c r="H102" s="499"/>
      <c r="I102" s="466"/>
      <c r="J102" s="496"/>
      <c r="K102" s="467"/>
    </row>
    <row r="103" spans="1:30" s="404" customFormat="1" ht="22.5" customHeight="1" thickBot="1">
      <c r="A103" s="490"/>
      <c r="B103" s="469"/>
      <c r="C103" s="468"/>
      <c r="D103" s="470"/>
      <c r="E103" s="471"/>
      <c r="F103" s="472"/>
      <c r="G103" s="1243" t="s">
        <v>1032</v>
      </c>
      <c r="H103" s="1244"/>
      <c r="I103" s="1244"/>
      <c r="J103" s="473">
        <f>SUM(J102:J102)</f>
        <v>0</v>
      </c>
      <c r="K103" s="473">
        <f>SUM(K102:K102)</f>
        <v>0</v>
      </c>
      <c r="O103" s="405"/>
      <c r="P103" s="474"/>
      <c r="Q103" s="475"/>
      <c r="R103" s="475"/>
      <c r="S103" s="476"/>
      <c r="T103" s="475"/>
      <c r="U103" s="475"/>
      <c r="V103" s="475"/>
      <c r="W103" s="475"/>
      <c r="X103" s="475"/>
      <c r="Y103" s="475"/>
      <c r="Z103" s="475"/>
      <c r="AA103" s="475"/>
      <c r="AB103" s="475"/>
      <c r="AC103" s="475"/>
      <c r="AD103" s="475"/>
    </row>
    <row r="104" spans="1:30" s="404" customFormat="1" ht="22.5" customHeight="1">
      <c r="A104" s="547" t="s">
        <v>348</v>
      </c>
      <c r="B104" s="469"/>
      <c r="C104" s="468"/>
      <c r="D104" s="470"/>
      <c r="E104" s="471"/>
      <c r="F104" s="472"/>
      <c r="G104" s="472"/>
      <c r="H104" s="472"/>
      <c r="I104" s="472"/>
      <c r="J104" s="472"/>
      <c r="K104" s="472"/>
      <c r="O104" s="405"/>
      <c r="P104" s="474"/>
      <c r="Q104" s="475"/>
      <c r="R104" s="475"/>
      <c r="S104" s="476"/>
      <c r="T104" s="475"/>
      <c r="U104" s="475"/>
      <c r="V104" s="475"/>
      <c r="W104" s="475"/>
      <c r="X104" s="475"/>
      <c r="Y104" s="475"/>
      <c r="Z104" s="475"/>
      <c r="AA104" s="475"/>
      <c r="AB104" s="475"/>
      <c r="AC104" s="475"/>
      <c r="AD104" s="475"/>
    </row>
    <row r="105" spans="1:30" s="104" customFormat="1" ht="15" thickBot="1">
      <c r="E105" s="485"/>
    </row>
    <row r="106" spans="1:30" s="104" customFormat="1" ht="30">
      <c r="A106" s="445" t="s">
        <v>31</v>
      </c>
      <c r="B106" s="446" t="s">
        <v>33</v>
      </c>
      <c r="C106" s="446" t="s">
        <v>247</v>
      </c>
      <c r="D106" s="446" t="s">
        <v>248</v>
      </c>
      <c r="E106" s="537" t="s">
        <v>249</v>
      </c>
      <c r="F106" s="446" t="s">
        <v>250</v>
      </c>
      <c r="G106" s="446" t="s">
        <v>251</v>
      </c>
      <c r="H106" s="446" t="s">
        <v>36</v>
      </c>
      <c r="I106" s="446" t="s">
        <v>252</v>
      </c>
      <c r="J106" s="538" t="s">
        <v>253</v>
      </c>
      <c r="K106" s="451" t="s">
        <v>20</v>
      </c>
    </row>
    <row r="107" spans="1:30" s="104" customFormat="1" ht="42.75">
      <c r="A107" s="465" t="s">
        <v>1028</v>
      </c>
      <c r="B107" s="1034" t="s">
        <v>814</v>
      </c>
      <c r="C107" s="466">
        <v>177</v>
      </c>
      <c r="D107" s="466" t="s">
        <v>815</v>
      </c>
      <c r="E107" s="497">
        <v>43280084</v>
      </c>
      <c r="F107" s="498" t="s">
        <v>816</v>
      </c>
      <c r="G107" s="466">
        <v>74671</v>
      </c>
      <c r="H107" s="499" t="s">
        <v>817</v>
      </c>
      <c r="I107" s="466" t="s">
        <v>254</v>
      </c>
      <c r="J107" s="496">
        <v>3718024</v>
      </c>
      <c r="K107" s="467">
        <f t="shared" ref="K107" si="44">+J107*0.004</f>
        <v>14872.096</v>
      </c>
    </row>
    <row r="108" spans="1:30" s="104" customFormat="1" ht="42.75">
      <c r="A108" s="465" t="s">
        <v>1028</v>
      </c>
      <c r="B108" s="1034" t="s">
        <v>814</v>
      </c>
      <c r="C108" s="466">
        <v>177</v>
      </c>
      <c r="D108" s="466" t="s">
        <v>1039</v>
      </c>
      <c r="E108" s="497">
        <v>71337057</v>
      </c>
      <c r="F108" s="498" t="s">
        <v>916</v>
      </c>
      <c r="G108" s="466">
        <v>64606</v>
      </c>
      <c r="H108" s="499" t="s">
        <v>817</v>
      </c>
      <c r="I108" s="466" t="s">
        <v>254</v>
      </c>
      <c r="J108" s="496">
        <v>5357331</v>
      </c>
      <c r="K108" s="467">
        <f>+J108*0.004</f>
        <v>21429.324000000001</v>
      </c>
    </row>
    <row r="109" spans="1:30" s="404" customFormat="1" ht="22.5" customHeight="1" thickBot="1">
      <c r="A109" s="468"/>
      <c r="B109" s="469"/>
      <c r="C109" s="468"/>
      <c r="D109" s="470"/>
      <c r="E109" s="471"/>
      <c r="F109" s="472"/>
      <c r="G109" s="1243" t="s">
        <v>1032</v>
      </c>
      <c r="H109" s="1244"/>
      <c r="I109" s="1244"/>
      <c r="J109" s="473">
        <f>+SUM(J107:J108)</f>
        <v>9075355</v>
      </c>
      <c r="K109" s="473">
        <f t="shared" ref="K109" si="45">+SUM(K107:K108)</f>
        <v>36301.42</v>
      </c>
      <c r="O109" s="405"/>
      <c r="P109" s="474"/>
      <c r="Q109" s="475"/>
      <c r="R109" s="475"/>
      <c r="S109" s="476"/>
      <c r="T109" s="475"/>
      <c r="U109" s="475"/>
      <c r="V109" s="475"/>
      <c r="W109" s="475"/>
      <c r="X109" s="475"/>
      <c r="Y109" s="475"/>
      <c r="Z109" s="475"/>
      <c r="AA109" s="475"/>
      <c r="AB109" s="475"/>
      <c r="AC109" s="475"/>
      <c r="AD109" s="475"/>
    </row>
    <row r="110" spans="1:30" s="406" customFormat="1">
      <c r="A110" s="486"/>
      <c r="E110" s="487"/>
      <c r="G110" s="405"/>
      <c r="I110" s="488"/>
      <c r="J110" s="488"/>
      <c r="K110" s="489"/>
      <c r="L110" s="488"/>
      <c r="M110" s="488"/>
      <c r="N110" s="407"/>
      <c r="O110" s="408"/>
      <c r="P110" s="408"/>
      <c r="Q110" s="408"/>
      <c r="R110" s="408"/>
      <c r="S110" s="408"/>
      <c r="T110" s="408"/>
      <c r="U110" s="408"/>
      <c r="V110" s="408"/>
      <c r="W110" s="408"/>
      <c r="X110" s="408"/>
      <c r="Y110" s="408"/>
      <c r="Z110" s="408"/>
      <c r="AA110" s="408"/>
      <c r="AB110" s="408"/>
      <c r="AC110" s="408"/>
      <c r="AD110" s="408"/>
    </row>
    <row r="111" spans="1:30" s="404" customFormat="1" ht="22.5" customHeight="1">
      <c r="A111" s="547" t="s">
        <v>367</v>
      </c>
      <c r="B111" s="469"/>
      <c r="C111" s="468"/>
      <c r="D111" s="470"/>
      <c r="E111" s="471"/>
      <c r="F111" s="472"/>
      <c r="G111" s="472"/>
      <c r="H111" s="472"/>
      <c r="I111" s="472"/>
      <c r="J111" s="472"/>
      <c r="K111" s="472"/>
      <c r="O111" s="405"/>
      <c r="P111" s="474"/>
      <c r="Q111" s="475"/>
      <c r="R111" s="475"/>
      <c r="S111" s="476"/>
      <c r="T111" s="475"/>
      <c r="U111" s="475"/>
      <c r="V111" s="475"/>
      <c r="W111" s="475"/>
      <c r="X111" s="475"/>
      <c r="Y111" s="475"/>
      <c r="Z111" s="475"/>
      <c r="AA111" s="475"/>
      <c r="AB111" s="475"/>
      <c r="AC111" s="475"/>
      <c r="AD111" s="475"/>
    </row>
    <row r="112" spans="1:30" s="104" customFormat="1" ht="15" thickBot="1">
      <c r="E112" s="485"/>
    </row>
    <row r="113" spans="1:30" s="104" customFormat="1" ht="30">
      <c r="A113" s="877" t="s">
        <v>31</v>
      </c>
      <c r="B113" s="878" t="s">
        <v>33</v>
      </c>
      <c r="C113" s="878" t="s">
        <v>247</v>
      </c>
      <c r="D113" s="878" t="s">
        <v>248</v>
      </c>
      <c r="E113" s="537" t="s">
        <v>249</v>
      </c>
      <c r="F113" s="878" t="s">
        <v>250</v>
      </c>
      <c r="G113" s="878" t="s">
        <v>251</v>
      </c>
      <c r="H113" s="878" t="s">
        <v>36</v>
      </c>
      <c r="I113" s="878" t="s">
        <v>252</v>
      </c>
      <c r="J113" s="538" t="s">
        <v>253</v>
      </c>
      <c r="K113" s="451" t="s">
        <v>20</v>
      </c>
    </row>
    <row r="114" spans="1:30" s="104" customFormat="1" ht="42.75">
      <c r="A114" s="465" t="s">
        <v>1028</v>
      </c>
      <c r="B114" s="498" t="s">
        <v>818</v>
      </c>
      <c r="C114" s="466">
        <v>178</v>
      </c>
      <c r="D114" s="466" t="s">
        <v>819</v>
      </c>
      <c r="E114" s="497">
        <v>1036402705</v>
      </c>
      <c r="F114" s="498" t="s">
        <v>820</v>
      </c>
      <c r="G114" s="466">
        <v>82306</v>
      </c>
      <c r="H114" s="499" t="s">
        <v>817</v>
      </c>
      <c r="I114" s="466" t="s">
        <v>254</v>
      </c>
      <c r="J114" s="496">
        <v>17811899.77</v>
      </c>
      <c r="K114" s="467">
        <f t="shared" ref="K114:K116" si="46">+J114*0.004</f>
        <v>71247.59908</v>
      </c>
    </row>
    <row r="115" spans="1:30" s="104" customFormat="1" ht="42.75">
      <c r="A115" s="465" t="s">
        <v>1028</v>
      </c>
      <c r="B115" s="498" t="s">
        <v>821</v>
      </c>
      <c r="C115" s="466">
        <v>178</v>
      </c>
      <c r="D115" s="466" t="s">
        <v>822</v>
      </c>
      <c r="E115" s="497">
        <v>1037586595</v>
      </c>
      <c r="F115" s="498" t="s">
        <v>823</v>
      </c>
      <c r="G115" s="466">
        <v>82308</v>
      </c>
      <c r="H115" s="499" t="s">
        <v>817</v>
      </c>
      <c r="I115" s="466" t="s">
        <v>254</v>
      </c>
      <c r="J115" s="496">
        <v>5130356</v>
      </c>
      <c r="K115" s="467">
        <f t="shared" si="46"/>
        <v>20521.423999999999</v>
      </c>
    </row>
    <row r="116" spans="1:30" s="104" customFormat="1" ht="42.75">
      <c r="A116" s="465" t="s">
        <v>1028</v>
      </c>
      <c r="B116" s="498" t="s">
        <v>821</v>
      </c>
      <c r="C116" s="466">
        <v>178</v>
      </c>
      <c r="D116" s="466" t="s">
        <v>824</v>
      </c>
      <c r="E116" s="497">
        <v>1036398766</v>
      </c>
      <c r="F116" s="498" t="s">
        <v>825</v>
      </c>
      <c r="G116" s="466">
        <v>83899</v>
      </c>
      <c r="H116" s="499" t="s">
        <v>817</v>
      </c>
      <c r="I116" s="466" t="s">
        <v>254</v>
      </c>
      <c r="J116" s="496">
        <v>3059161</v>
      </c>
      <c r="K116" s="467">
        <f t="shared" si="46"/>
        <v>12236.644</v>
      </c>
    </row>
    <row r="117" spans="1:30" s="404" customFormat="1" ht="22.5" customHeight="1" thickBot="1">
      <c r="A117" s="468"/>
      <c r="B117" s="469"/>
      <c r="C117" s="468"/>
      <c r="D117" s="470"/>
      <c r="E117" s="471"/>
      <c r="F117" s="472"/>
      <c r="G117" s="1243" t="s">
        <v>1032</v>
      </c>
      <c r="H117" s="1244"/>
      <c r="I117" s="1244"/>
      <c r="J117" s="473">
        <f>+SUM(J114:J116)</f>
        <v>26001416.77</v>
      </c>
      <c r="K117" s="473">
        <f>+SUM(K114:K116)</f>
        <v>104005.66708</v>
      </c>
      <c r="O117" s="405"/>
      <c r="P117" s="474"/>
      <c r="Q117" s="475"/>
      <c r="R117" s="475"/>
      <c r="S117" s="476"/>
      <c r="T117" s="475"/>
      <c r="U117" s="475"/>
      <c r="V117" s="475"/>
      <c r="W117" s="475"/>
      <c r="X117" s="475"/>
      <c r="Y117" s="475"/>
      <c r="Z117" s="475"/>
      <c r="AA117" s="475"/>
      <c r="AB117" s="475"/>
      <c r="AC117" s="475"/>
      <c r="AD117" s="475"/>
    </row>
    <row r="118" spans="1:30" s="404" customFormat="1" ht="22.5" customHeight="1">
      <c r="A118" s="547" t="s">
        <v>368</v>
      </c>
      <c r="B118" s="469"/>
      <c r="C118" s="468"/>
      <c r="D118" s="470"/>
      <c r="E118" s="471"/>
      <c r="F118" s="472"/>
      <c r="G118" s="472"/>
      <c r="H118" s="472"/>
      <c r="I118" s="472"/>
      <c r="J118" s="472"/>
      <c r="K118" s="472"/>
      <c r="O118" s="405"/>
      <c r="P118" s="474"/>
      <c r="Q118" s="475"/>
      <c r="R118" s="475"/>
      <c r="S118" s="476"/>
      <c r="T118" s="475"/>
      <c r="U118" s="475"/>
      <c r="V118" s="475"/>
      <c r="W118" s="475"/>
      <c r="X118" s="475"/>
      <c r="Y118" s="475"/>
      <c r="Z118" s="475"/>
      <c r="AA118" s="475"/>
      <c r="AB118" s="475"/>
      <c r="AC118" s="475"/>
      <c r="AD118" s="475"/>
    </row>
    <row r="119" spans="1:30" s="104" customFormat="1" ht="15" thickBot="1">
      <c r="E119" s="485"/>
    </row>
    <row r="120" spans="1:30" s="104" customFormat="1" ht="30">
      <c r="A120" s="541" t="s">
        <v>31</v>
      </c>
      <c r="B120" s="542" t="s">
        <v>33</v>
      </c>
      <c r="C120" s="542" t="s">
        <v>247</v>
      </c>
      <c r="D120" s="542" t="s">
        <v>248</v>
      </c>
      <c r="E120" s="537" t="s">
        <v>249</v>
      </c>
      <c r="F120" s="542" t="s">
        <v>250</v>
      </c>
      <c r="G120" s="542" t="s">
        <v>251</v>
      </c>
      <c r="H120" s="542" t="s">
        <v>36</v>
      </c>
      <c r="I120" s="542" t="s">
        <v>252</v>
      </c>
      <c r="J120" s="538" t="s">
        <v>253</v>
      </c>
      <c r="K120" s="451" t="s">
        <v>20</v>
      </c>
    </row>
    <row r="121" spans="1:30" s="104" customFormat="1" ht="28.5">
      <c r="A121" s="465" t="s">
        <v>1028</v>
      </c>
      <c r="B121" s="498" t="s">
        <v>1122</v>
      </c>
      <c r="C121" s="466">
        <v>181</v>
      </c>
      <c r="D121" s="466"/>
      <c r="E121" s="497"/>
      <c r="F121" s="498"/>
      <c r="G121" s="466"/>
      <c r="H121" s="499"/>
      <c r="I121" s="466"/>
      <c r="J121" s="496"/>
      <c r="K121" s="467"/>
    </row>
    <row r="122" spans="1:30" s="404" customFormat="1" ht="22.5" customHeight="1" thickBot="1">
      <c r="A122" s="468"/>
      <c r="B122" s="469"/>
      <c r="C122" s="468"/>
      <c r="D122" s="470"/>
      <c r="E122" s="471"/>
      <c r="F122" s="472"/>
      <c r="G122" s="1243" t="s">
        <v>1032</v>
      </c>
      <c r="H122" s="1244"/>
      <c r="I122" s="1244"/>
      <c r="J122" s="473">
        <f>SUM(J121:J121)</f>
        <v>0</v>
      </c>
      <c r="K122" s="473">
        <f>SUM(K121:K121)</f>
        <v>0</v>
      </c>
      <c r="O122" s="405"/>
      <c r="P122" s="474"/>
      <c r="Q122" s="475"/>
      <c r="R122" s="475"/>
      <c r="S122" s="476"/>
      <c r="T122" s="475"/>
      <c r="U122" s="475"/>
      <c r="V122" s="475"/>
      <c r="W122" s="475"/>
      <c r="X122" s="475"/>
      <c r="Y122" s="475"/>
      <c r="Z122" s="475"/>
      <c r="AA122" s="475"/>
      <c r="AB122" s="475"/>
      <c r="AC122" s="475"/>
      <c r="AD122" s="475"/>
    </row>
    <row r="123" spans="1:30" s="406" customFormat="1">
      <c r="A123" s="486"/>
      <c r="E123" s="487"/>
      <c r="G123" s="405"/>
      <c r="I123" s="488"/>
      <c r="J123" s="488"/>
      <c r="K123" s="489"/>
      <c r="L123" s="488"/>
      <c r="M123" s="488"/>
      <c r="N123" s="407"/>
      <c r="O123" s="408"/>
      <c r="P123" s="408"/>
      <c r="Q123" s="408"/>
      <c r="R123" s="408"/>
      <c r="S123" s="408"/>
      <c r="T123" s="408"/>
      <c r="U123" s="408"/>
      <c r="V123" s="408"/>
      <c r="W123" s="408"/>
      <c r="X123" s="408"/>
      <c r="Y123" s="408"/>
      <c r="Z123" s="408"/>
      <c r="AA123" s="408"/>
      <c r="AB123" s="408"/>
      <c r="AC123" s="408"/>
      <c r="AD123" s="408"/>
    </row>
    <row r="124" spans="1:30" s="404" customFormat="1" ht="22.5" customHeight="1">
      <c r="A124" s="547" t="s">
        <v>431</v>
      </c>
      <c r="B124" s="469"/>
      <c r="C124" s="468"/>
      <c r="D124" s="470"/>
      <c r="E124" s="471"/>
      <c r="F124" s="472"/>
      <c r="G124" s="472"/>
      <c r="H124" s="472"/>
      <c r="I124" s="472"/>
      <c r="J124" s="472"/>
      <c r="K124" s="472"/>
      <c r="O124" s="405"/>
      <c r="P124" s="474"/>
      <c r="Q124" s="475"/>
      <c r="R124" s="475"/>
      <c r="S124" s="476"/>
      <c r="T124" s="475"/>
      <c r="U124" s="475"/>
      <c r="V124" s="475"/>
      <c r="W124" s="475"/>
      <c r="X124" s="475"/>
      <c r="Y124" s="475"/>
      <c r="Z124" s="475"/>
      <c r="AA124" s="475"/>
      <c r="AB124" s="475"/>
      <c r="AC124" s="475"/>
      <c r="AD124" s="475"/>
    </row>
    <row r="125" spans="1:30" s="104" customFormat="1" ht="15" thickBot="1">
      <c r="E125" s="485"/>
    </row>
    <row r="126" spans="1:30" s="104" customFormat="1" ht="30">
      <c r="A126" s="649" t="s">
        <v>31</v>
      </c>
      <c r="B126" s="650" t="s">
        <v>33</v>
      </c>
      <c r="C126" s="650" t="s">
        <v>247</v>
      </c>
      <c r="D126" s="650" t="s">
        <v>248</v>
      </c>
      <c r="E126" s="537" t="s">
        <v>249</v>
      </c>
      <c r="F126" s="650" t="s">
        <v>250</v>
      </c>
      <c r="G126" s="650" t="s">
        <v>251</v>
      </c>
      <c r="H126" s="650" t="s">
        <v>36</v>
      </c>
      <c r="I126" s="650" t="s">
        <v>252</v>
      </c>
      <c r="J126" s="538" t="s">
        <v>253</v>
      </c>
      <c r="K126" s="451" t="s">
        <v>20</v>
      </c>
    </row>
    <row r="127" spans="1:30" s="104" customFormat="1" ht="35.25" customHeight="1">
      <c r="A127" s="1353" t="s">
        <v>1028</v>
      </c>
      <c r="B127" s="1354" t="s">
        <v>1048</v>
      </c>
      <c r="C127" s="1355">
        <v>185</v>
      </c>
      <c r="D127" s="1355" t="s">
        <v>1050</v>
      </c>
      <c r="E127" s="1356">
        <v>43571148</v>
      </c>
      <c r="F127" s="1354" t="s">
        <v>1049</v>
      </c>
      <c r="G127" s="1355">
        <v>74404</v>
      </c>
      <c r="H127" s="1357" t="s">
        <v>817</v>
      </c>
      <c r="I127" s="1355" t="s">
        <v>254</v>
      </c>
      <c r="J127" s="1358">
        <v>-16799991.600000001</v>
      </c>
      <c r="K127" s="467">
        <f t="shared" ref="K127" si="47">+J127*0.004</f>
        <v>-67199.966400000005</v>
      </c>
    </row>
    <row r="128" spans="1:30" s="404" customFormat="1" ht="22.5" customHeight="1" thickBot="1">
      <c r="A128" s="468"/>
      <c r="B128" s="469"/>
      <c r="C128" s="468"/>
      <c r="D128" s="470"/>
      <c r="E128" s="471"/>
      <c r="F128" s="472"/>
      <c r="G128" s="1254" t="s">
        <v>1032</v>
      </c>
      <c r="H128" s="1255"/>
      <c r="I128" s="1256"/>
      <c r="J128" s="473">
        <f>SUM(J127:J127)</f>
        <v>-16799991.600000001</v>
      </c>
      <c r="K128" s="473">
        <f>SUM(K127:K127)</f>
        <v>-67199.966400000005</v>
      </c>
      <c r="O128" s="405"/>
      <c r="P128" s="474"/>
      <c r="Q128" s="475"/>
      <c r="R128" s="475"/>
      <c r="S128" s="476"/>
      <c r="T128" s="475"/>
      <c r="U128" s="475"/>
      <c r="V128" s="475"/>
      <c r="W128" s="475"/>
      <c r="X128" s="475"/>
      <c r="Y128" s="475"/>
      <c r="Z128" s="475"/>
      <c r="AA128" s="475"/>
      <c r="AB128" s="475"/>
      <c r="AC128" s="475"/>
      <c r="AD128" s="475"/>
    </row>
    <row r="129" spans="1:30" s="406" customFormat="1">
      <c r="A129" s="486"/>
      <c r="E129" s="487"/>
      <c r="G129" s="405"/>
      <c r="I129" s="488"/>
      <c r="J129" s="488"/>
      <c r="K129" s="489"/>
      <c r="L129" s="488"/>
      <c r="M129" s="488"/>
      <c r="N129" s="407"/>
      <c r="O129" s="408"/>
      <c r="P129" s="408"/>
      <c r="Q129" s="408"/>
      <c r="R129" s="408"/>
      <c r="S129" s="408"/>
      <c r="T129" s="408"/>
      <c r="U129" s="408"/>
      <c r="V129" s="408"/>
      <c r="W129" s="408"/>
      <c r="X129" s="408"/>
      <c r="Y129" s="408"/>
      <c r="Z129" s="408"/>
      <c r="AA129" s="408"/>
      <c r="AB129" s="408"/>
      <c r="AC129" s="408"/>
      <c r="AD129" s="408"/>
    </row>
    <row r="130" spans="1:30" s="404" customFormat="1" ht="22.5" customHeight="1">
      <c r="A130" s="547" t="s">
        <v>432</v>
      </c>
      <c r="B130" s="469"/>
      <c r="C130" s="468"/>
      <c r="D130" s="470"/>
      <c r="E130" s="471"/>
      <c r="F130" s="472"/>
      <c r="G130" s="472"/>
      <c r="H130" s="472"/>
      <c r="I130" s="472"/>
      <c r="J130" s="472"/>
      <c r="K130" s="472"/>
      <c r="O130" s="405"/>
      <c r="P130" s="474"/>
      <c r="Q130" s="475"/>
      <c r="R130" s="475"/>
      <c r="S130" s="476"/>
      <c r="T130" s="475"/>
      <c r="U130" s="475"/>
      <c r="V130" s="475"/>
      <c r="W130" s="475"/>
      <c r="X130" s="475"/>
      <c r="Y130" s="475"/>
      <c r="Z130" s="475"/>
      <c r="AA130" s="475"/>
      <c r="AB130" s="475"/>
      <c r="AC130" s="475"/>
      <c r="AD130" s="475"/>
    </row>
    <row r="131" spans="1:30" s="104" customFormat="1" ht="15" thickBot="1">
      <c r="E131" s="485"/>
    </row>
    <row r="132" spans="1:30" s="104" customFormat="1" ht="30">
      <c r="A132" s="649" t="s">
        <v>31</v>
      </c>
      <c r="B132" s="650" t="s">
        <v>33</v>
      </c>
      <c r="C132" s="650" t="s">
        <v>247</v>
      </c>
      <c r="D132" s="650" t="s">
        <v>248</v>
      </c>
      <c r="E132" s="537" t="s">
        <v>249</v>
      </c>
      <c r="F132" s="650" t="s">
        <v>250</v>
      </c>
      <c r="G132" s="650" t="s">
        <v>251</v>
      </c>
      <c r="H132" s="650" t="s">
        <v>36</v>
      </c>
      <c r="I132" s="650" t="s">
        <v>252</v>
      </c>
      <c r="J132" s="538" t="s">
        <v>253</v>
      </c>
      <c r="K132" s="451" t="s">
        <v>20</v>
      </c>
    </row>
    <row r="133" spans="1:30" s="104" customFormat="1" ht="42.75">
      <c r="A133" s="465" t="s">
        <v>1028</v>
      </c>
      <c r="B133" s="498" t="s">
        <v>963</v>
      </c>
      <c r="C133" s="466">
        <v>182</v>
      </c>
      <c r="D133" s="466" t="s">
        <v>1040</v>
      </c>
      <c r="E133" s="497">
        <v>3982937</v>
      </c>
      <c r="F133" s="498" t="s">
        <v>964</v>
      </c>
      <c r="G133" s="466">
        <v>74371</v>
      </c>
      <c r="H133" s="499" t="s">
        <v>817</v>
      </c>
      <c r="I133" s="466" t="s">
        <v>968</v>
      </c>
      <c r="J133" s="496">
        <v>2081250</v>
      </c>
      <c r="K133" s="467">
        <f t="shared" ref="K133" si="48">+J133*0.004</f>
        <v>8325</v>
      </c>
    </row>
    <row r="134" spans="1:30" s="404" customFormat="1" ht="22.5" customHeight="1" thickBot="1">
      <c r="A134" s="468"/>
      <c r="B134" s="469"/>
      <c r="C134" s="468"/>
      <c r="D134" s="470"/>
      <c r="E134" s="471"/>
      <c r="F134" s="472"/>
      <c r="G134" s="1243" t="s">
        <v>1032</v>
      </c>
      <c r="H134" s="1244"/>
      <c r="I134" s="1244"/>
      <c r="J134" s="473">
        <f>+SUM(J133:J133)</f>
        <v>2081250</v>
      </c>
      <c r="K134" s="473">
        <f>+SUM(K133:K133)</f>
        <v>8325</v>
      </c>
      <c r="O134" s="405"/>
      <c r="P134" s="474"/>
      <c r="Q134" s="475"/>
      <c r="R134" s="475"/>
      <c r="S134" s="476"/>
      <c r="T134" s="475"/>
      <c r="U134" s="475"/>
      <c r="V134" s="475"/>
      <c r="W134" s="475"/>
      <c r="X134" s="475"/>
      <c r="Y134" s="475"/>
      <c r="Z134" s="475"/>
      <c r="AA134" s="475"/>
      <c r="AB134" s="475"/>
      <c r="AC134" s="475"/>
      <c r="AD134" s="475"/>
    </row>
    <row r="135" spans="1:30" s="406" customFormat="1">
      <c r="A135" s="486"/>
      <c r="E135" s="487"/>
      <c r="G135" s="405"/>
      <c r="H135" s="487"/>
      <c r="I135" s="488"/>
      <c r="J135" s="488"/>
      <c r="K135" s="489"/>
      <c r="L135" s="488"/>
      <c r="M135" s="488"/>
      <c r="N135" s="407"/>
      <c r="O135" s="408"/>
      <c r="P135" s="408"/>
      <c r="Q135" s="408"/>
      <c r="R135" s="408"/>
      <c r="S135" s="408"/>
      <c r="T135" s="408"/>
      <c r="U135" s="408"/>
      <c r="V135" s="408"/>
      <c r="W135" s="408"/>
      <c r="X135" s="408"/>
      <c r="Y135" s="408"/>
      <c r="Z135" s="408"/>
      <c r="AA135" s="408"/>
      <c r="AB135" s="408"/>
      <c r="AC135" s="408"/>
      <c r="AD135" s="408"/>
    </row>
    <row r="136" spans="1:30" s="404" customFormat="1" ht="22.5" customHeight="1">
      <c r="A136" s="547" t="s">
        <v>433</v>
      </c>
      <c r="B136" s="469"/>
      <c r="C136" s="468"/>
      <c r="D136" s="470"/>
      <c r="E136" s="471"/>
      <c r="F136" s="472"/>
      <c r="G136" s="472"/>
      <c r="H136" s="472"/>
      <c r="I136" s="472"/>
      <c r="J136" s="472"/>
      <c r="K136" s="472"/>
      <c r="O136" s="405"/>
      <c r="P136" s="474"/>
      <c r="Q136" s="475"/>
      <c r="R136" s="475"/>
      <c r="S136" s="476"/>
      <c r="T136" s="475"/>
      <c r="U136" s="475"/>
      <c r="V136" s="475"/>
      <c r="W136" s="475"/>
      <c r="X136" s="475"/>
      <c r="Y136" s="475"/>
      <c r="Z136" s="475"/>
      <c r="AA136" s="475"/>
      <c r="AB136" s="475"/>
      <c r="AC136" s="475"/>
      <c r="AD136" s="475"/>
    </row>
    <row r="137" spans="1:30" s="104" customFormat="1" ht="15" thickBot="1">
      <c r="E137" s="485"/>
    </row>
    <row r="138" spans="1:30" s="104" customFormat="1" ht="30">
      <c r="A138" s="649" t="s">
        <v>31</v>
      </c>
      <c r="B138" s="650" t="s">
        <v>33</v>
      </c>
      <c r="C138" s="650" t="s">
        <v>247</v>
      </c>
      <c r="D138" s="650" t="s">
        <v>248</v>
      </c>
      <c r="E138" s="537" t="s">
        <v>249</v>
      </c>
      <c r="F138" s="650" t="s">
        <v>250</v>
      </c>
      <c r="G138" s="650" t="s">
        <v>251</v>
      </c>
      <c r="H138" s="650" t="s">
        <v>36</v>
      </c>
      <c r="I138" s="650" t="s">
        <v>252</v>
      </c>
      <c r="J138" s="538" t="s">
        <v>253</v>
      </c>
      <c r="K138" s="451" t="s">
        <v>20</v>
      </c>
    </row>
    <row r="139" spans="1:30" s="104" customFormat="1" ht="28.5">
      <c r="A139" s="465" t="s">
        <v>1028</v>
      </c>
      <c r="B139" s="498" t="s">
        <v>1123</v>
      </c>
      <c r="C139" s="466">
        <v>172</v>
      </c>
      <c r="D139" s="466"/>
      <c r="E139" s="497"/>
      <c r="F139" s="498"/>
      <c r="G139" s="466"/>
      <c r="H139" s="499"/>
      <c r="I139" s="466"/>
      <c r="J139" s="496"/>
      <c r="K139" s="467"/>
    </row>
    <row r="140" spans="1:30" s="404" customFormat="1" ht="22.5" customHeight="1" thickBot="1">
      <c r="A140" s="468"/>
      <c r="B140" s="469"/>
      <c r="C140" s="468"/>
      <c r="D140" s="470"/>
      <c r="E140" s="471"/>
      <c r="F140" s="472"/>
      <c r="G140" s="1243" t="s">
        <v>1032</v>
      </c>
      <c r="H140" s="1244"/>
      <c r="I140" s="1244"/>
      <c r="J140" s="473">
        <f>SUM(J139:J139)</f>
        <v>0</v>
      </c>
      <c r="K140" s="473">
        <f>SUM(K139:K139)</f>
        <v>0</v>
      </c>
      <c r="O140" s="405"/>
      <c r="P140" s="474"/>
      <c r="Q140" s="475"/>
      <c r="R140" s="475"/>
      <c r="S140" s="476"/>
      <c r="T140" s="475"/>
      <c r="U140" s="475"/>
      <c r="V140" s="475"/>
      <c r="W140" s="475"/>
      <c r="X140" s="475"/>
      <c r="Y140" s="475"/>
      <c r="Z140" s="475"/>
      <c r="AA140" s="475"/>
      <c r="AB140" s="475"/>
      <c r="AC140" s="475"/>
      <c r="AD140" s="475"/>
    </row>
    <row r="141" spans="1:30" s="406" customFormat="1">
      <c r="A141" s="486"/>
      <c r="E141" s="487"/>
      <c r="G141" s="405"/>
      <c r="H141" s="487"/>
      <c r="I141" s="488"/>
      <c r="J141" s="488"/>
      <c r="K141" s="489"/>
      <c r="L141" s="488"/>
      <c r="M141" s="488"/>
      <c r="N141" s="407"/>
      <c r="O141" s="408"/>
      <c r="P141" s="408"/>
      <c r="Q141" s="408"/>
      <c r="R141" s="408"/>
      <c r="S141" s="408"/>
      <c r="T141" s="408"/>
      <c r="U141" s="408"/>
      <c r="V141" s="408"/>
      <c r="W141" s="408"/>
      <c r="X141" s="408"/>
      <c r="Y141" s="408"/>
      <c r="Z141" s="408"/>
      <c r="AA141" s="408"/>
      <c r="AB141" s="408"/>
      <c r="AC141" s="408"/>
      <c r="AD141" s="408"/>
    </row>
    <row r="142" spans="1:30" s="404" customFormat="1" ht="22.5" customHeight="1">
      <c r="A142" s="547" t="s">
        <v>434</v>
      </c>
      <c r="B142" s="469"/>
      <c r="C142" s="468"/>
      <c r="D142" s="470"/>
      <c r="E142" s="471"/>
      <c r="F142" s="472"/>
      <c r="G142" s="472"/>
      <c r="H142" s="472"/>
      <c r="I142" s="472"/>
      <c r="J142" s="472"/>
      <c r="K142" s="472"/>
      <c r="O142" s="405"/>
      <c r="P142" s="474"/>
      <c r="Q142" s="475"/>
      <c r="R142" s="475"/>
      <c r="S142" s="476"/>
      <c r="T142" s="475"/>
      <c r="U142" s="475"/>
      <c r="V142" s="475"/>
      <c r="W142" s="475"/>
      <c r="X142" s="475"/>
      <c r="Y142" s="475"/>
      <c r="Z142" s="475"/>
      <c r="AA142" s="475"/>
      <c r="AB142" s="475"/>
      <c r="AC142" s="475"/>
      <c r="AD142" s="475"/>
    </row>
    <row r="143" spans="1:30" s="104" customFormat="1" ht="15" thickBot="1">
      <c r="E143" s="485"/>
    </row>
    <row r="144" spans="1:30" s="104" customFormat="1" ht="30">
      <c r="A144" s="649" t="s">
        <v>31</v>
      </c>
      <c r="B144" s="650" t="s">
        <v>33</v>
      </c>
      <c r="C144" s="650" t="s">
        <v>247</v>
      </c>
      <c r="D144" s="650" t="s">
        <v>248</v>
      </c>
      <c r="E144" s="537" t="s">
        <v>249</v>
      </c>
      <c r="F144" s="650" t="s">
        <v>250</v>
      </c>
      <c r="G144" s="650" t="s">
        <v>251</v>
      </c>
      <c r="H144" s="650" t="s">
        <v>36</v>
      </c>
      <c r="I144" s="650" t="s">
        <v>252</v>
      </c>
      <c r="J144" s="538" t="s">
        <v>253</v>
      </c>
      <c r="K144" s="451" t="s">
        <v>20</v>
      </c>
    </row>
    <row r="145" spans="1:30" s="104" customFormat="1" ht="28.5">
      <c r="A145" s="465" t="s">
        <v>1028</v>
      </c>
      <c r="B145" s="498" t="s">
        <v>1124</v>
      </c>
      <c r="C145" s="466">
        <v>183</v>
      </c>
      <c r="D145" s="466"/>
      <c r="E145" s="497"/>
      <c r="F145" s="498"/>
      <c r="G145" s="466"/>
      <c r="H145" s="499"/>
      <c r="I145" s="466"/>
      <c r="J145" s="496"/>
      <c r="K145" s="467"/>
    </row>
    <row r="146" spans="1:30" s="404" customFormat="1" ht="22.5" customHeight="1" thickBot="1">
      <c r="A146" s="468"/>
      <c r="B146" s="469"/>
      <c r="C146" s="468"/>
      <c r="D146" s="470"/>
      <c r="E146" s="471"/>
      <c r="F146" s="472"/>
      <c r="G146" s="1243" t="s">
        <v>1032</v>
      </c>
      <c r="H146" s="1244"/>
      <c r="I146" s="1244"/>
      <c r="J146" s="473">
        <f>SUM(J145:J145)</f>
        <v>0</v>
      </c>
      <c r="K146" s="473">
        <f>SUM(K145:K145)</f>
        <v>0</v>
      </c>
      <c r="O146" s="405"/>
      <c r="P146" s="474"/>
      <c r="Q146" s="475"/>
      <c r="R146" s="475"/>
      <c r="S146" s="476"/>
      <c r="T146" s="475"/>
      <c r="U146" s="475"/>
      <c r="V146" s="475"/>
      <c r="W146" s="475"/>
      <c r="X146" s="475"/>
      <c r="Y146" s="475"/>
      <c r="Z146" s="475"/>
      <c r="AA146" s="475"/>
      <c r="AB146" s="475"/>
      <c r="AC146" s="475"/>
      <c r="AD146" s="475"/>
    </row>
    <row r="147" spans="1:30" s="406" customFormat="1" ht="15">
      <c r="A147" s="405"/>
      <c r="B147" s="405"/>
      <c r="C147" s="470"/>
      <c r="D147" s="490"/>
      <c r="E147" s="491"/>
      <c r="F147" s="403"/>
      <c r="G147" s="405"/>
      <c r="H147" s="487"/>
      <c r="I147" s="488"/>
      <c r="J147" s="488"/>
      <c r="K147" s="489"/>
      <c r="L147" s="488"/>
      <c r="M147" s="488"/>
      <c r="N147" s="407"/>
      <c r="O147" s="408"/>
      <c r="P147" s="408"/>
      <c r="Q147" s="408"/>
      <c r="R147" s="408"/>
      <c r="S147" s="408"/>
      <c r="T147" s="408"/>
      <c r="U147" s="408"/>
      <c r="V147" s="408"/>
      <c r="W147" s="408"/>
      <c r="X147" s="408"/>
      <c r="Y147" s="408"/>
      <c r="Z147" s="408"/>
      <c r="AA147" s="408"/>
      <c r="AB147" s="408"/>
      <c r="AC147" s="408"/>
      <c r="AD147" s="408"/>
    </row>
    <row r="148" spans="1:30" s="404" customFormat="1" ht="22.5" customHeight="1">
      <c r="A148" s="547" t="s">
        <v>435</v>
      </c>
      <c r="B148" s="469"/>
      <c r="C148" s="468"/>
      <c r="D148" s="470"/>
      <c r="E148" s="471"/>
      <c r="F148" s="472"/>
      <c r="G148" s="472"/>
      <c r="H148" s="472"/>
      <c r="I148" s="472"/>
      <c r="J148" s="472"/>
      <c r="K148" s="472"/>
      <c r="O148" s="405"/>
      <c r="P148" s="474"/>
      <c r="Q148" s="475"/>
      <c r="R148" s="475"/>
      <c r="S148" s="476"/>
      <c r="T148" s="475"/>
      <c r="U148" s="475"/>
      <c r="V148" s="475"/>
      <c r="W148" s="475"/>
      <c r="X148" s="475"/>
      <c r="Y148" s="475"/>
      <c r="Z148" s="475"/>
      <c r="AA148" s="475"/>
      <c r="AB148" s="475"/>
      <c r="AC148" s="475"/>
      <c r="AD148" s="475"/>
    </row>
    <row r="149" spans="1:30" s="104" customFormat="1" ht="15" thickBot="1">
      <c r="E149" s="485"/>
    </row>
    <row r="150" spans="1:30" s="104" customFormat="1" ht="30">
      <c r="A150" s="668" t="s">
        <v>31</v>
      </c>
      <c r="B150" s="669" t="s">
        <v>33</v>
      </c>
      <c r="C150" s="669" t="s">
        <v>247</v>
      </c>
      <c r="D150" s="669" t="s">
        <v>248</v>
      </c>
      <c r="E150" s="537" t="s">
        <v>249</v>
      </c>
      <c r="F150" s="669" t="s">
        <v>250</v>
      </c>
      <c r="G150" s="669" t="s">
        <v>251</v>
      </c>
      <c r="H150" s="669" t="s">
        <v>36</v>
      </c>
      <c r="I150" s="669" t="s">
        <v>252</v>
      </c>
      <c r="J150" s="538" t="s">
        <v>253</v>
      </c>
      <c r="K150" s="451" t="s">
        <v>20</v>
      </c>
    </row>
    <row r="151" spans="1:30" s="104" customFormat="1" ht="35.25" customHeight="1">
      <c r="A151" s="465" t="s">
        <v>1028</v>
      </c>
      <c r="B151" s="498" t="s">
        <v>1125</v>
      </c>
      <c r="C151" s="466">
        <v>184</v>
      </c>
      <c r="D151" s="466"/>
      <c r="E151" s="497"/>
      <c r="F151" s="498"/>
      <c r="G151" s="466"/>
      <c r="H151" s="499"/>
      <c r="I151" s="466"/>
      <c r="J151" s="496"/>
      <c r="K151" s="467"/>
    </row>
    <row r="152" spans="1:30" s="404" customFormat="1" ht="22.5" customHeight="1" thickBot="1">
      <c r="A152" s="468"/>
      <c r="B152" s="469"/>
      <c r="C152" s="468"/>
      <c r="D152" s="470"/>
      <c r="E152" s="471"/>
      <c r="F152" s="472"/>
      <c r="G152" s="1243" t="s">
        <v>1032</v>
      </c>
      <c r="H152" s="1244"/>
      <c r="I152" s="1244"/>
      <c r="J152" s="473">
        <f>SUM(J151:J151)</f>
        <v>0</v>
      </c>
      <c r="K152" s="473">
        <f>SUM(K151:K151)</f>
        <v>0</v>
      </c>
      <c r="O152" s="405"/>
      <c r="P152" s="474"/>
      <c r="Q152" s="475"/>
      <c r="R152" s="475"/>
      <c r="S152" s="476"/>
      <c r="T152" s="475"/>
      <c r="U152" s="475"/>
      <c r="V152" s="475"/>
      <c r="W152" s="475"/>
      <c r="X152" s="475"/>
      <c r="Y152" s="475"/>
      <c r="Z152" s="475"/>
      <c r="AA152" s="475"/>
      <c r="AB152" s="475"/>
      <c r="AC152" s="475"/>
      <c r="AD152" s="475"/>
    </row>
    <row r="153" spans="1:30" s="404" customFormat="1" ht="22.5" customHeight="1">
      <c r="A153" s="468"/>
      <c r="B153" s="469"/>
      <c r="C153" s="468"/>
      <c r="D153" s="470"/>
      <c r="E153" s="471"/>
      <c r="F153" s="472"/>
      <c r="G153" s="1002"/>
      <c r="H153" s="1002"/>
      <c r="I153" s="1002"/>
      <c r="J153" s="1003"/>
      <c r="K153" s="1003"/>
      <c r="O153" s="405"/>
      <c r="P153" s="474"/>
      <c r="Q153" s="475"/>
      <c r="R153" s="475"/>
      <c r="S153" s="476"/>
      <c r="T153" s="475"/>
      <c r="U153" s="475"/>
      <c r="V153" s="475"/>
      <c r="W153" s="475"/>
      <c r="X153" s="475"/>
      <c r="Y153" s="475"/>
      <c r="Z153" s="475"/>
      <c r="AA153" s="475"/>
      <c r="AB153" s="475"/>
      <c r="AC153" s="475"/>
      <c r="AD153" s="475"/>
    </row>
    <row r="154" spans="1:30" s="404" customFormat="1" ht="22.5" customHeight="1">
      <c r="A154" s="547" t="s">
        <v>463</v>
      </c>
      <c r="B154" s="469"/>
      <c r="C154" s="468"/>
      <c r="D154" s="470"/>
      <c r="E154" s="471"/>
      <c r="F154" s="472"/>
      <c r="G154" s="1002"/>
      <c r="H154" s="1002"/>
      <c r="I154" s="1002"/>
      <c r="J154" s="1003"/>
      <c r="K154" s="1003"/>
      <c r="O154" s="405"/>
      <c r="P154" s="474"/>
      <c r="Q154" s="475"/>
      <c r="R154" s="475"/>
      <c r="S154" s="476"/>
      <c r="T154" s="475"/>
      <c r="U154" s="475"/>
      <c r="V154" s="475"/>
      <c r="W154" s="475"/>
      <c r="X154" s="475"/>
      <c r="Y154" s="475"/>
      <c r="Z154" s="475"/>
      <c r="AA154" s="475"/>
      <c r="AB154" s="475"/>
      <c r="AC154" s="475"/>
      <c r="AD154" s="475"/>
    </row>
    <row r="155" spans="1:30" s="104" customFormat="1" ht="15" thickBot="1">
      <c r="E155" s="485"/>
    </row>
    <row r="156" spans="1:30" s="104" customFormat="1" ht="30">
      <c r="A156" s="893" t="s">
        <v>31</v>
      </c>
      <c r="B156" s="894" t="s">
        <v>33</v>
      </c>
      <c r="C156" s="894" t="s">
        <v>247</v>
      </c>
      <c r="D156" s="894" t="s">
        <v>248</v>
      </c>
      <c r="E156" s="537" t="s">
        <v>249</v>
      </c>
      <c r="F156" s="894" t="s">
        <v>250</v>
      </c>
      <c r="G156" s="894" t="s">
        <v>251</v>
      </c>
      <c r="H156" s="894" t="s">
        <v>36</v>
      </c>
      <c r="I156" s="894" t="s">
        <v>252</v>
      </c>
      <c r="J156" s="538" t="s">
        <v>253</v>
      </c>
      <c r="K156" s="451" t="s">
        <v>20</v>
      </c>
    </row>
    <row r="157" spans="1:30" s="104" customFormat="1" ht="42.75">
      <c r="A157" s="465" t="s">
        <v>1028</v>
      </c>
      <c r="B157" s="498" t="s">
        <v>782</v>
      </c>
      <c r="C157" s="466">
        <v>176</v>
      </c>
      <c r="D157" s="466" t="s">
        <v>826</v>
      </c>
      <c r="E157" s="497">
        <v>14193747</v>
      </c>
      <c r="F157" s="498" t="s">
        <v>783</v>
      </c>
      <c r="G157" s="466">
        <v>82045</v>
      </c>
      <c r="H157" s="499" t="s">
        <v>817</v>
      </c>
      <c r="I157" s="466" t="s">
        <v>784</v>
      </c>
      <c r="J157" s="496">
        <v>26500000</v>
      </c>
      <c r="K157" s="467">
        <f>+J157*0.004</f>
        <v>106000</v>
      </c>
    </row>
    <row r="158" spans="1:30" s="404" customFormat="1" ht="22.5" customHeight="1" thickBot="1">
      <c r="A158" s="653"/>
      <c r="B158" s="469"/>
      <c r="C158" s="468"/>
      <c r="D158" s="470"/>
      <c r="E158" s="471"/>
      <c r="F158" s="472"/>
      <c r="G158" s="1243" t="s">
        <v>1032</v>
      </c>
      <c r="H158" s="1244"/>
      <c r="I158" s="1244"/>
      <c r="J158" s="473">
        <f>SUM(J157:J157)</f>
        <v>26500000</v>
      </c>
      <c r="K158" s="473">
        <f>SUM(K157:K157)</f>
        <v>106000</v>
      </c>
      <c r="O158" s="405"/>
      <c r="P158" s="474"/>
      <c r="Q158" s="475"/>
      <c r="R158" s="475"/>
      <c r="S158" s="476"/>
      <c r="T158" s="475"/>
      <c r="U158" s="475"/>
      <c r="V158" s="475"/>
      <c r="W158" s="475"/>
      <c r="X158" s="475"/>
      <c r="Y158" s="475"/>
      <c r="Z158" s="475"/>
      <c r="AA158" s="475"/>
      <c r="AB158" s="475"/>
      <c r="AC158" s="475"/>
      <c r="AD158" s="475"/>
    </row>
    <row r="159" spans="1:30" s="404" customFormat="1" ht="22.5" customHeight="1">
      <c r="A159" s="468"/>
      <c r="B159" s="469"/>
      <c r="C159" s="468"/>
      <c r="D159" s="470"/>
      <c r="E159" s="471"/>
      <c r="F159" s="472"/>
      <c r="G159" s="1002"/>
      <c r="H159" s="1002"/>
      <c r="I159" s="1002"/>
      <c r="J159" s="1003"/>
      <c r="K159" s="1003"/>
      <c r="O159" s="405"/>
      <c r="P159" s="474"/>
      <c r="Q159" s="475"/>
      <c r="R159" s="475"/>
      <c r="S159" s="476"/>
      <c r="T159" s="475"/>
      <c r="U159" s="475"/>
      <c r="V159" s="475"/>
      <c r="W159" s="475"/>
      <c r="X159" s="475"/>
      <c r="Y159" s="475"/>
      <c r="Z159" s="475"/>
      <c r="AA159" s="475"/>
      <c r="AB159" s="475"/>
      <c r="AC159" s="475"/>
      <c r="AD159" s="475"/>
    </row>
    <row r="160" spans="1:30" s="404" customFormat="1" ht="22.5" customHeight="1">
      <c r="A160" s="547" t="s">
        <v>478</v>
      </c>
      <c r="B160" s="469"/>
      <c r="C160" s="468"/>
      <c r="D160" s="470"/>
      <c r="E160" s="471"/>
      <c r="F160" s="472"/>
      <c r="G160" s="1002"/>
      <c r="H160" s="1002"/>
      <c r="I160" s="1002"/>
      <c r="J160" s="1003"/>
      <c r="K160" s="1003"/>
      <c r="O160" s="405"/>
      <c r="P160" s="474"/>
      <c r="Q160" s="475"/>
      <c r="R160" s="475"/>
      <c r="S160" s="476"/>
      <c r="T160" s="475"/>
      <c r="U160" s="475"/>
      <c r="V160" s="475"/>
      <c r="W160" s="475"/>
      <c r="X160" s="475"/>
      <c r="Y160" s="475"/>
      <c r="Z160" s="475"/>
      <c r="AA160" s="475"/>
      <c r="AB160" s="475"/>
      <c r="AC160" s="475"/>
      <c r="AD160" s="475"/>
    </row>
    <row r="161" spans="1:30" s="104" customFormat="1" ht="15" thickBot="1">
      <c r="E161" s="485"/>
    </row>
    <row r="162" spans="1:30" s="104" customFormat="1" ht="30">
      <c r="A162" s="709" t="s">
        <v>31</v>
      </c>
      <c r="B162" s="710" t="s">
        <v>33</v>
      </c>
      <c r="C162" s="710" t="s">
        <v>247</v>
      </c>
      <c r="D162" s="710" t="s">
        <v>248</v>
      </c>
      <c r="E162" s="537" t="s">
        <v>249</v>
      </c>
      <c r="F162" s="710" t="s">
        <v>250</v>
      </c>
      <c r="G162" s="710" t="s">
        <v>251</v>
      </c>
      <c r="H162" s="710" t="s">
        <v>36</v>
      </c>
      <c r="I162" s="710" t="s">
        <v>252</v>
      </c>
      <c r="J162" s="538" t="s">
        <v>253</v>
      </c>
      <c r="K162" s="451" t="s">
        <v>20</v>
      </c>
    </row>
    <row r="163" spans="1:30" s="104" customFormat="1" ht="42.75">
      <c r="A163" s="465" t="s">
        <v>1028</v>
      </c>
      <c r="B163" s="498" t="s">
        <v>973</v>
      </c>
      <c r="C163" s="466">
        <v>179</v>
      </c>
      <c r="D163" s="466" t="s">
        <v>1041</v>
      </c>
      <c r="E163" s="497">
        <v>1069469520</v>
      </c>
      <c r="F163" s="498" t="s">
        <v>974</v>
      </c>
      <c r="G163" s="466">
        <v>74058</v>
      </c>
      <c r="H163" s="499" t="s">
        <v>817</v>
      </c>
      <c r="I163" s="466" t="s">
        <v>978</v>
      </c>
      <c r="J163" s="496">
        <v>500000</v>
      </c>
      <c r="K163" s="467">
        <f>+J163*0.004</f>
        <v>2000</v>
      </c>
    </row>
    <row r="164" spans="1:30" s="404" customFormat="1" ht="22.5" customHeight="1" thickBot="1">
      <c r="A164" s="653"/>
      <c r="B164" s="469"/>
      <c r="C164" s="468"/>
      <c r="D164" s="470"/>
      <c r="E164" s="471"/>
      <c r="F164" s="472"/>
      <c r="G164" s="1243" t="s">
        <v>1032</v>
      </c>
      <c r="H164" s="1244"/>
      <c r="I164" s="1244"/>
      <c r="J164" s="473">
        <f>SUM(J163:J163)</f>
        <v>500000</v>
      </c>
      <c r="K164" s="473">
        <f>SUM(K163:K163)</f>
        <v>2000</v>
      </c>
      <c r="O164" s="405"/>
      <c r="P164" s="474"/>
      <c r="Q164" s="475"/>
      <c r="R164" s="475"/>
      <c r="S164" s="476"/>
      <c r="T164" s="475"/>
      <c r="U164" s="475"/>
      <c r="V164" s="475"/>
      <c r="W164" s="475"/>
      <c r="X164" s="475"/>
      <c r="Y164" s="475"/>
      <c r="Z164" s="475"/>
      <c r="AA164" s="475"/>
      <c r="AB164" s="475"/>
      <c r="AC164" s="475"/>
      <c r="AD164" s="475"/>
    </row>
    <row r="165" spans="1:30" s="404" customFormat="1" ht="22.5" customHeight="1">
      <c r="A165" s="468"/>
      <c r="B165" s="469"/>
      <c r="C165" s="468"/>
      <c r="D165" s="470"/>
      <c r="E165" s="471"/>
      <c r="F165" s="472"/>
      <c r="G165" s="1002"/>
      <c r="H165" s="1002"/>
      <c r="I165" s="1002"/>
      <c r="J165" s="1003"/>
      <c r="K165" s="1003"/>
      <c r="L165" s="1020"/>
      <c r="O165" s="405"/>
      <c r="P165" s="474"/>
      <c r="Q165" s="475"/>
      <c r="R165" s="475"/>
      <c r="S165" s="476"/>
      <c r="T165" s="475"/>
      <c r="U165" s="475"/>
      <c r="V165" s="475"/>
      <c r="W165" s="475"/>
      <c r="X165" s="475"/>
      <c r="Y165" s="475"/>
      <c r="Z165" s="475"/>
      <c r="AA165" s="475"/>
      <c r="AB165" s="475"/>
      <c r="AC165" s="475"/>
      <c r="AD165" s="475"/>
    </row>
    <row r="166" spans="1:30" s="404" customFormat="1" ht="22.5" customHeight="1">
      <c r="A166" s="547" t="s">
        <v>479</v>
      </c>
      <c r="B166" s="469"/>
      <c r="C166" s="468"/>
      <c r="D166" s="470"/>
      <c r="E166" s="471"/>
      <c r="F166" s="472"/>
      <c r="G166" s="1002"/>
      <c r="H166" s="1002"/>
      <c r="I166" s="1002"/>
      <c r="J166" s="1003"/>
      <c r="K166" s="1003"/>
      <c r="L166" s="1020"/>
      <c r="O166" s="405"/>
      <c r="P166" s="474"/>
      <c r="Q166" s="475"/>
      <c r="R166" s="475"/>
      <c r="S166" s="476"/>
      <c r="T166" s="475"/>
      <c r="U166" s="475"/>
      <c r="V166" s="475"/>
      <c r="W166" s="475"/>
      <c r="X166" s="475"/>
      <c r="Y166" s="475"/>
      <c r="Z166" s="475"/>
      <c r="AA166" s="475"/>
      <c r="AB166" s="475"/>
      <c r="AC166" s="475"/>
      <c r="AD166" s="475"/>
    </row>
    <row r="167" spans="1:30" s="104" customFormat="1" ht="15" thickBot="1">
      <c r="E167" s="485"/>
    </row>
    <row r="168" spans="1:30" s="104" customFormat="1" ht="30">
      <c r="A168" s="668" t="s">
        <v>31</v>
      </c>
      <c r="B168" s="669" t="s">
        <v>33</v>
      </c>
      <c r="C168" s="669" t="s">
        <v>247</v>
      </c>
      <c r="D168" s="669" t="s">
        <v>248</v>
      </c>
      <c r="E168" s="537" t="s">
        <v>249</v>
      </c>
      <c r="F168" s="669" t="s">
        <v>250</v>
      </c>
      <c r="G168" s="669" t="s">
        <v>251</v>
      </c>
      <c r="H168" s="669" t="s">
        <v>36</v>
      </c>
      <c r="I168" s="669" t="s">
        <v>252</v>
      </c>
      <c r="J168" s="538" t="s">
        <v>253</v>
      </c>
      <c r="K168" s="451" t="s">
        <v>20</v>
      </c>
    </row>
    <row r="169" spans="1:30" s="104" customFormat="1" ht="35.25" customHeight="1">
      <c r="A169" s="465" t="s">
        <v>1028</v>
      </c>
      <c r="B169" s="498" t="s">
        <v>827</v>
      </c>
      <c r="C169" s="466">
        <v>169</v>
      </c>
      <c r="D169" s="466" t="s">
        <v>828</v>
      </c>
      <c r="E169" s="497">
        <v>1118167149</v>
      </c>
      <c r="F169" s="498" t="s">
        <v>829</v>
      </c>
      <c r="G169" s="466">
        <v>75533</v>
      </c>
      <c r="H169" s="499" t="s">
        <v>817</v>
      </c>
      <c r="I169" s="466" t="s">
        <v>779</v>
      </c>
      <c r="J169" s="496">
        <v>6082238</v>
      </c>
      <c r="K169" s="467">
        <f>+J169*0.004</f>
        <v>24328.952000000001</v>
      </c>
    </row>
    <row r="170" spans="1:30" s="404" customFormat="1" ht="22.5" customHeight="1" thickBot="1">
      <c r="A170" s="468"/>
      <c r="B170" s="469"/>
      <c r="C170" s="468"/>
      <c r="D170" s="470"/>
      <c r="E170" s="471"/>
      <c r="F170" s="472"/>
      <c r="G170" s="1243" t="s">
        <v>1032</v>
      </c>
      <c r="H170" s="1244"/>
      <c r="I170" s="1244"/>
      <c r="J170" s="473">
        <f>SUM(J169:J169)</f>
        <v>6082238</v>
      </c>
      <c r="K170" s="473">
        <f>SUM(K169:K169)</f>
        <v>24328.952000000001</v>
      </c>
      <c r="O170" s="405"/>
      <c r="P170" s="474"/>
      <c r="Q170" s="475"/>
      <c r="R170" s="475"/>
      <c r="S170" s="476"/>
      <c r="T170" s="475"/>
      <c r="U170" s="475"/>
      <c r="V170" s="475"/>
      <c r="W170" s="475"/>
      <c r="X170" s="475"/>
      <c r="Y170" s="475"/>
      <c r="Z170" s="475"/>
      <c r="AA170" s="475"/>
      <c r="AB170" s="475"/>
      <c r="AC170" s="475"/>
      <c r="AD170" s="475"/>
    </row>
    <row r="171" spans="1:30" s="404" customFormat="1" ht="22.5" customHeight="1">
      <c r="A171" s="468"/>
      <c r="B171" s="469"/>
      <c r="C171" s="468"/>
      <c r="D171" s="470"/>
      <c r="E171" s="471"/>
      <c r="F171" s="472"/>
      <c r="G171" s="472"/>
      <c r="H171" s="472"/>
      <c r="I171" s="472"/>
      <c r="J171" s="472"/>
      <c r="K171" s="472"/>
      <c r="O171" s="405"/>
      <c r="P171" s="474"/>
      <c r="Q171" s="475"/>
      <c r="R171" s="475"/>
      <c r="S171" s="476"/>
      <c r="T171" s="475"/>
      <c r="U171" s="475"/>
      <c r="V171" s="475"/>
      <c r="W171" s="475"/>
      <c r="X171" s="475"/>
      <c r="Y171" s="475"/>
      <c r="Z171" s="475"/>
      <c r="AA171" s="475"/>
      <c r="AB171" s="475"/>
      <c r="AC171" s="475"/>
      <c r="AD171" s="475"/>
    </row>
    <row r="172" spans="1:30" s="404" customFormat="1" ht="22.5" customHeight="1">
      <c r="A172" s="547" t="s">
        <v>480</v>
      </c>
      <c r="B172" s="469"/>
      <c r="C172" s="468"/>
      <c r="D172" s="470"/>
      <c r="E172" s="471"/>
      <c r="F172" s="472"/>
      <c r="G172" s="472"/>
      <c r="H172" s="472"/>
      <c r="I172" s="472"/>
      <c r="J172" s="472"/>
      <c r="K172" s="472"/>
      <c r="O172" s="405"/>
      <c r="P172" s="474"/>
      <c r="Q172" s="475"/>
      <c r="R172" s="475"/>
      <c r="S172" s="476"/>
      <c r="T172" s="475"/>
      <c r="U172" s="475"/>
      <c r="V172" s="475"/>
      <c r="W172" s="475"/>
      <c r="X172" s="475"/>
      <c r="Y172" s="475"/>
      <c r="Z172" s="475"/>
      <c r="AA172" s="475"/>
      <c r="AB172" s="475"/>
      <c r="AC172" s="475"/>
      <c r="AD172" s="475"/>
    </row>
    <row r="173" spans="1:30" s="104" customFormat="1" ht="15" thickBot="1">
      <c r="E173" s="485"/>
    </row>
    <row r="174" spans="1:30" s="104" customFormat="1" ht="30">
      <c r="A174" s="668" t="s">
        <v>31</v>
      </c>
      <c r="B174" s="669" t="s">
        <v>33</v>
      </c>
      <c r="C174" s="669" t="s">
        <v>247</v>
      </c>
      <c r="D174" s="669" t="s">
        <v>248</v>
      </c>
      <c r="E174" s="537" t="s">
        <v>249</v>
      </c>
      <c r="F174" s="669" t="s">
        <v>250</v>
      </c>
      <c r="G174" s="669" t="s">
        <v>251</v>
      </c>
      <c r="H174" s="669" t="s">
        <v>36</v>
      </c>
      <c r="I174" s="669" t="s">
        <v>252</v>
      </c>
      <c r="J174" s="538" t="s">
        <v>253</v>
      </c>
      <c r="K174" s="451" t="s">
        <v>20</v>
      </c>
    </row>
    <row r="175" spans="1:30" s="104" customFormat="1">
      <c r="A175" s="465" t="s">
        <v>1028</v>
      </c>
      <c r="B175" s="498" t="s">
        <v>830</v>
      </c>
      <c r="C175" s="466">
        <v>175</v>
      </c>
      <c r="D175" s="466"/>
      <c r="E175" s="497"/>
      <c r="F175" s="498"/>
      <c r="G175" s="466"/>
      <c r="H175" s="499"/>
      <c r="I175" s="466"/>
      <c r="J175" s="496"/>
      <c r="K175" s="467"/>
    </row>
    <row r="176" spans="1:30" s="404" customFormat="1" ht="22.5" customHeight="1" thickBot="1">
      <c r="A176" s="468"/>
      <c r="B176" s="469"/>
      <c r="C176" s="468"/>
      <c r="D176" s="470"/>
      <c r="E176" s="471"/>
      <c r="F176" s="472"/>
      <c r="G176" s="1243" t="s">
        <v>1032</v>
      </c>
      <c r="H176" s="1244"/>
      <c r="I176" s="1244"/>
      <c r="J176" s="473">
        <f>SUM(J175:J175)</f>
        <v>0</v>
      </c>
      <c r="K176" s="473">
        <f>SUM(K175:K175)</f>
        <v>0</v>
      </c>
      <c r="O176" s="405"/>
      <c r="P176" s="474"/>
      <c r="Q176" s="475"/>
      <c r="R176" s="475"/>
      <c r="S176" s="476"/>
      <c r="T176" s="475"/>
      <c r="U176" s="475"/>
      <c r="V176" s="475"/>
      <c r="W176" s="475"/>
      <c r="X176" s="475"/>
      <c r="Y176" s="475"/>
      <c r="Z176" s="475"/>
      <c r="AA176" s="475"/>
      <c r="AB176" s="475"/>
      <c r="AC176" s="475"/>
      <c r="AD176" s="475"/>
    </row>
    <row r="177" spans="1:30" s="404" customFormat="1" ht="22.5" customHeight="1">
      <c r="A177" s="468"/>
      <c r="B177" s="469"/>
      <c r="C177" s="468"/>
      <c r="D177" s="470"/>
      <c r="E177" s="471"/>
      <c r="F177" s="472"/>
      <c r="G177" s="472"/>
      <c r="H177" s="472"/>
      <c r="I177" s="472"/>
      <c r="J177" s="472"/>
      <c r="K177" s="472"/>
      <c r="O177" s="405"/>
      <c r="P177" s="474"/>
      <c r="Q177" s="475"/>
      <c r="R177" s="475"/>
      <c r="S177" s="476"/>
      <c r="T177" s="475"/>
      <c r="U177" s="475"/>
      <c r="V177" s="475"/>
      <c r="W177" s="475"/>
      <c r="X177" s="475"/>
      <c r="Y177" s="475"/>
      <c r="Z177" s="475"/>
      <c r="AA177" s="475"/>
      <c r="AB177" s="475"/>
      <c r="AC177" s="475"/>
      <c r="AD177" s="475"/>
    </row>
    <row r="178" spans="1:30" s="404" customFormat="1" ht="22.5" customHeight="1">
      <c r="A178" s="547" t="s">
        <v>506</v>
      </c>
      <c r="B178" s="469"/>
      <c r="C178" s="468"/>
      <c r="D178" s="470"/>
      <c r="E178" s="471"/>
      <c r="F178" s="472"/>
      <c r="G178" s="472"/>
      <c r="H178" s="472"/>
      <c r="I178" s="472"/>
      <c r="J178" s="472"/>
      <c r="K178" s="472"/>
      <c r="O178" s="405"/>
      <c r="P178" s="474"/>
      <c r="Q178" s="475"/>
      <c r="R178" s="475"/>
      <c r="S178" s="476"/>
      <c r="T178" s="475"/>
      <c r="U178" s="475"/>
      <c r="V178" s="475"/>
      <c r="W178" s="475"/>
      <c r="X178" s="475"/>
      <c r="Y178" s="475"/>
      <c r="Z178" s="475"/>
      <c r="AA178" s="475"/>
      <c r="AB178" s="475"/>
      <c r="AC178" s="475"/>
      <c r="AD178" s="475"/>
    </row>
    <row r="179" spans="1:30" s="104" customFormat="1" ht="15" thickBot="1">
      <c r="E179" s="485"/>
    </row>
    <row r="180" spans="1:30" s="104" customFormat="1" ht="30">
      <c r="A180" s="722" t="s">
        <v>31</v>
      </c>
      <c r="B180" s="723" t="s">
        <v>33</v>
      </c>
      <c r="C180" s="723" t="s">
        <v>247</v>
      </c>
      <c r="D180" s="723" t="s">
        <v>248</v>
      </c>
      <c r="E180" s="537" t="s">
        <v>249</v>
      </c>
      <c r="F180" s="723" t="s">
        <v>250</v>
      </c>
      <c r="G180" s="723" t="s">
        <v>251</v>
      </c>
      <c r="H180" s="723" t="s">
        <v>36</v>
      </c>
      <c r="I180" s="723" t="s">
        <v>252</v>
      </c>
      <c r="J180" s="538" t="s">
        <v>253</v>
      </c>
      <c r="K180" s="451" t="s">
        <v>20</v>
      </c>
    </row>
    <row r="181" spans="1:30" s="104" customFormat="1" ht="35.25" customHeight="1">
      <c r="A181" s="465" t="s">
        <v>1028</v>
      </c>
      <c r="B181" s="498" t="s">
        <v>539</v>
      </c>
      <c r="C181" s="466">
        <v>187</v>
      </c>
      <c r="D181" s="466"/>
      <c r="E181" s="497"/>
      <c r="F181" s="498"/>
      <c r="G181" s="466"/>
      <c r="H181" s="499"/>
      <c r="I181" s="466"/>
      <c r="J181" s="496"/>
      <c r="K181" s="467">
        <f>+J181*0.004</f>
        <v>0</v>
      </c>
    </row>
    <row r="182" spans="1:30" s="404" customFormat="1" ht="22.5" customHeight="1" thickBot="1">
      <c r="A182" s="468"/>
      <c r="B182" s="469"/>
      <c r="C182" s="468"/>
      <c r="D182" s="470"/>
      <c r="E182" s="471"/>
      <c r="F182" s="472"/>
      <c r="G182" s="1243" t="s">
        <v>1032</v>
      </c>
      <c r="H182" s="1244"/>
      <c r="I182" s="1244"/>
      <c r="J182" s="473">
        <f>+SUM(J181:J181)</f>
        <v>0</v>
      </c>
      <c r="K182" s="473">
        <f>+SUM(K181:K181)</f>
        <v>0</v>
      </c>
      <c r="O182" s="405"/>
      <c r="P182" s="474"/>
      <c r="Q182" s="475"/>
      <c r="R182" s="475"/>
      <c r="S182" s="476"/>
      <c r="T182" s="475"/>
      <c r="U182" s="475"/>
      <c r="V182" s="475"/>
      <c r="W182" s="475"/>
      <c r="X182" s="475"/>
      <c r="Y182" s="475"/>
      <c r="Z182" s="475"/>
      <c r="AA182" s="475"/>
      <c r="AB182" s="475"/>
      <c r="AC182" s="475"/>
      <c r="AD182" s="475"/>
    </row>
    <row r="183" spans="1:30" s="404" customFormat="1" ht="22.5" customHeight="1">
      <c r="A183" s="468"/>
      <c r="B183" s="469"/>
      <c r="C183" s="468"/>
      <c r="D183" s="470"/>
      <c r="E183" s="471"/>
      <c r="F183" s="472"/>
      <c r="G183" s="1002"/>
      <c r="H183" s="1002"/>
      <c r="I183" s="1002"/>
      <c r="J183" s="1003"/>
      <c r="K183" s="1003"/>
      <c r="O183" s="405"/>
      <c r="P183" s="474"/>
      <c r="Q183" s="475"/>
      <c r="R183" s="475"/>
      <c r="S183" s="476"/>
      <c r="T183" s="475"/>
      <c r="U183" s="475"/>
      <c r="V183" s="475"/>
      <c r="W183" s="475"/>
      <c r="X183" s="475"/>
      <c r="Y183" s="475"/>
      <c r="Z183" s="475"/>
      <c r="AA183" s="475"/>
      <c r="AB183" s="475"/>
      <c r="AC183" s="475"/>
      <c r="AD183" s="475"/>
    </row>
    <row r="184" spans="1:30" s="404" customFormat="1" ht="22.5" customHeight="1">
      <c r="A184" s="547" t="s">
        <v>527</v>
      </c>
      <c r="B184" s="469"/>
      <c r="C184" s="468"/>
      <c r="D184" s="470"/>
      <c r="E184" s="471"/>
      <c r="F184" s="472"/>
      <c r="G184" s="1002"/>
      <c r="H184" s="1002"/>
      <c r="I184" s="1002"/>
      <c r="J184" s="1003"/>
      <c r="K184" s="1003"/>
      <c r="O184" s="405"/>
      <c r="P184" s="474"/>
      <c r="Q184" s="475"/>
      <c r="R184" s="475"/>
      <c r="S184" s="476"/>
      <c r="T184" s="475"/>
      <c r="U184" s="475"/>
      <c r="V184" s="475"/>
      <c r="W184" s="475"/>
      <c r="X184" s="475"/>
      <c r="Y184" s="475"/>
      <c r="Z184" s="475"/>
      <c r="AA184" s="475"/>
      <c r="AB184" s="475"/>
      <c r="AC184" s="475"/>
      <c r="AD184" s="475"/>
    </row>
    <row r="185" spans="1:30" s="404" customFormat="1" ht="22.5" customHeight="1" thickBot="1">
      <c r="A185" s="468"/>
      <c r="B185" s="469"/>
      <c r="C185" s="468"/>
      <c r="D185" s="470"/>
      <c r="E185" s="471"/>
      <c r="F185" s="472"/>
      <c r="G185" s="472"/>
      <c r="H185" s="472"/>
      <c r="I185" s="472"/>
      <c r="J185" s="472"/>
      <c r="K185" s="472"/>
      <c r="O185" s="405"/>
      <c r="P185" s="474"/>
      <c r="Q185" s="475"/>
      <c r="R185" s="475"/>
      <c r="S185" s="476"/>
      <c r="T185" s="475"/>
      <c r="U185" s="475"/>
      <c r="V185" s="475"/>
      <c r="W185" s="475"/>
      <c r="X185" s="475"/>
      <c r="Y185" s="475"/>
      <c r="Z185" s="475"/>
      <c r="AA185" s="475"/>
      <c r="AB185" s="475"/>
      <c r="AC185" s="475"/>
      <c r="AD185" s="475"/>
    </row>
    <row r="186" spans="1:30" s="404" customFormat="1" ht="22.5" customHeight="1">
      <c r="A186" s="745" t="s">
        <v>31</v>
      </c>
      <c r="B186" s="746" t="s">
        <v>33</v>
      </c>
      <c r="C186" s="746" t="s">
        <v>247</v>
      </c>
      <c r="D186" s="746" t="s">
        <v>248</v>
      </c>
      <c r="E186" s="537" t="s">
        <v>249</v>
      </c>
      <c r="F186" s="746" t="s">
        <v>250</v>
      </c>
      <c r="G186" s="746" t="s">
        <v>251</v>
      </c>
      <c r="H186" s="746" t="s">
        <v>36</v>
      </c>
      <c r="I186" s="746" t="s">
        <v>252</v>
      </c>
      <c r="J186" s="538" t="s">
        <v>253</v>
      </c>
      <c r="K186" s="451" t="s">
        <v>20</v>
      </c>
      <c r="O186" s="405"/>
      <c r="P186" s="474"/>
      <c r="Q186" s="475"/>
      <c r="R186" s="475"/>
      <c r="S186" s="476"/>
      <c r="T186" s="475"/>
      <c r="U186" s="475"/>
      <c r="V186" s="475"/>
      <c r="W186" s="475"/>
      <c r="X186" s="475"/>
      <c r="Y186" s="475"/>
      <c r="Z186" s="475"/>
      <c r="AA186" s="475"/>
      <c r="AB186" s="475"/>
      <c r="AC186" s="475"/>
      <c r="AD186" s="475"/>
    </row>
    <row r="187" spans="1:30" s="104" customFormat="1" ht="35.25" customHeight="1">
      <c r="A187" s="465" t="s">
        <v>1028</v>
      </c>
      <c r="B187" s="498" t="s">
        <v>929</v>
      </c>
      <c r="C187" s="466">
        <v>188</v>
      </c>
      <c r="D187" s="466" t="s">
        <v>1042</v>
      </c>
      <c r="E187" s="497">
        <v>9923568</v>
      </c>
      <c r="F187" s="498" t="s">
        <v>930</v>
      </c>
      <c r="G187" s="466">
        <v>78678</v>
      </c>
      <c r="H187" s="499" t="s">
        <v>817</v>
      </c>
      <c r="I187" s="466" t="s">
        <v>255</v>
      </c>
      <c r="J187" s="496">
        <v>1191945</v>
      </c>
      <c r="K187" s="467">
        <f>+J187*0.004</f>
        <v>4767.78</v>
      </c>
    </row>
    <row r="188" spans="1:30" s="104" customFormat="1" ht="35.25" customHeight="1">
      <c r="A188" s="465" t="s">
        <v>1028</v>
      </c>
      <c r="B188" s="498" t="s">
        <v>739</v>
      </c>
      <c r="C188" s="466">
        <v>188</v>
      </c>
      <c r="D188" s="466" t="s">
        <v>831</v>
      </c>
      <c r="E188" s="497">
        <v>1053838774</v>
      </c>
      <c r="F188" s="498" t="s">
        <v>780</v>
      </c>
      <c r="G188" s="466">
        <v>80292</v>
      </c>
      <c r="H188" s="499" t="s">
        <v>817</v>
      </c>
      <c r="I188" s="466" t="s">
        <v>255</v>
      </c>
      <c r="J188" s="496">
        <v>10199604</v>
      </c>
      <c r="K188" s="467">
        <f t="shared" ref="K188:K189" si="49">+J188*0.004</f>
        <v>40798.415999999997</v>
      </c>
    </row>
    <row r="189" spans="1:30" s="104" customFormat="1" ht="35.25" customHeight="1">
      <c r="A189" s="465" t="s">
        <v>1028</v>
      </c>
      <c r="B189" s="498" t="s">
        <v>739</v>
      </c>
      <c r="C189" s="466">
        <v>188</v>
      </c>
      <c r="D189" s="466" t="s">
        <v>832</v>
      </c>
      <c r="E189" s="497">
        <v>1053829589</v>
      </c>
      <c r="F189" s="498" t="s">
        <v>740</v>
      </c>
      <c r="G189" s="466">
        <v>77879</v>
      </c>
      <c r="H189" s="499" t="s">
        <v>817</v>
      </c>
      <c r="I189" s="466" t="s">
        <v>255</v>
      </c>
      <c r="J189" s="496">
        <v>4996354</v>
      </c>
      <c r="K189" s="467">
        <f t="shared" si="49"/>
        <v>19985.416000000001</v>
      </c>
    </row>
    <row r="190" spans="1:30" s="104" customFormat="1" ht="35.25" customHeight="1">
      <c r="A190" s="465" t="s">
        <v>1028</v>
      </c>
      <c r="B190" s="498" t="s">
        <v>739</v>
      </c>
      <c r="C190" s="466">
        <v>188</v>
      </c>
      <c r="D190" s="466" t="s">
        <v>1043</v>
      </c>
      <c r="E190" s="497">
        <v>1060648947</v>
      </c>
      <c r="F190" s="498" t="s">
        <v>969</v>
      </c>
      <c r="G190" s="466">
        <v>80291</v>
      </c>
      <c r="H190" s="499" t="s">
        <v>817</v>
      </c>
      <c r="I190" s="466" t="s">
        <v>255</v>
      </c>
      <c r="J190" s="496">
        <v>315000</v>
      </c>
      <c r="K190" s="467">
        <f t="shared" ref="K190" si="50">+J190*0.004</f>
        <v>1260</v>
      </c>
    </row>
    <row r="191" spans="1:30" s="104" customFormat="1" ht="35.25" customHeight="1">
      <c r="A191" s="465" t="s">
        <v>1028</v>
      </c>
      <c r="B191" s="498" t="s">
        <v>833</v>
      </c>
      <c r="C191" s="466">
        <v>188</v>
      </c>
      <c r="D191" s="466" t="s">
        <v>834</v>
      </c>
      <c r="E191" s="497">
        <v>30234032</v>
      </c>
      <c r="F191" s="498" t="s">
        <v>835</v>
      </c>
      <c r="G191" s="466">
        <v>82195</v>
      </c>
      <c r="H191" s="499" t="s">
        <v>817</v>
      </c>
      <c r="I191" s="466" t="s">
        <v>255</v>
      </c>
      <c r="J191" s="496">
        <v>35915300</v>
      </c>
      <c r="K191" s="467">
        <f>+J191*0.004</f>
        <v>143661.20000000001</v>
      </c>
    </row>
    <row r="192" spans="1:30" s="104" customFormat="1" ht="35.25" customHeight="1">
      <c r="A192" s="465" t="s">
        <v>1028</v>
      </c>
      <c r="B192" s="498" t="s">
        <v>833</v>
      </c>
      <c r="C192" s="466">
        <v>188</v>
      </c>
      <c r="D192" s="466" t="s">
        <v>1044</v>
      </c>
      <c r="E192" s="497">
        <v>1053821054</v>
      </c>
      <c r="F192" s="498" t="s">
        <v>959</v>
      </c>
      <c r="G192" s="466">
        <v>82177</v>
      </c>
      <c r="H192" s="499" t="s">
        <v>817</v>
      </c>
      <c r="I192" s="466" t="s">
        <v>255</v>
      </c>
      <c r="J192" s="496">
        <v>6450000</v>
      </c>
      <c r="K192" s="467">
        <f>+J192*0.004</f>
        <v>25800</v>
      </c>
    </row>
    <row r="193" spans="1:30" s="404" customFormat="1" ht="22.5" customHeight="1" thickBot="1">
      <c r="A193" s="468"/>
      <c r="B193" s="469"/>
      <c r="C193" s="468"/>
      <c r="D193" s="470"/>
      <c r="E193" s="471"/>
      <c r="F193" s="472"/>
      <c r="G193" s="1243" t="s">
        <v>1032</v>
      </c>
      <c r="H193" s="1244"/>
      <c r="I193" s="1244"/>
      <c r="J193" s="473">
        <f>+SUM(J187:J192)</f>
        <v>59068203</v>
      </c>
      <c r="K193" s="473">
        <f>+SUM(K187:K192)</f>
        <v>236272.81200000001</v>
      </c>
      <c r="O193" s="405"/>
      <c r="P193" s="474"/>
      <c r="Q193" s="475"/>
      <c r="R193" s="475"/>
      <c r="S193" s="476"/>
      <c r="T193" s="475"/>
      <c r="U193" s="475"/>
      <c r="V193" s="475"/>
      <c r="W193" s="475"/>
      <c r="X193" s="475"/>
      <c r="Y193" s="475"/>
      <c r="Z193" s="475"/>
      <c r="AA193" s="475"/>
      <c r="AB193" s="475"/>
      <c r="AC193" s="475"/>
      <c r="AD193" s="475"/>
    </row>
    <row r="194" spans="1:30" s="404" customFormat="1" ht="22.5" customHeight="1">
      <c r="A194" s="468"/>
      <c r="B194" s="469"/>
      <c r="C194" s="468"/>
      <c r="D194" s="470"/>
      <c r="E194" s="471"/>
      <c r="F194" s="472"/>
      <c r="G194" s="472"/>
      <c r="H194" s="472"/>
      <c r="I194" s="472"/>
      <c r="J194" s="472"/>
      <c r="K194" s="472"/>
      <c r="O194" s="405"/>
      <c r="P194" s="474"/>
      <c r="Q194" s="475"/>
      <c r="R194" s="475"/>
      <c r="S194" s="476"/>
      <c r="T194" s="475"/>
      <c r="U194" s="475"/>
      <c r="V194" s="475"/>
      <c r="W194" s="475"/>
      <c r="X194" s="475"/>
      <c r="Y194" s="475"/>
      <c r="Z194" s="475"/>
      <c r="AA194" s="475"/>
      <c r="AB194" s="475"/>
      <c r="AC194" s="475"/>
      <c r="AD194" s="475"/>
    </row>
    <row r="195" spans="1:30" s="404" customFormat="1" ht="22.5" customHeight="1">
      <c r="A195" s="547" t="s">
        <v>540</v>
      </c>
      <c r="B195" s="469"/>
      <c r="C195" s="468"/>
      <c r="D195" s="470"/>
      <c r="E195" s="471"/>
      <c r="F195" s="472"/>
      <c r="G195" s="1002"/>
      <c r="H195" s="1002"/>
      <c r="I195" s="1002"/>
      <c r="J195" s="1003"/>
      <c r="K195" s="1003"/>
      <c r="O195" s="405"/>
      <c r="P195" s="474"/>
      <c r="Q195" s="475"/>
      <c r="R195" s="475"/>
      <c r="S195" s="476"/>
      <c r="T195" s="475"/>
      <c r="U195" s="475"/>
      <c r="V195" s="475"/>
      <c r="W195" s="475"/>
      <c r="X195" s="475"/>
      <c r="Y195" s="475"/>
      <c r="Z195" s="475"/>
      <c r="AA195" s="475"/>
      <c r="AB195" s="475"/>
      <c r="AC195" s="475"/>
      <c r="AD195" s="475"/>
    </row>
    <row r="196" spans="1:30" s="404" customFormat="1" ht="22.5" customHeight="1" thickBot="1">
      <c r="A196" s="468"/>
      <c r="B196" s="469"/>
      <c r="C196" s="468"/>
      <c r="D196" s="470"/>
      <c r="E196" s="471"/>
      <c r="F196" s="472"/>
      <c r="G196" s="472"/>
      <c r="H196" s="472"/>
      <c r="I196" s="472"/>
      <c r="J196" s="472"/>
      <c r="K196" s="472"/>
      <c r="O196" s="405"/>
      <c r="P196" s="474"/>
      <c r="Q196" s="475"/>
      <c r="R196" s="475"/>
      <c r="S196" s="476"/>
      <c r="T196" s="475"/>
      <c r="U196" s="475"/>
      <c r="V196" s="475"/>
      <c r="W196" s="475"/>
      <c r="X196" s="475"/>
      <c r="Y196" s="475"/>
      <c r="Z196" s="475"/>
      <c r="AA196" s="475"/>
      <c r="AB196" s="475"/>
      <c r="AC196" s="475"/>
      <c r="AD196" s="475"/>
    </row>
    <row r="197" spans="1:30" s="404" customFormat="1" ht="30">
      <c r="A197" s="771" t="s">
        <v>31</v>
      </c>
      <c r="B197" s="772" t="s">
        <v>33</v>
      </c>
      <c r="C197" s="772" t="s">
        <v>247</v>
      </c>
      <c r="D197" s="772" t="s">
        <v>248</v>
      </c>
      <c r="E197" s="537" t="s">
        <v>249</v>
      </c>
      <c r="F197" s="772" t="s">
        <v>250</v>
      </c>
      <c r="G197" s="772" t="s">
        <v>251</v>
      </c>
      <c r="H197" s="772" t="s">
        <v>36</v>
      </c>
      <c r="I197" s="772" t="s">
        <v>252</v>
      </c>
      <c r="J197" s="538" t="s">
        <v>253</v>
      </c>
      <c r="K197" s="451" t="s">
        <v>20</v>
      </c>
      <c r="O197" s="405"/>
      <c r="P197" s="474"/>
      <c r="Q197" s="475"/>
      <c r="R197" s="475"/>
      <c r="S197" s="476"/>
      <c r="T197" s="475"/>
      <c r="U197" s="475"/>
      <c r="V197" s="475"/>
      <c r="W197" s="475"/>
      <c r="X197" s="475"/>
      <c r="Y197" s="475"/>
      <c r="Z197" s="475"/>
      <c r="AA197" s="475"/>
      <c r="AB197" s="475"/>
      <c r="AC197" s="475"/>
      <c r="AD197" s="475"/>
    </row>
    <row r="198" spans="1:30" s="104" customFormat="1" ht="35.25" customHeight="1">
      <c r="A198" s="465" t="s">
        <v>1028</v>
      </c>
      <c r="B198" s="498" t="s">
        <v>673</v>
      </c>
      <c r="C198" s="466">
        <v>171</v>
      </c>
      <c r="D198" s="466" t="s">
        <v>836</v>
      </c>
      <c r="E198" s="497">
        <v>7487993</v>
      </c>
      <c r="F198" s="498" t="s">
        <v>674</v>
      </c>
      <c r="G198" s="466">
        <v>78137</v>
      </c>
      <c r="H198" s="499" t="s">
        <v>817</v>
      </c>
      <c r="I198" s="466" t="s">
        <v>254</v>
      </c>
      <c r="J198" s="496">
        <v>8939088</v>
      </c>
      <c r="K198" s="467">
        <f>+J198*0.004</f>
        <v>35756.351999999999</v>
      </c>
    </row>
    <row r="199" spans="1:30" s="404" customFormat="1" ht="22.5" customHeight="1" thickBot="1">
      <c r="A199" s="468"/>
      <c r="B199" s="469"/>
      <c r="C199" s="468"/>
      <c r="D199" s="470"/>
      <c r="E199" s="471"/>
      <c r="F199" s="472"/>
      <c r="G199" s="1243" t="s">
        <v>1032</v>
      </c>
      <c r="H199" s="1244"/>
      <c r="I199" s="1244"/>
      <c r="J199" s="473">
        <f>+SUM(J198:J198)</f>
        <v>8939088</v>
      </c>
      <c r="K199" s="473">
        <f>+SUM(K198:K198)</f>
        <v>35756.351999999999</v>
      </c>
      <c r="O199" s="405"/>
      <c r="P199" s="474"/>
      <c r="Q199" s="475"/>
      <c r="R199" s="475"/>
      <c r="S199" s="476"/>
      <c r="T199" s="475"/>
      <c r="U199" s="475"/>
      <c r="V199" s="475"/>
      <c r="W199" s="475"/>
      <c r="X199" s="475"/>
      <c r="Y199" s="475"/>
      <c r="Z199" s="475"/>
      <c r="AA199" s="475"/>
      <c r="AB199" s="475"/>
      <c r="AC199" s="475"/>
      <c r="AD199" s="475"/>
    </row>
    <row r="200" spans="1:30" s="404" customFormat="1" ht="22.5" customHeight="1">
      <c r="A200" s="468"/>
      <c r="B200" s="469"/>
      <c r="C200" s="468"/>
      <c r="D200" s="470"/>
      <c r="E200" s="471"/>
      <c r="F200" s="472"/>
      <c r="G200" s="472"/>
      <c r="H200" s="472"/>
      <c r="I200" s="472"/>
      <c r="J200" s="472"/>
      <c r="K200" s="472"/>
      <c r="O200" s="405"/>
      <c r="P200" s="474"/>
      <c r="Q200" s="475"/>
      <c r="R200" s="475"/>
      <c r="S200" s="476"/>
      <c r="T200" s="475"/>
      <c r="U200" s="475"/>
      <c r="V200" s="475"/>
      <c r="W200" s="475"/>
      <c r="X200" s="475"/>
      <c r="Y200" s="475"/>
      <c r="Z200" s="475"/>
      <c r="AA200" s="475"/>
      <c r="AB200" s="475"/>
      <c r="AC200" s="475"/>
      <c r="AD200" s="475"/>
    </row>
    <row r="201" spans="1:30" s="404" customFormat="1" ht="22.5" customHeight="1">
      <c r="A201" s="547" t="s">
        <v>564</v>
      </c>
      <c r="B201" s="469"/>
      <c r="C201" s="468"/>
      <c r="D201" s="470"/>
      <c r="E201" s="471"/>
      <c r="F201" s="472"/>
      <c r="G201" s="1002"/>
      <c r="H201" s="1002"/>
      <c r="I201" s="1002"/>
      <c r="J201" s="1003"/>
      <c r="K201" s="1003"/>
      <c r="O201" s="405"/>
      <c r="P201" s="474"/>
      <c r="Q201" s="475"/>
      <c r="R201" s="475"/>
      <c r="S201" s="476"/>
      <c r="T201" s="475"/>
      <c r="U201" s="475"/>
      <c r="V201" s="475"/>
      <c r="W201" s="475"/>
      <c r="X201" s="475"/>
      <c r="Y201" s="475"/>
      <c r="Z201" s="475"/>
      <c r="AA201" s="475"/>
      <c r="AB201" s="475"/>
      <c r="AC201" s="475"/>
      <c r="AD201" s="475"/>
    </row>
    <row r="202" spans="1:30" s="404" customFormat="1" ht="22.5" customHeight="1" thickBot="1">
      <c r="A202" s="468"/>
      <c r="B202" s="469"/>
      <c r="C202" s="468"/>
      <c r="D202" s="470"/>
      <c r="E202" s="471"/>
      <c r="F202" s="472"/>
      <c r="G202" s="1004"/>
      <c r="H202" s="1004"/>
      <c r="I202" s="1004"/>
      <c r="J202" s="1004"/>
      <c r="K202" s="1004"/>
      <c r="O202" s="405"/>
      <c r="P202" s="474"/>
      <c r="Q202" s="475"/>
      <c r="R202" s="475"/>
      <c r="S202" s="476"/>
      <c r="T202" s="475"/>
      <c r="U202" s="475"/>
      <c r="V202" s="475"/>
      <c r="W202" s="475"/>
      <c r="X202" s="475"/>
      <c r="Y202" s="475"/>
      <c r="Z202" s="475"/>
      <c r="AA202" s="475"/>
      <c r="AB202" s="475"/>
      <c r="AC202" s="475"/>
      <c r="AD202" s="475"/>
    </row>
    <row r="203" spans="1:30" s="404" customFormat="1" ht="30">
      <c r="A203" s="791" t="s">
        <v>31</v>
      </c>
      <c r="B203" s="792" t="s">
        <v>33</v>
      </c>
      <c r="C203" s="792" t="s">
        <v>247</v>
      </c>
      <c r="D203" s="792" t="s">
        <v>248</v>
      </c>
      <c r="E203" s="537" t="s">
        <v>249</v>
      </c>
      <c r="F203" s="792" t="s">
        <v>250</v>
      </c>
      <c r="G203" s="792" t="s">
        <v>251</v>
      </c>
      <c r="H203" s="792" t="s">
        <v>36</v>
      </c>
      <c r="I203" s="792" t="s">
        <v>252</v>
      </c>
      <c r="J203" s="538" t="s">
        <v>253</v>
      </c>
      <c r="K203" s="451" t="s">
        <v>20</v>
      </c>
      <c r="O203" s="405"/>
      <c r="P203" s="474"/>
      <c r="Q203" s="475"/>
      <c r="R203" s="475"/>
      <c r="S203" s="476"/>
      <c r="T203" s="475"/>
      <c r="U203" s="475"/>
      <c r="V203" s="475"/>
      <c r="W203" s="475"/>
      <c r="X203" s="475"/>
      <c r="Y203" s="475"/>
      <c r="Z203" s="475"/>
      <c r="AA203" s="475"/>
      <c r="AB203" s="475"/>
      <c r="AC203" s="475"/>
      <c r="AD203" s="475"/>
    </row>
    <row r="204" spans="1:30" s="104" customFormat="1" ht="35.25" customHeight="1">
      <c r="A204" s="465" t="s">
        <v>1028</v>
      </c>
      <c r="B204" s="498" t="s">
        <v>624</v>
      </c>
      <c r="C204" s="466">
        <v>189</v>
      </c>
      <c r="D204" s="466" t="s">
        <v>837</v>
      </c>
      <c r="E204" s="497">
        <v>1087560478</v>
      </c>
      <c r="F204" s="498" t="s">
        <v>662</v>
      </c>
      <c r="G204" s="466">
        <v>75400</v>
      </c>
      <c r="H204" s="499" t="s">
        <v>817</v>
      </c>
      <c r="I204" s="466" t="s">
        <v>256</v>
      </c>
      <c r="J204" s="496">
        <v>3705209</v>
      </c>
      <c r="K204" s="467">
        <f>+J204*0.004</f>
        <v>14820.836000000001</v>
      </c>
    </row>
    <row r="205" spans="1:30" s="404" customFormat="1" ht="22.5" customHeight="1" thickBot="1">
      <c r="A205" s="468"/>
      <c r="B205" s="469"/>
      <c r="C205" s="468"/>
      <c r="D205" s="470"/>
      <c r="E205" s="471"/>
      <c r="F205" s="472"/>
      <c r="G205" s="1243" t="s">
        <v>1032</v>
      </c>
      <c r="H205" s="1244"/>
      <c r="I205" s="1244"/>
      <c r="J205" s="473">
        <f>+SUM(J204:J204)</f>
        <v>3705209</v>
      </c>
      <c r="K205" s="473">
        <f>+SUM(K204:K204)</f>
        <v>14820.836000000001</v>
      </c>
      <c r="O205" s="405"/>
      <c r="P205" s="474"/>
      <c r="Q205" s="475"/>
      <c r="R205" s="475"/>
      <c r="S205" s="476"/>
      <c r="T205" s="475"/>
      <c r="U205" s="475"/>
      <c r="V205" s="475"/>
      <c r="W205" s="475"/>
      <c r="X205" s="475"/>
      <c r="Y205" s="475"/>
      <c r="Z205" s="475"/>
      <c r="AA205" s="475"/>
      <c r="AB205" s="475"/>
      <c r="AC205" s="475"/>
      <c r="AD205" s="475"/>
    </row>
    <row r="206" spans="1:30" s="404" customFormat="1" ht="22.5" customHeight="1">
      <c r="A206" s="468"/>
      <c r="B206" s="469"/>
      <c r="C206" s="468"/>
      <c r="D206" s="470"/>
      <c r="E206" s="471"/>
      <c r="F206" s="472"/>
      <c r="G206" s="472"/>
      <c r="H206" s="472"/>
      <c r="I206" s="472"/>
      <c r="J206" s="472"/>
      <c r="K206" s="472"/>
      <c r="O206" s="405"/>
      <c r="P206" s="474"/>
      <c r="Q206" s="475"/>
      <c r="R206" s="475"/>
      <c r="S206" s="476"/>
      <c r="T206" s="475"/>
      <c r="U206" s="475"/>
      <c r="V206" s="475"/>
      <c r="W206" s="475"/>
      <c r="X206" s="475"/>
      <c r="Y206" s="475"/>
      <c r="Z206" s="475"/>
      <c r="AA206" s="475"/>
      <c r="AB206" s="475"/>
      <c r="AC206" s="475"/>
      <c r="AD206" s="475"/>
    </row>
    <row r="207" spans="1:30" s="404" customFormat="1" ht="22.5" customHeight="1">
      <c r="A207" s="547" t="s">
        <v>565</v>
      </c>
      <c r="B207" s="469"/>
      <c r="C207" s="468"/>
      <c r="D207" s="470"/>
      <c r="E207" s="471"/>
      <c r="F207" s="472"/>
      <c r="G207" s="1002"/>
      <c r="H207" s="1002"/>
      <c r="I207" s="1002"/>
      <c r="J207" s="1003"/>
      <c r="K207" s="1003"/>
      <c r="O207" s="405"/>
      <c r="P207" s="474"/>
      <c r="Q207" s="475"/>
      <c r="R207" s="475"/>
      <c r="S207" s="476"/>
      <c r="T207" s="475"/>
      <c r="U207" s="475"/>
      <c r="V207" s="475"/>
      <c r="W207" s="475"/>
      <c r="X207" s="475"/>
      <c r="Y207" s="475"/>
      <c r="Z207" s="475"/>
      <c r="AA207" s="475"/>
      <c r="AB207" s="475"/>
      <c r="AC207" s="475"/>
      <c r="AD207" s="475"/>
    </row>
    <row r="208" spans="1:30" s="404" customFormat="1" ht="22.5" customHeight="1" thickBot="1">
      <c r="A208" s="468"/>
      <c r="B208" s="469"/>
      <c r="C208" s="468"/>
      <c r="D208" s="470"/>
      <c r="E208" s="471"/>
      <c r="F208" s="472"/>
      <c r="G208" s="472"/>
      <c r="H208" s="472"/>
      <c r="I208" s="472"/>
      <c r="J208" s="472"/>
      <c r="K208" s="472"/>
      <c r="O208" s="405"/>
      <c r="P208" s="474"/>
      <c r="Q208" s="475"/>
      <c r="R208" s="475"/>
      <c r="S208" s="476"/>
      <c r="T208" s="475"/>
      <c r="U208" s="475"/>
      <c r="V208" s="475"/>
      <c r="W208" s="475"/>
      <c r="X208" s="475"/>
      <c r="Y208" s="475"/>
      <c r="Z208" s="475"/>
      <c r="AA208" s="475"/>
      <c r="AB208" s="475"/>
      <c r="AC208" s="475"/>
      <c r="AD208" s="475"/>
    </row>
    <row r="209" spans="1:30" s="404" customFormat="1" ht="30">
      <c r="A209" s="791" t="s">
        <v>31</v>
      </c>
      <c r="B209" s="792" t="s">
        <v>33</v>
      </c>
      <c r="C209" s="792" t="s">
        <v>247</v>
      </c>
      <c r="D209" s="792" t="s">
        <v>248</v>
      </c>
      <c r="E209" s="537" t="s">
        <v>249</v>
      </c>
      <c r="F209" s="792" t="s">
        <v>250</v>
      </c>
      <c r="G209" s="792" t="s">
        <v>251</v>
      </c>
      <c r="H209" s="792" t="s">
        <v>36</v>
      </c>
      <c r="I209" s="792" t="s">
        <v>252</v>
      </c>
      <c r="J209" s="538" t="s">
        <v>253</v>
      </c>
      <c r="K209" s="451" t="s">
        <v>20</v>
      </c>
      <c r="O209" s="405"/>
      <c r="P209" s="474"/>
      <c r="Q209" s="475"/>
      <c r="R209" s="475"/>
      <c r="S209" s="476"/>
      <c r="T209" s="475"/>
      <c r="U209" s="475"/>
      <c r="V209" s="475"/>
      <c r="W209" s="475"/>
      <c r="X209" s="475"/>
      <c r="Y209" s="475"/>
      <c r="Z209" s="475"/>
      <c r="AA209" s="475"/>
      <c r="AB209" s="475"/>
      <c r="AC209" s="475"/>
      <c r="AD209" s="475"/>
    </row>
    <row r="210" spans="1:30" s="404" customFormat="1" ht="42.75">
      <c r="A210" s="465" t="s">
        <v>1028</v>
      </c>
      <c r="B210" s="498" t="s">
        <v>561</v>
      </c>
      <c r="C210" s="466">
        <v>190</v>
      </c>
      <c r="D210" s="466" t="s">
        <v>1045</v>
      </c>
      <c r="E210" s="497">
        <v>88207397</v>
      </c>
      <c r="F210" s="498" t="s">
        <v>901</v>
      </c>
      <c r="G210" s="466">
        <v>73752</v>
      </c>
      <c r="H210" s="499" t="s">
        <v>817</v>
      </c>
      <c r="I210" s="466" t="s">
        <v>257</v>
      </c>
      <c r="J210" s="496">
        <v>40327783</v>
      </c>
      <c r="K210" s="467">
        <f t="shared" ref="K210:K211" si="51">+J210*0.004</f>
        <v>161311.13200000001</v>
      </c>
      <c r="O210" s="405"/>
      <c r="P210" s="474"/>
      <c r="Q210" s="475"/>
      <c r="R210" s="475"/>
      <c r="S210" s="476"/>
      <c r="T210" s="475"/>
      <c r="U210" s="475"/>
      <c r="V210" s="475"/>
      <c r="W210" s="475"/>
      <c r="X210" s="475"/>
      <c r="Y210" s="475"/>
      <c r="Z210" s="475"/>
      <c r="AA210" s="475"/>
      <c r="AB210" s="475"/>
      <c r="AC210" s="475"/>
      <c r="AD210" s="475"/>
    </row>
    <row r="211" spans="1:30" s="404" customFormat="1" ht="42.75">
      <c r="A211" s="465" t="s">
        <v>1028</v>
      </c>
      <c r="B211" s="498" t="s">
        <v>561</v>
      </c>
      <c r="C211" s="466">
        <v>190</v>
      </c>
      <c r="D211" s="466" t="s">
        <v>838</v>
      </c>
      <c r="E211" s="497">
        <v>1090470395</v>
      </c>
      <c r="F211" s="498" t="s">
        <v>781</v>
      </c>
      <c r="G211" s="466">
        <v>78444</v>
      </c>
      <c r="H211" s="499" t="s">
        <v>817</v>
      </c>
      <c r="I211" s="466" t="s">
        <v>257</v>
      </c>
      <c r="J211" s="496">
        <v>1000000</v>
      </c>
      <c r="K211" s="467">
        <f t="shared" si="51"/>
        <v>4000</v>
      </c>
      <c r="O211" s="405"/>
      <c r="P211" s="474"/>
      <c r="Q211" s="475"/>
      <c r="R211" s="475"/>
      <c r="S211" s="476"/>
      <c r="T211" s="475"/>
      <c r="U211" s="475"/>
      <c r="V211" s="475"/>
      <c r="W211" s="475"/>
      <c r="X211" s="475"/>
      <c r="Y211" s="475"/>
      <c r="Z211" s="475"/>
      <c r="AA211" s="475"/>
      <c r="AB211" s="475"/>
      <c r="AC211" s="475"/>
      <c r="AD211" s="475"/>
    </row>
    <row r="212" spans="1:30" s="104" customFormat="1" ht="35.25" customHeight="1">
      <c r="A212" s="465" t="s">
        <v>1028</v>
      </c>
      <c r="B212" s="498" t="s">
        <v>893</v>
      </c>
      <c r="C212" s="466">
        <v>190</v>
      </c>
      <c r="D212" s="466" t="s">
        <v>1046</v>
      </c>
      <c r="E212" s="497">
        <v>1090510965</v>
      </c>
      <c r="F212" s="498" t="s">
        <v>894</v>
      </c>
      <c r="G212" s="466">
        <v>80408</v>
      </c>
      <c r="H212" s="499" t="s">
        <v>817</v>
      </c>
      <c r="I212" s="466" t="s">
        <v>257</v>
      </c>
      <c r="J212" s="496">
        <v>10546314</v>
      </c>
      <c r="K212" s="467">
        <f>+J212*0.004</f>
        <v>42185.256000000001</v>
      </c>
    </row>
    <row r="213" spans="1:30" s="404" customFormat="1" ht="22.5" customHeight="1" thickBot="1">
      <c r="A213" s="468"/>
      <c r="B213" s="469"/>
      <c r="C213" s="468"/>
      <c r="D213" s="470"/>
      <c r="E213" s="471"/>
      <c r="F213" s="472"/>
      <c r="G213" s="1243" t="s">
        <v>1032</v>
      </c>
      <c r="H213" s="1244"/>
      <c r="I213" s="1244"/>
      <c r="J213" s="473">
        <f>+SUM(J210:J212)</f>
        <v>51874097</v>
      </c>
      <c r="K213" s="473">
        <f>+SUM(K210:K212)</f>
        <v>207496.38800000001</v>
      </c>
      <c r="O213" s="405"/>
      <c r="P213" s="474"/>
      <c r="Q213" s="475"/>
      <c r="R213" s="475"/>
      <c r="S213" s="476"/>
      <c r="T213" s="475"/>
      <c r="U213" s="475"/>
      <c r="V213" s="475"/>
      <c r="W213" s="475"/>
      <c r="X213" s="475"/>
      <c r="Y213" s="475"/>
      <c r="Z213" s="475"/>
      <c r="AA213" s="475"/>
      <c r="AB213" s="475"/>
      <c r="AC213" s="475"/>
      <c r="AD213" s="475"/>
    </row>
    <row r="214" spans="1:30" s="404" customFormat="1" ht="22.5" customHeight="1">
      <c r="A214" s="468"/>
      <c r="B214" s="469"/>
      <c r="C214" s="468"/>
      <c r="D214" s="470"/>
      <c r="E214" s="471"/>
      <c r="F214" s="472"/>
      <c r="G214" s="1002"/>
      <c r="H214" s="1002"/>
      <c r="I214" s="1002"/>
      <c r="J214" s="1003"/>
      <c r="K214" s="1003"/>
      <c r="O214" s="405"/>
      <c r="P214" s="474"/>
      <c r="Q214" s="475"/>
      <c r="R214" s="475"/>
      <c r="S214" s="476"/>
      <c r="T214" s="475"/>
      <c r="U214" s="475"/>
      <c r="V214" s="475"/>
      <c r="W214" s="475"/>
      <c r="X214" s="475"/>
      <c r="Y214" s="475"/>
      <c r="Z214" s="475"/>
      <c r="AA214" s="475"/>
      <c r="AB214" s="475"/>
      <c r="AC214" s="475"/>
      <c r="AD214" s="475"/>
    </row>
    <row r="215" spans="1:30" s="404" customFormat="1" ht="22.5" customHeight="1">
      <c r="A215" s="547"/>
      <c r="B215" s="469"/>
      <c r="C215" s="468"/>
      <c r="D215" s="470"/>
      <c r="E215" s="471"/>
      <c r="F215" s="472"/>
      <c r="G215" s="1002"/>
      <c r="H215" s="1002"/>
      <c r="I215" s="1002"/>
      <c r="J215" s="1003"/>
      <c r="K215" s="1003"/>
      <c r="O215" s="405"/>
      <c r="P215" s="474"/>
      <c r="Q215" s="475"/>
      <c r="R215" s="475"/>
      <c r="S215" s="476"/>
      <c r="T215" s="475"/>
      <c r="U215" s="475"/>
      <c r="V215" s="475"/>
      <c r="W215" s="475"/>
      <c r="X215" s="475"/>
      <c r="Y215" s="475"/>
      <c r="Z215" s="475"/>
      <c r="AA215" s="475"/>
      <c r="AB215" s="475"/>
      <c r="AC215" s="475"/>
      <c r="AD215" s="475"/>
    </row>
    <row r="216" spans="1:30" s="404" customFormat="1" ht="22.5" customHeight="1" thickBot="1">
      <c r="A216" s="547" t="s">
        <v>570</v>
      </c>
      <c r="B216" s="469"/>
      <c r="C216" s="468"/>
      <c r="D216" s="470"/>
      <c r="E216" s="471"/>
      <c r="F216" s="472"/>
      <c r="G216" s="472"/>
      <c r="H216" s="472"/>
      <c r="I216" s="472"/>
      <c r="J216" s="472"/>
      <c r="K216" s="472"/>
      <c r="O216" s="405"/>
      <c r="P216" s="474"/>
      <c r="Q216" s="475"/>
      <c r="R216" s="475"/>
      <c r="S216" s="476"/>
      <c r="T216" s="475"/>
      <c r="U216" s="475"/>
      <c r="V216" s="475"/>
      <c r="W216" s="475"/>
      <c r="X216" s="475"/>
      <c r="Y216" s="475"/>
      <c r="Z216" s="475"/>
      <c r="AA216" s="475"/>
      <c r="AB216" s="475"/>
      <c r="AC216" s="475"/>
      <c r="AD216" s="475"/>
    </row>
    <row r="217" spans="1:30" s="404" customFormat="1" ht="30">
      <c r="A217" s="806" t="s">
        <v>31</v>
      </c>
      <c r="B217" s="807" t="s">
        <v>33</v>
      </c>
      <c r="C217" s="807" t="s">
        <v>247</v>
      </c>
      <c r="D217" s="807" t="s">
        <v>248</v>
      </c>
      <c r="E217" s="537" t="s">
        <v>249</v>
      </c>
      <c r="F217" s="807" t="s">
        <v>250</v>
      </c>
      <c r="G217" s="807" t="s">
        <v>251</v>
      </c>
      <c r="H217" s="807" t="s">
        <v>36</v>
      </c>
      <c r="I217" s="807" t="s">
        <v>252</v>
      </c>
      <c r="J217" s="538" t="s">
        <v>253</v>
      </c>
      <c r="K217" s="451" t="s">
        <v>20</v>
      </c>
      <c r="O217" s="405"/>
      <c r="P217" s="474"/>
      <c r="Q217" s="475"/>
      <c r="R217" s="475"/>
      <c r="S217" s="476"/>
      <c r="T217" s="475"/>
      <c r="U217" s="475"/>
      <c r="V217" s="475"/>
      <c r="W217" s="475"/>
      <c r="X217" s="475"/>
      <c r="Y217" s="475"/>
      <c r="Z217" s="475"/>
      <c r="AA217" s="475"/>
      <c r="AB217" s="475"/>
      <c r="AC217" s="475"/>
      <c r="AD217" s="475"/>
    </row>
    <row r="218" spans="1:30" s="404" customFormat="1" ht="26.25" customHeight="1">
      <c r="A218" s="465" t="s">
        <v>1028</v>
      </c>
      <c r="B218" s="498" t="s">
        <v>623</v>
      </c>
      <c r="C218" s="498">
        <v>191</v>
      </c>
      <c r="D218" s="498"/>
      <c r="E218" s="939"/>
      <c r="F218" s="498"/>
      <c r="G218" s="498"/>
      <c r="H218" s="499"/>
      <c r="I218" s="498"/>
      <c r="J218" s="940"/>
      <c r="K218" s="467">
        <f t="shared" ref="K218" si="52">+J218*0.004</f>
        <v>0</v>
      </c>
      <c r="O218" s="405"/>
      <c r="P218" s="474"/>
      <c r="Q218" s="475"/>
      <c r="R218" s="475"/>
      <c r="S218" s="476"/>
      <c r="T218" s="475"/>
      <c r="U218" s="475"/>
      <c r="V218" s="475"/>
      <c r="W218" s="475"/>
      <c r="X218" s="475"/>
      <c r="Y218" s="475"/>
      <c r="Z218" s="475"/>
      <c r="AA218" s="475"/>
      <c r="AB218" s="475"/>
      <c r="AC218" s="475"/>
      <c r="AD218" s="475"/>
    </row>
    <row r="219" spans="1:30" s="404" customFormat="1" ht="22.5" customHeight="1" thickBot="1">
      <c r="A219" s="808"/>
      <c r="B219" s="809"/>
      <c r="C219" s="479"/>
      <c r="D219" s="479"/>
      <c r="E219" s="481"/>
      <c r="F219" s="809"/>
      <c r="G219" s="1243" t="s">
        <v>1032</v>
      </c>
      <c r="H219" s="1244"/>
      <c r="I219" s="1244"/>
      <c r="J219" s="473">
        <f>+SUM(J218:J218)</f>
        <v>0</v>
      </c>
      <c r="K219" s="473">
        <f>+SUM(K218:K218)</f>
        <v>0</v>
      </c>
      <c r="O219" s="405"/>
      <c r="P219" s="474"/>
      <c r="Q219" s="475"/>
      <c r="R219" s="475"/>
      <c r="S219" s="476"/>
      <c r="T219" s="475"/>
      <c r="U219" s="475"/>
      <c r="V219" s="475"/>
      <c r="W219" s="475"/>
      <c r="X219" s="475"/>
      <c r="Y219" s="475"/>
      <c r="Z219" s="475"/>
      <c r="AA219" s="475"/>
      <c r="AB219" s="475"/>
      <c r="AC219" s="475"/>
      <c r="AD219" s="475"/>
    </row>
    <row r="220" spans="1:30" s="404" customFormat="1" ht="22.5" customHeight="1">
      <c r="A220" s="808"/>
      <c r="B220" s="809"/>
      <c r="C220" s="479"/>
      <c r="D220" s="479"/>
      <c r="E220" s="481"/>
      <c r="F220" s="809"/>
      <c r="G220" s="479"/>
      <c r="H220" s="810"/>
      <c r="I220" s="479"/>
      <c r="O220" s="405"/>
      <c r="P220" s="474"/>
      <c r="Q220" s="475"/>
      <c r="R220" s="475"/>
      <c r="S220" s="476"/>
      <c r="T220" s="475"/>
      <c r="U220" s="475"/>
      <c r="V220" s="475"/>
      <c r="W220" s="475"/>
      <c r="X220" s="475"/>
      <c r="Y220" s="475"/>
      <c r="Z220" s="475"/>
      <c r="AA220" s="475"/>
      <c r="AB220" s="475"/>
      <c r="AC220" s="475"/>
      <c r="AD220" s="475"/>
    </row>
    <row r="221" spans="1:30" s="404" customFormat="1" ht="22.5" customHeight="1" thickBot="1">
      <c r="A221" s="547" t="s">
        <v>670</v>
      </c>
      <c r="B221" s="469"/>
      <c r="C221" s="468"/>
      <c r="D221" s="470"/>
      <c r="E221" s="471"/>
      <c r="F221" s="472"/>
      <c r="O221" s="405"/>
      <c r="P221" s="474"/>
      <c r="Q221" s="475"/>
      <c r="R221" s="475"/>
      <c r="S221" s="476"/>
      <c r="T221" s="475"/>
      <c r="U221" s="475"/>
      <c r="V221" s="475"/>
      <c r="W221" s="475"/>
      <c r="X221" s="475"/>
      <c r="Y221" s="475"/>
      <c r="Z221" s="475"/>
      <c r="AA221" s="475"/>
      <c r="AB221" s="475"/>
      <c r="AC221" s="475"/>
      <c r="AD221" s="475"/>
    </row>
    <row r="222" spans="1:30" s="404" customFormat="1" ht="30">
      <c r="A222" s="791" t="s">
        <v>31</v>
      </c>
      <c r="B222" s="792" t="s">
        <v>33</v>
      </c>
      <c r="C222" s="792" t="s">
        <v>247</v>
      </c>
      <c r="D222" s="792" t="s">
        <v>248</v>
      </c>
      <c r="E222" s="537" t="s">
        <v>249</v>
      </c>
      <c r="F222" s="792" t="s">
        <v>250</v>
      </c>
      <c r="G222" s="792" t="s">
        <v>251</v>
      </c>
      <c r="H222" s="792" t="s">
        <v>36</v>
      </c>
      <c r="I222" s="792" t="s">
        <v>252</v>
      </c>
      <c r="J222" s="538" t="s">
        <v>253</v>
      </c>
      <c r="K222" s="451" t="s">
        <v>20</v>
      </c>
      <c r="O222" s="405"/>
      <c r="P222" s="474"/>
      <c r="Q222" s="475"/>
      <c r="R222" s="475"/>
      <c r="S222" s="476"/>
      <c r="T222" s="475"/>
      <c r="U222" s="475"/>
      <c r="V222" s="475"/>
      <c r="W222" s="475"/>
      <c r="X222" s="475"/>
      <c r="Y222" s="475"/>
      <c r="Z222" s="475"/>
      <c r="AA222" s="475"/>
      <c r="AB222" s="475"/>
      <c r="AC222" s="475"/>
      <c r="AD222" s="475"/>
    </row>
    <row r="223" spans="1:30" s="104" customFormat="1" ht="35.25" customHeight="1">
      <c r="A223" s="465" t="s">
        <v>1028</v>
      </c>
      <c r="B223" s="498" t="s">
        <v>563</v>
      </c>
      <c r="C223" s="466">
        <v>192</v>
      </c>
      <c r="D223" s="466" t="s">
        <v>1047</v>
      </c>
      <c r="E223" s="497">
        <v>56097888</v>
      </c>
      <c r="F223" s="498" t="s">
        <v>908</v>
      </c>
      <c r="G223" s="466">
        <v>74677</v>
      </c>
      <c r="H223" s="499" t="s">
        <v>817</v>
      </c>
      <c r="I223" s="466" t="s">
        <v>912</v>
      </c>
      <c r="J223" s="496">
        <v>6563530</v>
      </c>
      <c r="K223" s="467">
        <f>+J223*0.004</f>
        <v>26254.12</v>
      </c>
    </row>
    <row r="224" spans="1:30" s="404" customFormat="1" ht="22.5" customHeight="1" thickBot="1">
      <c r="A224" s="468"/>
      <c r="B224" s="469"/>
      <c r="C224" s="468"/>
      <c r="D224" s="470"/>
      <c r="E224" s="471"/>
      <c r="F224" s="472"/>
      <c r="G224" s="1243" t="s">
        <v>1032</v>
      </c>
      <c r="H224" s="1244"/>
      <c r="I224" s="1244"/>
      <c r="J224" s="473">
        <f>+SUM(J223:J223)</f>
        <v>6563530</v>
      </c>
      <c r="K224" s="473">
        <f>+SUM(K223:K223)</f>
        <v>26254.12</v>
      </c>
      <c r="O224" s="405"/>
      <c r="P224" s="474"/>
      <c r="Q224" s="475"/>
      <c r="R224" s="475"/>
      <c r="S224" s="476"/>
      <c r="T224" s="475"/>
      <c r="U224" s="475"/>
      <c r="V224" s="475"/>
      <c r="W224" s="475"/>
      <c r="X224" s="475"/>
      <c r="Y224" s="475"/>
      <c r="Z224" s="475"/>
      <c r="AA224" s="475"/>
      <c r="AB224" s="475"/>
      <c r="AC224" s="475"/>
      <c r="AD224" s="475"/>
    </row>
    <row r="225" spans="1:30" s="404" customFormat="1" ht="22.5" customHeight="1">
      <c r="A225" s="468"/>
      <c r="B225" s="469"/>
      <c r="C225" s="468"/>
      <c r="D225" s="470"/>
      <c r="E225" s="471"/>
      <c r="F225" s="472"/>
      <c r="G225" s="472"/>
      <c r="H225" s="472"/>
      <c r="I225" s="472"/>
      <c r="J225" s="903"/>
      <c r="K225" s="472"/>
      <c r="O225" s="405"/>
      <c r="P225" s="474"/>
      <c r="Q225" s="475"/>
      <c r="R225" s="475"/>
      <c r="S225" s="476"/>
      <c r="T225" s="475"/>
      <c r="U225" s="475"/>
      <c r="V225" s="475"/>
      <c r="W225" s="475"/>
      <c r="X225" s="475"/>
      <c r="Y225" s="475"/>
      <c r="Z225" s="475"/>
      <c r="AA225" s="475"/>
      <c r="AB225" s="475"/>
      <c r="AC225" s="475"/>
      <c r="AD225" s="475"/>
    </row>
    <row r="226" spans="1:30" s="404" customFormat="1" ht="22.5" customHeight="1">
      <c r="A226" s="468"/>
      <c r="B226" s="469"/>
      <c r="C226" s="468"/>
      <c r="D226" s="470"/>
      <c r="E226" s="471"/>
      <c r="F226" s="472"/>
      <c r="G226" s="472"/>
      <c r="H226" s="472"/>
      <c r="I226" s="472"/>
      <c r="J226" s="903"/>
      <c r="K226" s="472"/>
      <c r="O226" s="405"/>
      <c r="P226" s="474"/>
      <c r="Q226" s="475"/>
      <c r="R226" s="475"/>
      <c r="S226" s="476"/>
      <c r="T226" s="475"/>
      <c r="U226" s="475"/>
      <c r="V226" s="475"/>
      <c r="W226" s="475"/>
      <c r="X226" s="475"/>
      <c r="Y226" s="475"/>
      <c r="Z226" s="475"/>
      <c r="AA226" s="475"/>
      <c r="AB226" s="475"/>
      <c r="AC226" s="475"/>
      <c r="AD226" s="475"/>
    </row>
    <row r="227" spans="1:30" s="404" customFormat="1" ht="22.5" customHeight="1">
      <c r="A227" s="468"/>
      <c r="B227" s="469"/>
      <c r="C227" s="468"/>
      <c r="D227" s="470"/>
      <c r="E227" s="471"/>
      <c r="F227" s="472"/>
      <c r="G227" s="472"/>
      <c r="H227" s="472"/>
      <c r="I227" s="472"/>
      <c r="J227" s="472"/>
      <c r="K227" s="472"/>
      <c r="O227" s="405"/>
      <c r="P227" s="474"/>
      <c r="Q227" s="475"/>
      <c r="R227" s="475"/>
      <c r="S227" s="476"/>
      <c r="T227" s="475"/>
      <c r="U227" s="475"/>
      <c r="V227" s="475"/>
      <c r="W227" s="475"/>
      <c r="X227" s="475"/>
      <c r="Y227" s="475"/>
      <c r="Z227" s="475"/>
      <c r="AA227" s="475"/>
      <c r="AB227" s="475"/>
      <c r="AC227" s="475"/>
      <c r="AD227" s="475"/>
    </row>
    <row r="228" spans="1:30" s="408" customFormat="1" ht="15" thickBot="1">
      <c r="A228" s="492"/>
      <c r="B228" s="524"/>
      <c r="C228" s="493"/>
      <c r="D228" s="493"/>
      <c r="E228" s="525"/>
      <c r="G228" s="724"/>
      <c r="H228" s="724"/>
      <c r="L228" s="488"/>
      <c r="M228" s="488"/>
      <c r="P228" s="474"/>
    </row>
    <row r="229" spans="1:30" s="408" customFormat="1" ht="15" customHeight="1">
      <c r="A229" s="1084" t="s">
        <v>751</v>
      </c>
      <c r="B229" s="523"/>
      <c r="C229" s="526" t="s">
        <v>135</v>
      </c>
      <c r="D229" s="523"/>
      <c r="E229" s="523"/>
      <c r="G229" s="396" t="s">
        <v>517</v>
      </c>
      <c r="H229" s="487"/>
      <c r="I229" s="488"/>
      <c r="J229" s="488"/>
      <c r="K229" s="489"/>
      <c r="L229" s="488"/>
      <c r="M229" s="488"/>
    </row>
    <row r="230" spans="1:30" s="408" customFormat="1" ht="14.45" customHeight="1">
      <c r="A230" s="220" t="s">
        <v>752</v>
      </c>
      <c r="B230" s="134"/>
      <c r="C230" s="204" t="s">
        <v>145</v>
      </c>
      <c r="D230" s="134"/>
      <c r="E230" s="134"/>
      <c r="G230" s="126" t="s">
        <v>519</v>
      </c>
      <c r="H230" s="487"/>
      <c r="I230" s="488"/>
      <c r="J230" s="488"/>
      <c r="K230" s="489"/>
      <c r="L230" s="488"/>
      <c r="M230" s="488"/>
    </row>
    <row r="231" spans="1:30" s="408" customFormat="1" ht="15.75" customHeight="1">
      <c r="A231" s="220" t="s">
        <v>47</v>
      </c>
      <c r="B231" s="134"/>
      <c r="C231" s="220" t="s">
        <v>48</v>
      </c>
      <c r="D231" s="134"/>
      <c r="E231" s="134"/>
      <c r="G231" s="539" t="s">
        <v>48</v>
      </c>
      <c r="H231" s="406"/>
      <c r="I231" s="488"/>
      <c r="J231" s="488"/>
      <c r="K231" s="489"/>
      <c r="L231" s="488"/>
      <c r="M231" s="488"/>
    </row>
    <row r="232" spans="1:30" s="408" customFormat="1" ht="14.45" customHeight="1">
      <c r="A232" s="220" t="s">
        <v>753</v>
      </c>
      <c r="B232" s="134"/>
      <c r="C232" s="134"/>
      <c r="D232" s="134"/>
      <c r="E232" s="134"/>
      <c r="G232" s="128" t="s">
        <v>518</v>
      </c>
      <c r="H232" s="436"/>
      <c r="I232" s="488"/>
      <c r="J232" s="488"/>
      <c r="K232" s="489"/>
      <c r="L232" s="488"/>
      <c r="M232" s="488"/>
    </row>
    <row r="233" spans="1:30" s="408" customFormat="1" ht="18.75" customHeight="1">
      <c r="A233" s="403"/>
      <c r="B233" s="403"/>
      <c r="C233" s="403"/>
      <c r="D233" s="403"/>
      <c r="E233" s="403"/>
      <c r="G233" s="399"/>
      <c r="H233" s="436"/>
      <c r="I233" s="488"/>
      <c r="J233" s="488"/>
      <c r="K233" s="489"/>
      <c r="L233" s="488"/>
      <c r="M233" s="488"/>
    </row>
    <row r="234" spans="1:30" s="408" customFormat="1" ht="18.75" customHeight="1">
      <c r="A234" s="395"/>
      <c r="B234" s="395"/>
      <c r="C234" s="395"/>
      <c r="D234" s="395"/>
      <c r="E234" s="395"/>
      <c r="G234" s="399"/>
      <c r="H234" s="436"/>
      <c r="I234" s="488"/>
      <c r="J234" s="488"/>
      <c r="K234" s="488"/>
      <c r="L234" s="488"/>
      <c r="M234" s="488"/>
    </row>
    <row r="235" spans="1:30" s="408" customFormat="1" ht="18.75" customHeight="1">
      <c r="A235" s="395"/>
      <c r="B235" s="395"/>
      <c r="C235" s="395"/>
      <c r="D235" s="395"/>
      <c r="E235" s="395"/>
      <c r="G235" s="399"/>
      <c r="H235" s="436"/>
      <c r="I235" s="488"/>
      <c r="J235" s="488"/>
      <c r="K235" s="488"/>
      <c r="L235" s="488"/>
      <c r="M235" s="488"/>
    </row>
    <row r="236" spans="1:30" s="408" customFormat="1" ht="15">
      <c r="A236" s="494"/>
      <c r="B236" s="405"/>
      <c r="C236" s="495"/>
      <c r="D236" s="495"/>
      <c r="E236" s="404"/>
      <c r="G236" s="399"/>
      <c r="H236" s="436"/>
      <c r="I236" s="488"/>
      <c r="J236" s="488"/>
      <c r="K236" s="488"/>
      <c r="L236" s="488"/>
      <c r="M236" s="488"/>
    </row>
    <row r="237" spans="1:30" s="529" customFormat="1">
      <c r="A237" s="528"/>
      <c r="B237" s="528"/>
      <c r="C237" s="528"/>
      <c r="D237" s="528"/>
      <c r="E237" s="528"/>
      <c r="G237" s="530"/>
      <c r="H237" s="531"/>
      <c r="I237" s="532"/>
      <c r="J237" s="532"/>
      <c r="K237" s="532"/>
      <c r="L237" s="532"/>
      <c r="M237" s="532"/>
    </row>
    <row r="238" spans="1:30" s="529" customFormat="1" ht="15" customHeight="1">
      <c r="B238" s="135"/>
      <c r="C238" s="135"/>
      <c r="D238" s="533"/>
      <c r="E238" s="533"/>
      <c r="H238" s="333"/>
      <c r="I238" s="125"/>
      <c r="J238" s="533"/>
      <c r="K238" s="533"/>
      <c r="L238" s="533"/>
      <c r="M238" s="532"/>
    </row>
    <row r="239" spans="1:30" s="529" customFormat="1" ht="14.45" customHeight="1">
      <c r="B239" s="534"/>
      <c r="C239" s="534"/>
      <c r="D239" s="528"/>
      <c r="E239" s="528"/>
      <c r="H239" s="535"/>
      <c r="I239" s="535"/>
      <c r="J239" s="530"/>
      <c r="K239" s="530"/>
      <c r="L239" s="536"/>
      <c r="M239" s="536"/>
    </row>
    <row r="240" spans="1:30" s="408" customFormat="1" ht="14.45" customHeight="1">
      <c r="B240" s="126"/>
      <c r="C240" s="126"/>
      <c r="D240" s="403"/>
      <c r="E240" s="403"/>
      <c r="H240" s="527"/>
      <c r="I240" s="527"/>
      <c r="J240" s="405"/>
      <c r="K240" s="405"/>
      <c r="L240" s="488"/>
      <c r="M240" s="488"/>
    </row>
    <row r="241" spans="1:30" s="406" customFormat="1" ht="15">
      <c r="A241" s="405"/>
      <c r="B241" s="405"/>
      <c r="C241" s="470"/>
      <c r="D241" s="490"/>
      <c r="E241" s="404"/>
      <c r="F241" s="403"/>
      <c r="H241" s="334"/>
      <c r="I241" s="128"/>
      <c r="N241" s="407"/>
      <c r="O241" s="408"/>
      <c r="P241" s="408"/>
      <c r="Q241" s="408"/>
      <c r="R241" s="408"/>
      <c r="S241" s="408"/>
      <c r="T241" s="408"/>
      <c r="U241" s="408"/>
      <c r="V241" s="408"/>
      <c r="W241" s="408"/>
      <c r="X241" s="408"/>
      <c r="Y241" s="408"/>
      <c r="Z241" s="408"/>
      <c r="AA241" s="408"/>
      <c r="AB241" s="408"/>
      <c r="AC241" s="408"/>
      <c r="AD241" s="408"/>
    </row>
    <row r="242" spans="1:30" s="406" customFormat="1">
      <c r="A242" s="405"/>
      <c r="B242" s="405"/>
      <c r="C242" s="470"/>
      <c r="D242" s="490"/>
      <c r="E242" s="404"/>
      <c r="F242" s="403"/>
      <c r="G242" s="404"/>
      <c r="H242" s="405"/>
      <c r="N242" s="407"/>
      <c r="O242" s="408"/>
      <c r="P242" s="408"/>
      <c r="Q242" s="408"/>
      <c r="R242" s="408"/>
      <c r="S242" s="408"/>
      <c r="T242" s="408"/>
      <c r="U242" s="408"/>
      <c r="V242" s="408"/>
      <c r="W242" s="408"/>
      <c r="X242" s="408"/>
      <c r="Y242" s="408"/>
      <c r="Z242" s="408"/>
      <c r="AA242" s="408"/>
      <c r="AB242" s="408"/>
      <c r="AC242" s="408"/>
      <c r="AD242" s="408"/>
    </row>
    <row r="243" spans="1:30" s="406" customFormat="1">
      <c r="A243" s="405"/>
      <c r="B243" s="405"/>
      <c r="C243" s="470"/>
      <c r="D243" s="490"/>
      <c r="E243" s="404"/>
      <c r="F243" s="403"/>
      <c r="G243" s="404"/>
      <c r="H243" s="405"/>
      <c r="N243" s="407"/>
      <c r="O243" s="408"/>
      <c r="P243" s="408"/>
      <c r="Q243" s="408"/>
      <c r="R243" s="408"/>
      <c r="S243" s="408"/>
      <c r="T243" s="408"/>
      <c r="U243" s="408"/>
      <c r="V243" s="408"/>
      <c r="W243" s="408"/>
      <c r="X243" s="408"/>
      <c r="Y243" s="408"/>
      <c r="Z243" s="408"/>
      <c r="AA243" s="408"/>
      <c r="AB243" s="408"/>
      <c r="AC243" s="408"/>
      <c r="AD243" s="408"/>
    </row>
    <row r="244" spans="1:30" s="406" customFormat="1">
      <c r="A244" s="405"/>
      <c r="B244" s="405"/>
      <c r="C244" s="470"/>
      <c r="D244" s="490"/>
      <c r="E244" s="404"/>
      <c r="F244" s="403"/>
      <c r="G244" s="404"/>
      <c r="H244" s="405"/>
      <c r="N244" s="407"/>
      <c r="O244" s="408"/>
      <c r="P244" s="408"/>
      <c r="Q244" s="408"/>
      <c r="R244" s="408"/>
      <c r="S244" s="408"/>
      <c r="T244" s="408"/>
      <c r="U244" s="408"/>
      <c r="V244" s="408"/>
      <c r="W244" s="408"/>
      <c r="X244" s="408"/>
      <c r="Y244" s="408"/>
      <c r="Z244" s="408"/>
      <c r="AA244" s="408"/>
      <c r="AB244" s="408"/>
      <c r="AC244" s="408"/>
      <c r="AD244" s="408"/>
    </row>
    <row r="245" spans="1:30" s="406" customFormat="1">
      <c r="A245" s="405"/>
      <c r="B245" s="405"/>
      <c r="C245" s="470"/>
      <c r="D245" s="490"/>
      <c r="E245" s="404"/>
      <c r="F245" s="403"/>
      <c r="G245" s="404"/>
      <c r="H245" s="405"/>
      <c r="N245" s="407"/>
      <c r="O245" s="408"/>
      <c r="P245" s="408"/>
      <c r="Q245" s="408"/>
      <c r="R245" s="408"/>
      <c r="S245" s="408"/>
      <c r="T245" s="408"/>
      <c r="U245" s="408"/>
      <c r="V245" s="408"/>
      <c r="W245" s="408"/>
      <c r="X245" s="408"/>
      <c r="Y245" s="408"/>
      <c r="Z245" s="408"/>
      <c r="AA245" s="408"/>
      <c r="AB245" s="408"/>
      <c r="AC245" s="408"/>
      <c r="AD245" s="408"/>
    </row>
    <row r="246" spans="1:30" s="406" customFormat="1">
      <c r="A246" s="405"/>
      <c r="B246" s="405"/>
      <c r="C246" s="470"/>
      <c r="D246" s="490"/>
      <c r="E246" s="404"/>
      <c r="F246" s="403"/>
      <c r="G246" s="404"/>
      <c r="H246" s="405"/>
      <c r="N246" s="407"/>
      <c r="O246" s="408"/>
      <c r="P246" s="408"/>
      <c r="Q246" s="408"/>
      <c r="R246" s="408"/>
      <c r="S246" s="408"/>
      <c r="T246" s="408"/>
      <c r="U246" s="408"/>
      <c r="V246" s="408"/>
      <c r="W246" s="408"/>
      <c r="X246" s="408"/>
      <c r="Y246" s="408"/>
      <c r="Z246" s="408"/>
      <c r="AA246" s="408"/>
      <c r="AB246" s="408"/>
      <c r="AC246" s="408"/>
      <c r="AD246" s="408"/>
    </row>
    <row r="247" spans="1:30" s="406" customFormat="1">
      <c r="A247" s="405"/>
      <c r="B247" s="405"/>
      <c r="C247" s="470"/>
      <c r="D247" s="490"/>
      <c r="E247" s="404"/>
      <c r="F247" s="403"/>
      <c r="G247" s="404"/>
      <c r="H247" s="405"/>
      <c r="N247" s="407"/>
      <c r="O247" s="408"/>
      <c r="P247" s="408"/>
      <c r="Q247" s="408"/>
      <c r="R247" s="408"/>
      <c r="S247" s="408"/>
      <c r="T247" s="408"/>
      <c r="U247" s="408"/>
      <c r="V247" s="408"/>
      <c r="W247" s="408"/>
      <c r="X247" s="408"/>
      <c r="Y247" s="408"/>
      <c r="Z247" s="408"/>
      <c r="AA247" s="408"/>
      <c r="AB247" s="408"/>
      <c r="AC247" s="408"/>
      <c r="AD247" s="408"/>
    </row>
    <row r="248" spans="1:30" s="406" customFormat="1">
      <c r="A248" s="405"/>
      <c r="B248" s="405"/>
      <c r="C248" s="470"/>
      <c r="D248" s="490"/>
      <c r="E248" s="404"/>
      <c r="F248" s="403"/>
      <c r="G248" s="404"/>
      <c r="H248" s="405"/>
      <c r="N248" s="407"/>
      <c r="O248" s="408"/>
      <c r="P248" s="408"/>
      <c r="Q248" s="408"/>
      <c r="R248" s="408"/>
      <c r="S248" s="408"/>
      <c r="T248" s="408"/>
      <c r="U248" s="408"/>
      <c r="V248" s="408"/>
      <c r="W248" s="408"/>
      <c r="X248" s="408"/>
      <c r="Y248" s="408"/>
      <c r="Z248" s="408"/>
      <c r="AA248" s="408"/>
      <c r="AB248" s="408"/>
      <c r="AC248" s="408"/>
      <c r="AD248" s="408"/>
    </row>
    <row r="249" spans="1:30" s="406" customFormat="1">
      <c r="A249" s="405"/>
      <c r="B249" s="405"/>
      <c r="C249" s="470"/>
      <c r="D249" s="490"/>
      <c r="E249" s="404"/>
      <c r="F249" s="403"/>
      <c r="G249" s="404"/>
      <c r="H249" s="405"/>
      <c r="N249" s="407"/>
      <c r="O249" s="408"/>
      <c r="P249" s="408"/>
      <c r="Q249" s="408"/>
      <c r="R249" s="408"/>
      <c r="S249" s="408"/>
      <c r="T249" s="408"/>
      <c r="U249" s="408"/>
      <c r="V249" s="408"/>
      <c r="W249" s="408"/>
      <c r="X249" s="408"/>
      <c r="Y249" s="408"/>
      <c r="Z249" s="408"/>
      <c r="AA249" s="408"/>
      <c r="AB249" s="408"/>
      <c r="AC249" s="408"/>
      <c r="AD249" s="408"/>
    </row>
    <row r="250" spans="1:30" s="406" customFormat="1">
      <c r="A250" s="405"/>
      <c r="B250" s="405"/>
      <c r="C250" s="470"/>
      <c r="D250" s="490"/>
      <c r="E250" s="404"/>
      <c r="F250" s="403"/>
      <c r="G250" s="404"/>
      <c r="H250" s="405"/>
      <c r="N250" s="407"/>
      <c r="O250" s="408"/>
      <c r="P250" s="408"/>
      <c r="Q250" s="408"/>
      <c r="R250" s="408"/>
      <c r="S250" s="408"/>
      <c r="T250" s="408"/>
      <c r="U250" s="408"/>
      <c r="V250" s="408"/>
      <c r="W250" s="408"/>
      <c r="X250" s="408"/>
      <c r="Y250" s="408"/>
      <c r="Z250" s="408"/>
      <c r="AA250" s="408"/>
      <c r="AB250" s="408"/>
      <c r="AC250" s="408"/>
      <c r="AD250" s="408"/>
    </row>
    <row r="251" spans="1:30" s="406" customFormat="1">
      <c r="A251" s="405"/>
      <c r="B251" s="405"/>
      <c r="C251" s="470"/>
      <c r="D251" s="490"/>
      <c r="E251" s="404"/>
      <c r="F251" s="403"/>
      <c r="G251" s="404"/>
      <c r="H251" s="405"/>
      <c r="N251" s="407"/>
      <c r="O251" s="408"/>
      <c r="P251" s="408"/>
      <c r="Q251" s="408"/>
      <c r="R251" s="408"/>
      <c r="S251" s="408"/>
      <c r="T251" s="408"/>
      <c r="U251" s="408"/>
      <c r="V251" s="408"/>
      <c r="W251" s="408"/>
      <c r="X251" s="408"/>
      <c r="Y251" s="408"/>
      <c r="Z251" s="408"/>
      <c r="AA251" s="408"/>
      <c r="AB251" s="408"/>
      <c r="AC251" s="408"/>
      <c r="AD251" s="408"/>
    </row>
    <row r="252" spans="1:30" s="406" customFormat="1">
      <c r="A252" s="405"/>
      <c r="B252" s="405"/>
      <c r="C252" s="470"/>
      <c r="D252" s="490"/>
      <c r="E252" s="404"/>
      <c r="F252" s="403"/>
      <c r="G252" s="404"/>
      <c r="H252" s="405"/>
      <c r="N252" s="407"/>
      <c r="O252" s="408"/>
      <c r="P252" s="408"/>
      <c r="Q252" s="408"/>
      <c r="R252" s="408"/>
      <c r="S252" s="408"/>
      <c r="T252" s="408"/>
      <c r="U252" s="408"/>
      <c r="V252" s="408"/>
      <c r="W252" s="408"/>
      <c r="X252" s="408"/>
      <c r="Y252" s="408"/>
      <c r="Z252" s="408"/>
      <c r="AA252" s="408"/>
      <c r="AB252" s="408"/>
      <c r="AC252" s="408"/>
      <c r="AD252" s="408"/>
    </row>
    <row r="253" spans="1:30" s="406" customFormat="1">
      <c r="A253" s="405"/>
      <c r="B253" s="405"/>
      <c r="C253" s="470"/>
      <c r="D253" s="490"/>
      <c r="E253" s="404"/>
      <c r="F253" s="403"/>
      <c r="G253" s="404"/>
      <c r="H253" s="405"/>
      <c r="N253" s="407"/>
      <c r="O253" s="408"/>
      <c r="P253" s="408"/>
      <c r="Q253" s="408"/>
      <c r="R253" s="408"/>
      <c r="S253" s="408"/>
      <c r="T253" s="408"/>
      <c r="U253" s="408"/>
      <c r="V253" s="408"/>
      <c r="W253" s="408"/>
      <c r="X253" s="408"/>
      <c r="Y253" s="408"/>
      <c r="Z253" s="408"/>
      <c r="AA253" s="408"/>
      <c r="AB253" s="408"/>
      <c r="AC253" s="408"/>
      <c r="AD253" s="408"/>
    </row>
    <row r="254" spans="1:30" s="406" customFormat="1">
      <c r="A254" s="405"/>
      <c r="B254" s="405"/>
      <c r="C254" s="470"/>
      <c r="D254" s="490"/>
      <c r="E254" s="404"/>
      <c r="F254" s="403"/>
      <c r="G254" s="404"/>
      <c r="H254" s="405"/>
      <c r="N254" s="407"/>
      <c r="O254" s="408"/>
      <c r="P254" s="408"/>
      <c r="Q254" s="408"/>
      <c r="R254" s="408"/>
      <c r="S254" s="408"/>
      <c r="T254" s="408"/>
      <c r="U254" s="408"/>
      <c r="V254" s="408"/>
      <c r="W254" s="408"/>
      <c r="X254" s="408"/>
      <c r="Y254" s="408"/>
      <c r="Z254" s="408"/>
      <c r="AA254" s="408"/>
      <c r="AB254" s="408"/>
      <c r="AC254" s="408"/>
      <c r="AD254" s="408"/>
    </row>
    <row r="255" spans="1:30" s="406" customFormat="1">
      <c r="A255" s="405"/>
      <c r="B255" s="405"/>
      <c r="C255" s="470"/>
      <c r="D255" s="490"/>
      <c r="E255" s="404"/>
      <c r="F255" s="403"/>
      <c r="G255" s="404"/>
      <c r="H255" s="405"/>
      <c r="N255" s="407"/>
      <c r="O255" s="408"/>
      <c r="P255" s="408"/>
      <c r="Q255" s="408"/>
      <c r="R255" s="408"/>
      <c r="S255" s="408"/>
      <c r="T255" s="408"/>
      <c r="U255" s="408"/>
      <c r="V255" s="408"/>
      <c r="W255" s="408"/>
      <c r="X255" s="408"/>
      <c r="Y255" s="408"/>
      <c r="Z255" s="408"/>
      <c r="AA255" s="408"/>
      <c r="AB255" s="408"/>
      <c r="AC255" s="408"/>
      <c r="AD255" s="408"/>
    </row>
    <row r="256" spans="1:30" ht="89.25" customHeight="1">
      <c r="C256" s="470"/>
      <c r="D256" s="490"/>
      <c r="F256" s="403"/>
      <c r="G256" s="404"/>
      <c r="I256" s="406"/>
      <c r="J256" s="406"/>
      <c r="K256" s="406"/>
      <c r="L256" s="406"/>
      <c r="M256" s="406"/>
      <c r="N256" s="407"/>
      <c r="O256" s="408"/>
      <c r="P256" s="408"/>
      <c r="Q256" s="408"/>
      <c r="R256" s="408"/>
      <c r="S256" s="408"/>
      <c r="T256" s="408"/>
      <c r="U256" s="408"/>
      <c r="V256" s="408"/>
      <c r="W256" s="408"/>
      <c r="X256" s="408"/>
      <c r="Y256" s="408"/>
      <c r="Z256" s="408"/>
      <c r="AA256" s="408"/>
      <c r="AB256" s="408"/>
      <c r="AC256" s="408"/>
      <c r="AD256" s="408"/>
    </row>
    <row r="257" spans="3:30" ht="89.25" customHeight="1">
      <c r="C257" s="470"/>
      <c r="D257" s="490"/>
      <c r="F257" s="403"/>
      <c r="G257" s="404"/>
      <c r="I257" s="406"/>
      <c r="J257" s="406"/>
      <c r="K257" s="406"/>
      <c r="L257" s="406"/>
      <c r="M257" s="406"/>
      <c r="N257" s="407"/>
      <c r="O257" s="408"/>
      <c r="P257" s="408"/>
      <c r="Q257" s="408"/>
      <c r="R257" s="408"/>
      <c r="S257" s="408"/>
      <c r="T257" s="408"/>
      <c r="U257" s="408"/>
      <c r="V257" s="408"/>
      <c r="W257" s="408"/>
      <c r="X257" s="408"/>
      <c r="Y257" s="408"/>
      <c r="Z257" s="408"/>
      <c r="AA257" s="408"/>
      <c r="AB257" s="408"/>
      <c r="AC257" s="408"/>
      <c r="AD257" s="408"/>
    </row>
    <row r="258" spans="3:30" ht="89.25" customHeight="1">
      <c r="C258" s="470"/>
      <c r="D258" s="490"/>
      <c r="F258" s="403"/>
      <c r="G258" s="404"/>
      <c r="I258" s="406"/>
      <c r="J258" s="406"/>
      <c r="K258" s="406"/>
      <c r="L258" s="406"/>
      <c r="M258" s="406"/>
      <c r="N258" s="407"/>
      <c r="O258" s="408"/>
      <c r="P258" s="408"/>
      <c r="Q258" s="408"/>
      <c r="R258" s="408"/>
      <c r="S258" s="408"/>
      <c r="T258" s="408"/>
      <c r="U258" s="408"/>
      <c r="V258" s="408"/>
      <c r="W258" s="408"/>
      <c r="X258" s="408"/>
      <c r="Y258" s="408"/>
      <c r="Z258" s="408"/>
      <c r="AA258" s="408"/>
      <c r="AB258" s="408"/>
      <c r="AC258" s="408"/>
      <c r="AD258" s="408"/>
    </row>
    <row r="259" spans="3:30" ht="89.25" customHeight="1">
      <c r="C259" s="470"/>
      <c r="D259" s="490"/>
      <c r="F259" s="403"/>
      <c r="G259" s="404"/>
      <c r="I259" s="406"/>
      <c r="J259" s="406"/>
      <c r="K259" s="406"/>
      <c r="L259" s="406"/>
      <c r="M259" s="406"/>
      <c r="N259" s="407"/>
      <c r="O259" s="408"/>
      <c r="P259" s="408"/>
      <c r="Q259" s="408"/>
      <c r="R259" s="408"/>
      <c r="S259" s="408"/>
      <c r="T259" s="408"/>
      <c r="U259" s="408"/>
      <c r="V259" s="408"/>
      <c r="W259" s="408"/>
      <c r="X259" s="408"/>
      <c r="Y259" s="408"/>
      <c r="Z259" s="408"/>
      <c r="AA259" s="408"/>
      <c r="AB259" s="408"/>
      <c r="AC259" s="408"/>
      <c r="AD259" s="408"/>
    </row>
    <row r="260" spans="3:30" ht="89.25" customHeight="1">
      <c r="C260" s="470"/>
      <c r="D260" s="490"/>
      <c r="F260" s="403"/>
      <c r="G260" s="404"/>
      <c r="I260" s="406"/>
      <c r="J260" s="406"/>
      <c r="K260" s="406"/>
      <c r="L260" s="406"/>
      <c r="M260" s="406"/>
      <c r="N260" s="407"/>
      <c r="O260" s="408"/>
      <c r="P260" s="408"/>
      <c r="Q260" s="408"/>
      <c r="R260" s="408"/>
      <c r="S260" s="408"/>
      <c r="T260" s="408"/>
      <c r="U260" s="408"/>
      <c r="V260" s="408"/>
      <c r="W260" s="408"/>
      <c r="X260" s="408"/>
      <c r="Y260" s="408"/>
      <c r="Z260" s="408"/>
      <c r="AA260" s="408"/>
      <c r="AB260" s="408"/>
      <c r="AC260" s="408"/>
      <c r="AD260" s="408"/>
    </row>
    <row r="261" spans="3:30" ht="89.25" customHeight="1">
      <c r="C261" s="470"/>
      <c r="D261" s="490"/>
      <c r="F261" s="403"/>
      <c r="G261" s="404"/>
      <c r="I261" s="406"/>
      <c r="J261" s="406"/>
      <c r="K261" s="406"/>
      <c r="L261" s="406"/>
      <c r="M261" s="406"/>
      <c r="N261" s="407"/>
      <c r="O261" s="408"/>
      <c r="P261" s="408"/>
      <c r="Q261" s="408"/>
      <c r="R261" s="408"/>
      <c r="S261" s="408"/>
      <c r="T261" s="408"/>
      <c r="U261" s="408"/>
      <c r="V261" s="408"/>
      <c r="W261" s="408"/>
      <c r="X261" s="408"/>
      <c r="Y261" s="408"/>
      <c r="Z261" s="408"/>
      <c r="AA261" s="408"/>
      <c r="AB261" s="408"/>
      <c r="AC261" s="408"/>
      <c r="AD261" s="408"/>
    </row>
    <row r="262" spans="3:30" ht="89.25" customHeight="1">
      <c r="C262" s="470"/>
      <c r="D262" s="490"/>
      <c r="F262" s="403"/>
      <c r="G262" s="404"/>
      <c r="I262" s="406"/>
      <c r="J262" s="406"/>
      <c r="K262" s="406"/>
      <c r="L262" s="406"/>
      <c r="M262" s="406"/>
      <c r="N262" s="407"/>
      <c r="O262" s="408"/>
      <c r="P262" s="408"/>
      <c r="Q262" s="408"/>
      <c r="R262" s="408"/>
      <c r="S262" s="408"/>
      <c r="T262" s="408"/>
      <c r="U262" s="408"/>
      <c r="V262" s="408"/>
      <c r="W262" s="408"/>
      <c r="X262" s="408"/>
      <c r="Y262" s="408"/>
      <c r="Z262" s="408"/>
      <c r="AA262" s="408"/>
      <c r="AB262" s="408"/>
      <c r="AC262" s="408"/>
      <c r="AD262" s="408"/>
    </row>
    <row r="263" spans="3:30" ht="89.25" customHeight="1">
      <c r="C263" s="470"/>
      <c r="D263" s="490"/>
      <c r="F263" s="403"/>
      <c r="G263" s="404"/>
      <c r="I263" s="406"/>
      <c r="J263" s="406"/>
      <c r="K263" s="406"/>
      <c r="L263" s="406"/>
      <c r="M263" s="406"/>
      <c r="N263" s="407"/>
      <c r="O263" s="408"/>
      <c r="P263" s="408"/>
      <c r="Q263" s="408"/>
      <c r="R263" s="408"/>
      <c r="S263" s="408"/>
      <c r="T263" s="408"/>
      <c r="U263" s="408"/>
      <c r="V263" s="408"/>
      <c r="W263" s="408"/>
      <c r="X263" s="408"/>
      <c r="Y263" s="408"/>
      <c r="Z263" s="408"/>
      <c r="AA263" s="408"/>
      <c r="AB263" s="408"/>
      <c r="AC263" s="408"/>
      <c r="AD263" s="408"/>
    </row>
    <row r="264" spans="3:30" ht="89.25" customHeight="1">
      <c r="C264" s="470"/>
      <c r="D264" s="490"/>
      <c r="F264" s="403"/>
      <c r="G264" s="404"/>
      <c r="I264" s="406"/>
      <c r="J264" s="406"/>
      <c r="K264" s="406"/>
      <c r="L264" s="406"/>
      <c r="M264" s="406"/>
      <c r="N264" s="407"/>
      <c r="O264" s="408"/>
      <c r="P264" s="408"/>
      <c r="Q264" s="408"/>
      <c r="R264" s="408"/>
      <c r="S264" s="408"/>
      <c r="T264" s="408"/>
      <c r="U264" s="408"/>
      <c r="V264" s="408"/>
      <c r="W264" s="408"/>
      <c r="X264" s="408"/>
      <c r="Y264" s="408"/>
      <c r="Z264" s="408"/>
      <c r="AA264" s="408"/>
      <c r="AB264" s="408"/>
      <c r="AC264" s="408"/>
      <c r="AD264" s="408"/>
    </row>
    <row r="265" spans="3:30" ht="89.25" customHeight="1">
      <c r="C265" s="470"/>
      <c r="D265" s="490"/>
      <c r="F265" s="403"/>
      <c r="G265" s="404"/>
      <c r="I265" s="406"/>
      <c r="J265" s="406"/>
      <c r="K265" s="406"/>
      <c r="L265" s="406"/>
      <c r="M265" s="406"/>
      <c r="N265" s="407"/>
      <c r="O265" s="408"/>
      <c r="P265" s="408"/>
      <c r="Q265" s="408"/>
      <c r="R265" s="408"/>
      <c r="S265" s="408"/>
      <c r="T265" s="408"/>
      <c r="U265" s="408"/>
      <c r="V265" s="408"/>
      <c r="W265" s="408"/>
      <c r="X265" s="408"/>
      <c r="Y265" s="408"/>
      <c r="Z265" s="408"/>
      <c r="AA265" s="408"/>
      <c r="AB265" s="408"/>
      <c r="AC265" s="408"/>
      <c r="AD265" s="408"/>
    </row>
    <row r="266" spans="3:30" ht="89.25" customHeight="1">
      <c r="C266" s="470"/>
      <c r="D266" s="490"/>
      <c r="F266" s="403"/>
      <c r="G266" s="404"/>
      <c r="I266" s="406"/>
      <c r="J266" s="406"/>
      <c r="K266" s="406"/>
      <c r="L266" s="406"/>
      <c r="M266" s="406"/>
      <c r="N266" s="407"/>
      <c r="O266" s="408"/>
      <c r="P266" s="408"/>
      <c r="Q266" s="408"/>
      <c r="R266" s="408"/>
      <c r="S266" s="408"/>
      <c r="T266" s="408"/>
      <c r="U266" s="408"/>
      <c r="V266" s="408"/>
      <c r="W266" s="408"/>
      <c r="X266" s="408"/>
      <c r="Y266" s="408"/>
      <c r="Z266" s="408"/>
      <c r="AA266" s="408"/>
      <c r="AB266" s="408"/>
      <c r="AC266" s="408"/>
      <c r="AD266" s="408"/>
    </row>
    <row r="267" spans="3:30" ht="89.25" customHeight="1">
      <c r="C267" s="470"/>
      <c r="D267" s="490"/>
      <c r="F267" s="403"/>
      <c r="G267" s="404"/>
      <c r="I267" s="406"/>
      <c r="J267" s="406"/>
      <c r="K267" s="406"/>
      <c r="L267" s="406"/>
      <c r="M267" s="406"/>
      <c r="N267" s="407"/>
      <c r="O267" s="408"/>
      <c r="P267" s="408"/>
      <c r="Q267" s="408"/>
      <c r="R267" s="408"/>
      <c r="S267" s="408"/>
      <c r="T267" s="408"/>
      <c r="U267" s="408"/>
      <c r="V267" s="408"/>
      <c r="W267" s="408"/>
      <c r="X267" s="408"/>
      <c r="Y267" s="408"/>
      <c r="Z267" s="408"/>
      <c r="AA267" s="408"/>
      <c r="AB267" s="408"/>
      <c r="AC267" s="408"/>
      <c r="AD267" s="408"/>
    </row>
    <row r="268" spans="3:30" ht="89.25" customHeight="1">
      <c r="C268" s="470"/>
      <c r="D268" s="490"/>
      <c r="F268" s="403"/>
      <c r="G268" s="404"/>
      <c r="I268" s="406"/>
      <c r="J268" s="406"/>
      <c r="K268" s="406"/>
      <c r="L268" s="406"/>
      <c r="M268" s="406"/>
      <c r="N268" s="407"/>
      <c r="O268" s="408"/>
      <c r="P268" s="408"/>
      <c r="Q268" s="408"/>
      <c r="R268" s="408"/>
      <c r="S268" s="408"/>
      <c r="T268" s="408"/>
      <c r="U268" s="408"/>
      <c r="V268" s="408"/>
      <c r="W268" s="408"/>
      <c r="X268" s="408"/>
      <c r="Y268" s="408"/>
      <c r="Z268" s="408"/>
      <c r="AA268" s="408"/>
      <c r="AB268" s="408"/>
      <c r="AC268" s="408"/>
      <c r="AD268" s="408"/>
    </row>
    <row r="269" spans="3:30" ht="89.25" customHeight="1">
      <c r="C269" s="470"/>
      <c r="D269" s="490"/>
      <c r="F269" s="403"/>
      <c r="G269" s="404"/>
      <c r="I269" s="406"/>
      <c r="J269" s="406"/>
      <c r="K269" s="406"/>
      <c r="L269" s="406"/>
      <c r="M269" s="406"/>
      <c r="N269" s="407"/>
      <c r="O269" s="408"/>
      <c r="P269" s="408"/>
      <c r="Q269" s="408"/>
      <c r="R269" s="408"/>
      <c r="S269" s="408"/>
      <c r="T269" s="408"/>
      <c r="U269" s="408"/>
      <c r="V269" s="408"/>
      <c r="W269" s="408"/>
      <c r="X269" s="408"/>
      <c r="Y269" s="408"/>
      <c r="Z269" s="408"/>
      <c r="AA269" s="408"/>
      <c r="AB269" s="408"/>
      <c r="AC269" s="408"/>
      <c r="AD269" s="408"/>
    </row>
    <row r="270" spans="3:30" ht="89.25" customHeight="1">
      <c r="C270" s="470"/>
      <c r="D270" s="490"/>
      <c r="F270" s="403"/>
      <c r="G270" s="404"/>
      <c r="I270" s="406"/>
      <c r="J270" s="406"/>
      <c r="K270" s="406"/>
      <c r="L270" s="406"/>
      <c r="M270" s="406"/>
      <c r="N270" s="407"/>
      <c r="O270" s="408"/>
      <c r="P270" s="408"/>
      <c r="Q270" s="408"/>
      <c r="R270" s="408"/>
      <c r="S270" s="408"/>
      <c r="T270" s="408"/>
      <c r="U270" s="408"/>
      <c r="V270" s="408"/>
      <c r="W270" s="408"/>
      <c r="X270" s="408"/>
      <c r="Y270" s="408"/>
      <c r="Z270" s="408"/>
      <c r="AA270" s="408"/>
      <c r="AB270" s="408"/>
      <c r="AC270" s="408"/>
      <c r="AD270" s="408"/>
    </row>
  </sheetData>
  <mergeCells count="37">
    <mergeCell ref="G213:I213"/>
    <mergeCell ref="G224:I224"/>
    <mergeCell ref="G199:I199"/>
    <mergeCell ref="G182:I182"/>
    <mergeCell ref="G158:I158"/>
    <mergeCell ref="G164:I164"/>
    <mergeCell ref="G193:I193"/>
    <mergeCell ref="G170:I170"/>
    <mergeCell ref="G205:I205"/>
    <mergeCell ref="G219:I219"/>
    <mergeCell ref="A1:O1"/>
    <mergeCell ref="A3:A4"/>
    <mergeCell ref="B3:B4"/>
    <mergeCell ref="C3:C4"/>
    <mergeCell ref="D3:D4"/>
    <mergeCell ref="A34:A35"/>
    <mergeCell ref="B34:D34"/>
    <mergeCell ref="J3:L3"/>
    <mergeCell ref="E3:E4"/>
    <mergeCell ref="F3:F4"/>
    <mergeCell ref="G146:I146"/>
    <mergeCell ref="G152:I152"/>
    <mergeCell ref="G176:I176"/>
    <mergeCell ref="G140:I140"/>
    <mergeCell ref="G134:I134"/>
    <mergeCell ref="G122:I122"/>
    <mergeCell ref="G128:I128"/>
    <mergeCell ref="G98:I98"/>
    <mergeCell ref="G117:I117"/>
    <mergeCell ref="G109:I109"/>
    <mergeCell ref="S3:T3"/>
    <mergeCell ref="G103:I103"/>
    <mergeCell ref="G3:I3"/>
    <mergeCell ref="E34:G34"/>
    <mergeCell ref="H34:J34"/>
    <mergeCell ref="G93:I93"/>
    <mergeCell ref="M3:O3"/>
  </mergeCells>
  <phoneticPr fontId="20" type="noConversion"/>
  <printOptions horizontalCentered="1" verticalCentered="1"/>
  <pageMargins left="1.8110236220472442" right="0.70866141732283472" top="0.74803149606299213" bottom="0.74803149606299213" header="0" footer="0"/>
  <pageSetup paperSize="9" scale="30" fitToHeight="0" orientation="landscape" horizontalDpi="4294967293" r:id="rId1"/>
  <rowBreaks count="3" manualBreakCount="3">
    <brk id="78" max="14" man="1"/>
    <brk id="141" max="14" man="1"/>
    <brk id="200" max="14" man="1"/>
  </rowBreaks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3">
    <tabColor rgb="FF00B0F0"/>
  </sheetPr>
  <dimension ref="A1:J139"/>
  <sheetViews>
    <sheetView showGridLines="0" topLeftCell="A43" zoomScaleNormal="100" workbookViewId="0">
      <selection activeCell="F49" sqref="F49"/>
    </sheetView>
  </sheetViews>
  <sheetFormatPr baseColWidth="10" defaultRowHeight="12.75"/>
  <cols>
    <col min="1" max="1" width="6" style="40" customWidth="1"/>
    <col min="2" max="2" width="23.7109375" style="40" customWidth="1"/>
    <col min="3" max="5" width="23.7109375" style="30" customWidth="1"/>
    <col min="6" max="6" width="65.140625" style="40" customWidth="1"/>
    <col min="7" max="7" width="18" style="40" bestFit="1" customWidth="1"/>
    <col min="8" max="8" width="16.28515625" style="40" bestFit="1" customWidth="1"/>
    <col min="9" max="9" width="17.5703125" style="40" bestFit="1" customWidth="1"/>
    <col min="10" max="10" width="12.85546875" style="40" bestFit="1" customWidth="1"/>
    <col min="11" max="11" width="11.5703125" style="40" bestFit="1" customWidth="1"/>
    <col min="12" max="16384" width="11.42578125" style="40"/>
  </cols>
  <sheetData>
    <row r="1" spans="1:6" s="32" customFormat="1" ht="27" customHeight="1">
      <c r="A1" s="1268" t="s">
        <v>70</v>
      </c>
      <c r="B1" s="1268"/>
      <c r="C1" s="1268"/>
      <c r="D1" s="31"/>
      <c r="E1" s="31"/>
    </row>
    <row r="2" spans="1:6" s="32" customFormat="1" ht="13.5" customHeight="1">
      <c r="C2" s="31"/>
      <c r="D2" s="31"/>
      <c r="E2" s="31"/>
    </row>
    <row r="3" spans="1:6" s="36" customFormat="1" ht="15.75">
      <c r="A3" s="33" t="s">
        <v>71</v>
      </c>
      <c r="B3" s="33"/>
      <c r="C3" s="34"/>
      <c r="D3" s="34"/>
      <c r="E3" s="34"/>
      <c r="F3" s="35"/>
    </row>
    <row r="5" spans="1:6" s="37" customFormat="1" ht="15" customHeight="1">
      <c r="B5" s="1271" t="s">
        <v>72</v>
      </c>
      <c r="C5" s="1272"/>
      <c r="D5" s="1273" t="s">
        <v>73</v>
      </c>
      <c r="E5" s="1273" t="s">
        <v>74</v>
      </c>
      <c r="F5" s="1269" t="s">
        <v>75</v>
      </c>
    </row>
    <row r="6" spans="1:6" s="37" customFormat="1" ht="15">
      <c r="B6" s="38" t="s">
        <v>76</v>
      </c>
      <c r="C6" s="39" t="s">
        <v>77</v>
      </c>
      <c r="D6" s="1274"/>
      <c r="E6" s="1274"/>
      <c r="F6" s="1269"/>
    </row>
    <row r="7" spans="1:6">
      <c r="B7" s="41">
        <v>44013</v>
      </c>
      <c r="C7" s="42">
        <v>0</v>
      </c>
      <c r="D7" s="42">
        <v>0</v>
      </c>
      <c r="E7" s="42">
        <f t="shared" ref="E7:E14" si="0">+C7-D7</f>
        <v>0</v>
      </c>
      <c r="F7" s="43"/>
    </row>
    <row r="8" spans="1:6">
      <c r="B8" s="41">
        <v>44044</v>
      </c>
      <c r="C8" s="42">
        <v>0</v>
      </c>
      <c r="D8" s="42">
        <v>0</v>
      </c>
      <c r="E8" s="42">
        <f t="shared" si="0"/>
        <v>0</v>
      </c>
      <c r="F8" s="43"/>
    </row>
    <row r="9" spans="1:6" ht="22.5">
      <c r="B9" s="41">
        <v>44075</v>
      </c>
      <c r="C9" s="42">
        <f>177313428+57532</f>
        <v>177370960</v>
      </c>
      <c r="D9" s="42">
        <v>176664303</v>
      </c>
      <c r="E9" s="42">
        <f>+C9-D9</f>
        <v>706657</v>
      </c>
      <c r="F9" s="43" t="s">
        <v>167</v>
      </c>
    </row>
    <row r="10" spans="1:6">
      <c r="B10" s="41">
        <v>44105</v>
      </c>
      <c r="C10" s="42">
        <v>176054773</v>
      </c>
      <c r="D10" s="180">
        <v>176054773</v>
      </c>
      <c r="E10" s="42">
        <f t="shared" si="0"/>
        <v>0</v>
      </c>
      <c r="F10" s="43"/>
    </row>
    <row r="11" spans="1:6">
      <c r="B11" s="41">
        <v>44136</v>
      </c>
      <c r="C11" s="42">
        <v>0</v>
      </c>
      <c r="D11" s="42">
        <v>0</v>
      </c>
      <c r="E11" s="42">
        <f t="shared" si="0"/>
        <v>0</v>
      </c>
      <c r="F11" s="45"/>
    </row>
    <row r="12" spans="1:6">
      <c r="B12" s="41">
        <v>44166</v>
      </c>
      <c r="C12" s="42">
        <f>943957929-706657</f>
        <v>943251272</v>
      </c>
      <c r="D12" s="42">
        <v>943957929</v>
      </c>
      <c r="E12" s="42">
        <f t="shared" si="0"/>
        <v>-706657</v>
      </c>
      <c r="F12" s="46"/>
    </row>
    <row r="13" spans="1:6">
      <c r="B13" s="41">
        <v>44197</v>
      </c>
      <c r="C13" s="42">
        <v>69326200</v>
      </c>
      <c r="D13" s="42">
        <v>69326200</v>
      </c>
      <c r="E13" s="42">
        <f t="shared" si="0"/>
        <v>0</v>
      </c>
      <c r="F13" s="46"/>
    </row>
    <row r="14" spans="1:6">
      <c r="B14" s="41">
        <v>44228</v>
      </c>
      <c r="C14" s="42">
        <v>0</v>
      </c>
      <c r="D14" s="42">
        <v>0</v>
      </c>
      <c r="E14" s="42">
        <f t="shared" si="0"/>
        <v>0</v>
      </c>
      <c r="F14" s="86"/>
    </row>
    <row r="15" spans="1:6">
      <c r="B15" s="41">
        <v>44256</v>
      </c>
      <c r="C15" s="42">
        <v>124889331</v>
      </c>
      <c r="D15" s="42">
        <v>27610000</v>
      </c>
      <c r="E15" s="42">
        <f>+C15-D15</f>
        <v>97279331</v>
      </c>
      <c r="F15" s="274" t="s">
        <v>237</v>
      </c>
    </row>
    <row r="16" spans="1:6">
      <c r="B16" s="41">
        <v>44287</v>
      </c>
      <c r="C16" s="42">
        <v>97789600</v>
      </c>
      <c r="D16" s="42">
        <v>97789600</v>
      </c>
      <c r="E16" s="42">
        <f>+C16-D16</f>
        <v>0</v>
      </c>
      <c r="F16" s="274"/>
    </row>
    <row r="17" spans="2:7">
      <c r="B17" s="41">
        <v>44317</v>
      </c>
      <c r="C17" s="42">
        <v>88027388</v>
      </c>
      <c r="D17" s="42">
        <v>88027388</v>
      </c>
      <c r="E17" s="42">
        <v>0</v>
      </c>
      <c r="F17" s="274"/>
    </row>
    <row r="18" spans="2:7">
      <c r="B18" s="41">
        <v>44348</v>
      </c>
      <c r="C18" s="42">
        <v>284142036.98799998</v>
      </c>
      <c r="D18" s="42">
        <v>284142036.98799998</v>
      </c>
      <c r="E18" s="42">
        <f t="shared" ref="E18:E25" si="1">+C18-D18</f>
        <v>0</v>
      </c>
      <c r="F18" s="274"/>
    </row>
    <row r="19" spans="2:7">
      <c r="B19" s="41">
        <v>44378</v>
      </c>
      <c r="C19" s="42">
        <v>7630804</v>
      </c>
      <c r="D19" s="42">
        <v>11243488.164000001</v>
      </c>
      <c r="E19" s="42">
        <f t="shared" si="1"/>
        <v>-3612684.1640000008</v>
      </c>
      <c r="F19" s="274" t="s">
        <v>298</v>
      </c>
    </row>
    <row r="20" spans="2:7">
      <c r="B20" s="41">
        <v>44409</v>
      </c>
      <c r="C20" s="42">
        <v>51543693</v>
      </c>
      <c r="D20" s="42">
        <v>55945906.056000002</v>
      </c>
      <c r="E20" s="42">
        <f t="shared" si="1"/>
        <v>-4402213.0560000017</v>
      </c>
      <c r="F20" s="274" t="s">
        <v>300</v>
      </c>
    </row>
    <row r="21" spans="2:7">
      <c r="B21" s="41">
        <v>44440</v>
      </c>
      <c r="C21" s="42">
        <v>83811208</v>
      </c>
      <c r="D21" s="42">
        <v>89521324.664000005</v>
      </c>
      <c r="E21" s="42">
        <f t="shared" si="1"/>
        <v>-5710116.6640000045</v>
      </c>
      <c r="F21" s="274" t="s">
        <v>378</v>
      </c>
    </row>
    <row r="22" spans="2:7">
      <c r="B22" s="41">
        <v>44470</v>
      </c>
      <c r="C22" s="42">
        <v>325134042</v>
      </c>
      <c r="D22" s="42">
        <v>332139585.53200001</v>
      </c>
      <c r="E22" s="42">
        <f t="shared" si="1"/>
        <v>-7005543.5320000052</v>
      </c>
      <c r="F22" s="274" t="s">
        <v>437</v>
      </c>
    </row>
    <row r="23" spans="2:7">
      <c r="B23" s="41">
        <v>44501</v>
      </c>
      <c r="C23" s="42">
        <v>6517229</v>
      </c>
      <c r="D23" s="42">
        <v>14586505.9712296</v>
      </c>
      <c r="E23" s="42">
        <f>+C23-D23</f>
        <v>-8069276.9712295998</v>
      </c>
      <c r="F23" s="274" t="s">
        <v>481</v>
      </c>
    </row>
    <row r="24" spans="2:7">
      <c r="B24" s="41">
        <v>44531</v>
      </c>
      <c r="C24" s="42">
        <v>554656655</v>
      </c>
      <c r="D24" s="42">
        <v>554656654.76971996</v>
      </c>
      <c r="E24" s="42">
        <f t="shared" si="1"/>
        <v>0.23028004169464111</v>
      </c>
      <c r="F24" s="274"/>
    </row>
    <row r="25" spans="2:7">
      <c r="B25" s="41">
        <v>44562</v>
      </c>
      <c r="C25" s="697">
        <v>0</v>
      </c>
      <c r="D25" s="697">
        <v>18766694.468244798</v>
      </c>
      <c r="E25" s="42">
        <f t="shared" si="1"/>
        <v>-18766694.468244798</v>
      </c>
      <c r="F25" s="274" t="s">
        <v>500</v>
      </c>
    </row>
    <row r="26" spans="2:7" ht="22.5">
      <c r="B26" s="41">
        <v>44593</v>
      </c>
      <c r="C26" s="697">
        <v>436449267</v>
      </c>
      <c r="D26" s="697">
        <v>442438508.22000003</v>
      </c>
      <c r="E26" s="42">
        <f>+C26-D26</f>
        <v>-5989241.2200000286</v>
      </c>
      <c r="F26" s="274" t="s">
        <v>514</v>
      </c>
    </row>
    <row r="27" spans="2:7">
      <c r="B27" s="41">
        <v>44621</v>
      </c>
      <c r="C27" s="697">
        <v>29793651</v>
      </c>
      <c r="D27" s="697">
        <v>37044733.579999998</v>
      </c>
      <c r="E27" s="42">
        <f>+C27-D27</f>
        <v>-7251082.5799999982</v>
      </c>
      <c r="F27" s="274" t="s">
        <v>528</v>
      </c>
    </row>
    <row r="28" spans="2:7">
      <c r="B28" s="41">
        <v>44652</v>
      </c>
      <c r="C28" s="697">
        <v>382838370</v>
      </c>
      <c r="D28" s="697">
        <v>422838369.46799999</v>
      </c>
      <c r="E28" s="42">
        <f>+C28-D28-1</f>
        <v>-40000000.467999995</v>
      </c>
      <c r="F28" s="274" t="s">
        <v>544</v>
      </c>
    </row>
    <row r="29" spans="2:7" ht="22.5">
      <c r="B29" s="41">
        <v>44682</v>
      </c>
      <c r="C29" s="697">
        <v>71078606</v>
      </c>
      <c r="D29" s="697">
        <v>80630068.332000002</v>
      </c>
      <c r="E29" s="697">
        <f t="shared" ref="E29:E43" si="2">+C29-D29</f>
        <v>-9551462.3320000023</v>
      </c>
      <c r="F29" s="274" t="s">
        <v>579</v>
      </c>
    </row>
    <row r="30" spans="2:7" ht="22.5">
      <c r="B30" s="41">
        <v>44713</v>
      </c>
      <c r="C30" s="697">
        <v>528385229</v>
      </c>
      <c r="D30" s="697">
        <v>583412556.26399994</v>
      </c>
      <c r="E30" s="697">
        <f t="shared" si="2"/>
        <v>-55027327.263999939</v>
      </c>
      <c r="F30" s="274" t="s">
        <v>589</v>
      </c>
    </row>
    <row r="31" spans="2:7" ht="22.5">
      <c r="B31" s="41">
        <v>44743</v>
      </c>
      <c r="C31" s="697">
        <v>40160000</v>
      </c>
      <c r="D31" s="697">
        <v>46340888.052000001</v>
      </c>
      <c r="E31" s="697">
        <f t="shared" si="2"/>
        <v>-6180888.0520000011</v>
      </c>
      <c r="F31" s="274" t="s">
        <v>633</v>
      </c>
    </row>
    <row r="32" spans="2:7" ht="33.75">
      <c r="B32" s="41">
        <v>44774</v>
      </c>
      <c r="C32" s="697">
        <v>641792674</v>
      </c>
      <c r="D32" s="697">
        <v>599423855.852</v>
      </c>
      <c r="E32" s="697">
        <f t="shared" si="2"/>
        <v>42368818.148000002</v>
      </c>
      <c r="F32" s="274" t="s">
        <v>641</v>
      </c>
      <c r="G32" s="899"/>
    </row>
    <row r="33" spans="1:9">
      <c r="B33" s="41">
        <v>44805</v>
      </c>
      <c r="C33" s="697">
        <v>5866727</v>
      </c>
      <c r="D33" s="697">
        <v>5866727</v>
      </c>
      <c r="E33" s="697">
        <f t="shared" si="2"/>
        <v>0</v>
      </c>
      <c r="F33" s="274"/>
      <c r="G33" s="899"/>
    </row>
    <row r="34" spans="1:9" ht="33.75">
      <c r="B34" s="41">
        <v>44835</v>
      </c>
      <c r="C34" s="697">
        <v>37650000</v>
      </c>
      <c r="D34" s="697">
        <v>47644755</v>
      </c>
      <c r="E34" s="697">
        <f t="shared" si="2"/>
        <v>-9994755</v>
      </c>
      <c r="F34" s="274" t="s">
        <v>652</v>
      </c>
      <c r="G34" s="899"/>
    </row>
    <row r="35" spans="1:9" ht="22.5">
      <c r="B35" s="41">
        <v>44866</v>
      </c>
      <c r="C35" s="697">
        <v>66919259</v>
      </c>
      <c r="D35" s="697">
        <v>71800248.406374499</v>
      </c>
      <c r="E35" s="697">
        <f t="shared" si="2"/>
        <v>-4880989.4063744992</v>
      </c>
      <c r="F35" s="274" t="s">
        <v>663</v>
      </c>
      <c r="G35" s="899"/>
    </row>
    <row r="36" spans="1:9" ht="22.5">
      <c r="B36" s="41">
        <v>44896</v>
      </c>
      <c r="C36" s="697">
        <f>+'[9]881 todas las vigencias2'!$AI$83+'[9]881 todas las vigencias2'!$AK$91+'[9]881 todas las vigencias2'!$AK$95+'[9]881 todas las vigencias2'!$AK$116+'[9]881 todas las vigencias2'!$AI$145+'[9]881 todas las vigencias2'!$AI$149+'[9]881 todas las vigencias2'!$AK$152+'[9]881 todas las vigencias2'!$AI$155</f>
        <v>142696288</v>
      </c>
      <c r="D36" s="697">
        <v>146492399</v>
      </c>
      <c r="E36" s="697">
        <f t="shared" si="2"/>
        <v>-3796111</v>
      </c>
      <c r="F36" s="274" t="s">
        <v>679</v>
      </c>
      <c r="G36" s="899"/>
    </row>
    <row r="37" spans="1:9" ht="22.5">
      <c r="B37" s="41">
        <v>44927</v>
      </c>
      <c r="C37" s="697">
        <v>0</v>
      </c>
      <c r="D37" s="697">
        <v>3364032</v>
      </c>
      <c r="E37" s="697">
        <f t="shared" si="2"/>
        <v>-3364032</v>
      </c>
      <c r="F37" s="274" t="s">
        <v>684</v>
      </c>
      <c r="G37" s="899"/>
    </row>
    <row r="38" spans="1:9" ht="22.5">
      <c r="B38" s="41">
        <v>44958</v>
      </c>
      <c r="C38" s="697">
        <v>24467479</v>
      </c>
      <c r="D38" s="697">
        <v>26540922</v>
      </c>
      <c r="E38" s="697">
        <f t="shared" si="2"/>
        <v>-2073443</v>
      </c>
      <c r="F38" s="274" t="s">
        <v>717</v>
      </c>
      <c r="G38" s="899"/>
      <c r="H38" s="899"/>
    </row>
    <row r="39" spans="1:9" ht="22.5">
      <c r="B39" s="41">
        <v>44986</v>
      </c>
      <c r="C39" s="697">
        <v>606891373</v>
      </c>
      <c r="D39" s="697">
        <v>608620058</v>
      </c>
      <c r="E39" s="697">
        <f t="shared" si="2"/>
        <v>-1728685</v>
      </c>
      <c r="F39" s="274" t="s">
        <v>727</v>
      </c>
      <c r="G39" s="899"/>
      <c r="H39" s="899"/>
    </row>
    <row r="40" spans="1:9" ht="22.5">
      <c r="B40" s="41">
        <v>45017</v>
      </c>
      <c r="C40" s="697">
        <v>1179658</v>
      </c>
      <c r="D40" s="697">
        <v>2925934</v>
      </c>
      <c r="E40" s="697">
        <f t="shared" si="2"/>
        <v>-1746276</v>
      </c>
      <c r="F40" s="274" t="s">
        <v>741</v>
      </c>
      <c r="G40" s="899"/>
      <c r="H40" s="899"/>
    </row>
    <row r="41" spans="1:9" ht="22.5">
      <c r="B41" s="41">
        <v>45047</v>
      </c>
      <c r="C41" s="697">
        <v>300711976</v>
      </c>
      <c r="D41" s="697">
        <v>301485216</v>
      </c>
      <c r="E41" s="697">
        <f t="shared" si="2"/>
        <v>-773240</v>
      </c>
      <c r="F41" s="274" t="s">
        <v>789</v>
      </c>
      <c r="G41" s="899"/>
      <c r="H41" s="899"/>
    </row>
    <row r="42" spans="1:9" ht="22.5">
      <c r="B42" s="41">
        <v>45078</v>
      </c>
      <c r="C42" s="697">
        <v>208047876</v>
      </c>
      <c r="D42" s="697">
        <v>184715129</v>
      </c>
      <c r="E42" s="697">
        <f t="shared" si="2"/>
        <v>23332747</v>
      </c>
      <c r="F42" s="274" t="s">
        <v>865</v>
      </c>
      <c r="G42" s="899"/>
      <c r="H42" s="899"/>
    </row>
    <row r="43" spans="1:9" ht="22.5">
      <c r="B43" s="41">
        <v>45108</v>
      </c>
      <c r="C43" s="697">
        <f>+'[10]881 todas las vigencias2'!$AH$176</f>
        <v>331320</v>
      </c>
      <c r="D43" s="697">
        <f>+'Julio - 2023'!L16+'Julio - 2023'!L17+'Julio - 2023'!L18</f>
        <v>1357869</v>
      </c>
      <c r="E43" s="697">
        <f t="shared" si="2"/>
        <v>-1026549</v>
      </c>
      <c r="F43" s="274" t="s">
        <v>1052</v>
      </c>
      <c r="G43" s="899"/>
      <c r="H43" s="899"/>
    </row>
    <row r="44" spans="1:9">
      <c r="B44" s="47" t="s">
        <v>78</v>
      </c>
      <c r="C44" s="48">
        <f>SUM(C7:C43)</f>
        <v>6515404944.9879999</v>
      </c>
      <c r="D44" s="48">
        <f t="shared" ref="D44:E44" si="3">SUM(D7:D43)</f>
        <v>6553374658.787569</v>
      </c>
      <c r="E44" s="48">
        <f t="shared" si="3"/>
        <v>-37969714.799568832</v>
      </c>
      <c r="F44" s="45"/>
      <c r="G44" s="30"/>
    </row>
    <row r="45" spans="1:9">
      <c r="G45" s="30"/>
    </row>
    <row r="46" spans="1:9">
      <c r="F46" s="30"/>
    </row>
    <row r="47" spans="1:9" s="36" customFormat="1" ht="15.75">
      <c r="A47" s="33" t="s">
        <v>79</v>
      </c>
      <c r="B47" s="33"/>
      <c r="C47" s="34"/>
      <c r="D47" s="34"/>
      <c r="E47" s="34"/>
      <c r="F47" s="49"/>
    </row>
    <row r="48" spans="1:9" s="32" customFormat="1">
      <c r="C48" s="31"/>
      <c r="D48" s="31"/>
      <c r="E48" s="31"/>
      <c r="F48" s="50"/>
      <c r="G48" s="976"/>
      <c r="H48" s="977"/>
      <c r="I48" s="977"/>
    </row>
    <row r="49" spans="1:9" s="32" customFormat="1">
      <c r="B49" s="32" t="s">
        <v>80</v>
      </c>
      <c r="C49" s="31"/>
      <c r="D49" s="31"/>
      <c r="E49" s="958">
        <f>+'Cta 29020102'!G31</f>
        <v>12562184146.35</v>
      </c>
      <c r="G49" s="977"/>
      <c r="H49" s="977"/>
      <c r="I49" s="977"/>
    </row>
    <row r="50" spans="1:9">
      <c r="F50" s="51"/>
      <c r="G50" s="962"/>
      <c r="H50" s="962"/>
      <c r="I50" s="962"/>
    </row>
    <row r="51" spans="1:9">
      <c r="F51" s="51"/>
      <c r="G51" s="978"/>
      <c r="H51" s="962"/>
      <c r="I51" s="978"/>
    </row>
    <row r="52" spans="1:9">
      <c r="B52" s="32" t="s">
        <v>1078</v>
      </c>
      <c r="C52" s="31"/>
      <c r="D52" s="31"/>
      <c r="E52" s="1138">
        <f>+'Julio - 2023'!L24</f>
        <v>12562177793.556026</v>
      </c>
      <c r="F52" s="51"/>
      <c r="H52" s="962"/>
      <c r="I52" s="962"/>
    </row>
    <row r="53" spans="1:9">
      <c r="B53" s="32"/>
      <c r="C53" s="31"/>
      <c r="D53" s="31"/>
      <c r="E53" s="59"/>
      <c r="F53" s="51"/>
      <c r="G53" s="962"/>
      <c r="H53" s="962"/>
      <c r="I53" s="962"/>
    </row>
    <row r="54" spans="1:9" ht="15">
      <c r="B54" s="52"/>
      <c r="C54" s="53"/>
      <c r="D54" s="53"/>
      <c r="F54" s="61"/>
      <c r="G54" s="980"/>
      <c r="I54" s="979"/>
    </row>
    <row r="55" spans="1:9">
      <c r="B55" s="52"/>
      <c r="C55" s="53"/>
      <c r="D55" s="53"/>
      <c r="E55" s="61"/>
      <c r="F55" s="30"/>
      <c r="G55" s="61"/>
      <c r="H55" s="981"/>
      <c r="I55" s="981"/>
    </row>
    <row r="56" spans="1:9">
      <c r="B56" s="57" t="s">
        <v>65</v>
      </c>
      <c r="C56" s="61"/>
      <c r="D56" s="61"/>
      <c r="E56" s="59">
        <f>+E49-E52</f>
        <v>6352.7939739227295</v>
      </c>
      <c r="F56" s="998">
        <f>+SUM(F57:F62)+E56</f>
        <v>-3.1180260772707697</v>
      </c>
      <c r="G56" s="962"/>
      <c r="H56" s="777"/>
    </row>
    <row r="57" spans="1:9">
      <c r="F57" s="1110">
        <v>104.08799999999999</v>
      </c>
      <c r="G57" s="782" t="s">
        <v>735</v>
      </c>
      <c r="H57" s="981"/>
      <c r="I57" s="981"/>
    </row>
    <row r="58" spans="1:9" s="36" customFormat="1" ht="15.75">
      <c r="A58" s="33" t="s">
        <v>81</v>
      </c>
      <c r="B58" s="33"/>
      <c r="C58" s="34"/>
      <c r="D58" s="34"/>
      <c r="E58" s="34"/>
      <c r="F58" s="1110">
        <v>-5250</v>
      </c>
      <c r="G58" s="32" t="s">
        <v>733</v>
      </c>
    </row>
    <row r="59" spans="1:9" s="32" customFormat="1">
      <c r="C59" s="31"/>
      <c r="D59" s="31"/>
      <c r="E59" s="31"/>
      <c r="F59" s="1110">
        <v>-1210</v>
      </c>
      <c r="G59" s="32" t="s">
        <v>790</v>
      </c>
      <c r="H59" s="57"/>
    </row>
    <row r="60" spans="1:9" s="32" customFormat="1">
      <c r="B60" s="32" t="s">
        <v>82</v>
      </c>
      <c r="C60" s="31"/>
      <c r="D60" s="31"/>
      <c r="E60" s="958">
        <f>+'Cta 11100613'!F19</f>
        <v>12534493148.379999</v>
      </c>
      <c r="F60" s="1110">
        <v>0</v>
      </c>
      <c r="G60" s="55"/>
      <c r="H60" s="57"/>
    </row>
    <row r="61" spans="1:9" s="32" customFormat="1">
      <c r="B61" s="56"/>
      <c r="C61" s="31"/>
      <c r="D61" s="31"/>
      <c r="E61" s="61"/>
      <c r="F61" s="1110">
        <f>+'Cta 29020102'!F26</f>
        <v>0</v>
      </c>
      <c r="G61" s="55"/>
      <c r="H61" s="57"/>
    </row>
    <row r="62" spans="1:9" s="32" customFormat="1">
      <c r="B62" s="32" t="s">
        <v>83</v>
      </c>
      <c r="C62" s="30"/>
      <c r="D62" s="30"/>
      <c r="E62" s="61"/>
      <c r="F62" s="1110">
        <v>0</v>
      </c>
      <c r="G62" s="55"/>
      <c r="H62" s="57"/>
    </row>
    <row r="63" spans="1:9" s="32" customFormat="1">
      <c r="B63" s="40" t="s">
        <v>1059</v>
      </c>
      <c r="C63" s="30"/>
      <c r="D63" s="30"/>
      <c r="E63" s="782">
        <f>+'Anexo 2 Sena'!E82</f>
        <v>83373155</v>
      </c>
      <c r="F63" s="55"/>
      <c r="H63" s="57"/>
    </row>
    <row r="64" spans="1:9" s="32" customFormat="1">
      <c r="B64" s="40"/>
      <c r="C64" s="30"/>
      <c r="D64" s="30"/>
      <c r="E64" s="782"/>
      <c r="F64" s="55"/>
      <c r="G64" s="55"/>
      <c r="H64" s="57"/>
    </row>
    <row r="65" spans="1:8" s="32" customFormat="1">
      <c r="B65" s="40"/>
      <c r="C65" s="30"/>
      <c r="D65" s="30"/>
      <c r="E65" s="61"/>
      <c r="F65" s="55"/>
      <c r="G65" s="57"/>
      <c r="H65" s="57"/>
    </row>
    <row r="66" spans="1:8" s="32" customFormat="1">
      <c r="B66" s="32" t="s">
        <v>84</v>
      </c>
      <c r="C66" s="30"/>
      <c r="D66" s="30"/>
      <c r="E66" s="61"/>
      <c r="F66" s="55"/>
      <c r="G66" s="57"/>
      <c r="H66" s="57"/>
    </row>
    <row r="67" spans="1:8" s="32" customFormat="1">
      <c r="B67" s="40" t="s">
        <v>1060</v>
      </c>
      <c r="C67" s="30"/>
      <c r="D67" s="30"/>
      <c r="E67" s="61">
        <f>+'Mov Cta BBVA'!J6</f>
        <v>-2126270</v>
      </c>
      <c r="F67" s="55"/>
      <c r="G67" s="59"/>
      <c r="H67" s="57"/>
    </row>
    <row r="68" spans="1:8" s="32" customFormat="1">
      <c r="C68" s="30"/>
      <c r="D68" s="30"/>
      <c r="E68" s="61"/>
      <c r="F68" s="55"/>
      <c r="G68" s="57"/>
      <c r="H68" s="57"/>
    </row>
    <row r="69" spans="1:8" s="32" customFormat="1">
      <c r="B69" s="40"/>
      <c r="C69" s="30"/>
      <c r="D69" s="30"/>
      <c r="E69" s="61"/>
      <c r="F69" s="55"/>
      <c r="G69" s="57"/>
      <c r="H69" s="57"/>
    </row>
    <row r="70" spans="1:8" s="57" customFormat="1">
      <c r="B70" s="32" t="s">
        <v>85</v>
      </c>
      <c r="C70" s="53"/>
      <c r="D70" s="53"/>
      <c r="E70" s="59">
        <f>SUM(E60:E68)</f>
        <v>12615740033.379999</v>
      </c>
      <c r="F70" s="55"/>
      <c r="G70" s="59"/>
    </row>
    <row r="71" spans="1:8" s="57" customFormat="1" ht="15">
      <c r="B71" s="58"/>
      <c r="C71" s="59"/>
      <c r="D71" s="59"/>
      <c r="E71" s="60"/>
      <c r="F71" s="952"/>
    </row>
    <row r="72" spans="1:8" s="57" customFormat="1">
      <c r="B72" s="32" t="s">
        <v>1061</v>
      </c>
      <c r="C72" s="53"/>
      <c r="D72" s="53"/>
      <c r="E72" s="59">
        <f>+'Mov Cta BBVA'!B7</f>
        <v>12615740033.379999</v>
      </c>
      <c r="F72" s="59"/>
    </row>
    <row r="73" spans="1:8" s="63" customFormat="1" ht="12.75" customHeight="1">
      <c r="B73" s="58"/>
      <c r="C73" s="61"/>
      <c r="D73" s="61"/>
      <c r="E73" s="60"/>
      <c r="F73" s="953"/>
    </row>
    <row r="74" spans="1:8" s="63" customFormat="1">
      <c r="B74" s="57" t="s">
        <v>65</v>
      </c>
      <c r="C74" s="61"/>
      <c r="D74" s="61"/>
      <c r="E74" s="1138">
        <f>+E70-E72</f>
        <v>0</v>
      </c>
      <c r="F74" s="59"/>
    </row>
    <row r="75" spans="1:8">
      <c r="F75" s="62"/>
    </row>
    <row r="76" spans="1:8">
      <c r="F76" s="51"/>
    </row>
    <row r="77" spans="1:8" s="36" customFormat="1" ht="15.75">
      <c r="A77" s="33" t="s">
        <v>86</v>
      </c>
      <c r="B77" s="33"/>
      <c r="C77" s="34"/>
      <c r="D77" s="34"/>
      <c r="E77" s="34"/>
      <c r="F77" s="64"/>
    </row>
    <row r="78" spans="1:8" ht="15.75">
      <c r="A78" s="65"/>
      <c r="B78" s="56"/>
      <c r="C78" s="66"/>
      <c r="D78" s="67"/>
      <c r="E78" s="68"/>
      <c r="F78" s="62"/>
    </row>
    <row r="79" spans="1:8" ht="15">
      <c r="A79" s="32"/>
      <c r="B79" s="32" t="s">
        <v>87</v>
      </c>
      <c r="C79" s="31"/>
      <c r="D79" s="31"/>
      <c r="E79" s="958">
        <f>+'Julio - 2023'!L24</f>
        <v>12562177793.556026</v>
      </c>
      <c r="F79" s="69"/>
    </row>
    <row r="80" spans="1:8">
      <c r="A80" s="63"/>
      <c r="B80" s="56"/>
      <c r="C80" s="70"/>
      <c r="D80" s="29"/>
      <c r="E80" s="61"/>
      <c r="F80" s="51"/>
    </row>
    <row r="81" spans="1:8">
      <c r="A81" s="63"/>
      <c r="B81" s="71" t="s">
        <v>83</v>
      </c>
      <c r="C81" s="70"/>
      <c r="D81" s="61"/>
      <c r="E81" s="61"/>
      <c r="F81" s="62"/>
    </row>
    <row r="82" spans="1:8">
      <c r="B82" s="32" t="s">
        <v>1062</v>
      </c>
      <c r="D82" s="61"/>
      <c r="E82" s="61">
        <f>SUM(D83:D83)</f>
        <v>83373155</v>
      </c>
      <c r="F82" s="103"/>
    </row>
    <row r="83" spans="1:8" s="28" customFormat="1" ht="12.75" customHeight="1">
      <c r="A83" s="40"/>
      <c r="B83" s="1270" t="s">
        <v>1063</v>
      </c>
      <c r="C83" s="1270"/>
      <c r="D83" s="782">
        <f>+'Mov Cta BBVA'!E21</f>
        <v>83373155</v>
      </c>
      <c r="E83" s="61"/>
    </row>
    <row r="84" spans="1:8" s="28" customFormat="1">
      <c r="A84" s="40"/>
      <c r="B84" s="40"/>
      <c r="C84" s="30"/>
      <c r="D84" s="61"/>
      <c r="E84" s="61"/>
    </row>
    <row r="85" spans="1:8" s="28" customFormat="1">
      <c r="A85" s="40"/>
      <c r="B85" s="40" t="s">
        <v>88</v>
      </c>
      <c r="C85" s="30"/>
      <c r="D85" s="61"/>
      <c r="E85" s="61">
        <f>+Impuestos!B69</f>
        <v>9860563</v>
      </c>
    </row>
    <row r="86" spans="1:8" s="63" customFormat="1">
      <c r="A86" s="40"/>
      <c r="B86" s="40" t="s">
        <v>281</v>
      </c>
      <c r="C86" s="30"/>
      <c r="D86" s="61"/>
      <c r="E86" s="61">
        <f>+(E85*0.004)</f>
        <v>39442.252</v>
      </c>
    </row>
    <row r="87" spans="1:8" s="63" customFormat="1">
      <c r="A87" s="40"/>
      <c r="B87" s="40" t="s">
        <v>263</v>
      </c>
      <c r="C87" s="30"/>
      <c r="D87" s="61"/>
      <c r="E87" s="61">
        <v>102</v>
      </c>
      <c r="F87" s="256"/>
    </row>
    <row r="88" spans="1:8" s="63" customFormat="1">
      <c r="A88" s="40"/>
      <c r="B88" s="40" t="s">
        <v>293</v>
      </c>
      <c r="C88" s="30"/>
      <c r="D88" s="61"/>
      <c r="E88" s="1152">
        <f>+'Anexo 2 Sena'!F99</f>
        <v>2319273.048</v>
      </c>
      <c r="F88" s="256"/>
    </row>
    <row r="89" spans="1:8" s="63" customFormat="1">
      <c r="A89" s="40"/>
      <c r="B89" s="40"/>
      <c r="C89" s="30"/>
      <c r="D89" s="61"/>
      <c r="E89" s="61"/>
      <c r="F89" s="256"/>
    </row>
    <row r="90" spans="1:8" s="63" customFormat="1" ht="17.25" customHeight="1">
      <c r="A90" s="40"/>
      <c r="B90" s="32" t="s">
        <v>84</v>
      </c>
      <c r="C90" s="30"/>
      <c r="D90" s="61"/>
      <c r="E90" s="59">
        <f>SUM(D91:D92)</f>
        <v>-42030287.343999997</v>
      </c>
      <c r="F90" s="62"/>
    </row>
    <row r="91" spans="1:8">
      <c r="B91" s="40" t="s">
        <v>229</v>
      </c>
      <c r="D91" s="30">
        <f>-'Cta 19050301'!G19</f>
        <v>-41862836</v>
      </c>
      <c r="F91" s="62"/>
    </row>
    <row r="92" spans="1:8" s="36" customFormat="1" ht="15.75">
      <c r="A92" s="40"/>
      <c r="B92" s="40" t="s">
        <v>246</v>
      </c>
      <c r="C92" s="30"/>
      <c r="D92" s="30">
        <f>+D91*0.004</f>
        <v>-167451.34400000001</v>
      </c>
      <c r="E92" s="30"/>
      <c r="F92" s="64"/>
    </row>
    <row r="93" spans="1:8" s="36" customFormat="1" ht="15.75">
      <c r="A93" s="40"/>
      <c r="B93" s="40"/>
      <c r="C93" s="30"/>
      <c r="D93" s="30"/>
      <c r="E93" s="30">
        <v>0</v>
      </c>
      <c r="F93" s="64"/>
    </row>
    <row r="94" spans="1:8">
      <c r="F94" s="62"/>
      <c r="G94" s="678"/>
    </row>
    <row r="95" spans="1:8" s="63" customFormat="1">
      <c r="A95" s="40"/>
      <c r="B95" s="32" t="s">
        <v>85</v>
      </c>
      <c r="C95" s="53"/>
      <c r="D95" s="53"/>
      <c r="E95" s="31">
        <f>SUM(E79:E93)</f>
        <v>12615740041.512028</v>
      </c>
      <c r="F95" s="761"/>
      <c r="G95" s="679"/>
    </row>
    <row r="96" spans="1:8" s="63" customFormat="1" ht="15">
      <c r="A96" s="57"/>
      <c r="B96" s="58"/>
      <c r="C96" s="59"/>
      <c r="D96" s="59"/>
      <c r="E96" s="60"/>
      <c r="F96" s="761"/>
      <c r="G96" s="680"/>
      <c r="H96" s="681"/>
    </row>
    <row r="97" spans="1:9" s="63" customFormat="1">
      <c r="A97" s="40"/>
      <c r="B97" s="32" t="s">
        <v>1064</v>
      </c>
      <c r="C97" s="53"/>
      <c r="D97" s="53"/>
      <c r="E97" s="1151">
        <f>+'Mov Cta BBVA'!B7</f>
        <v>12615740033.379999</v>
      </c>
      <c r="F97" s="62"/>
      <c r="G97" s="62"/>
    </row>
    <row r="98" spans="1:9" s="63" customFormat="1" ht="15">
      <c r="B98" s="58"/>
      <c r="C98" s="61"/>
      <c r="D98" s="61"/>
      <c r="E98" s="60"/>
      <c r="F98" s="62"/>
      <c r="G98" s="62"/>
    </row>
    <row r="99" spans="1:9" s="63" customFormat="1">
      <c r="A99" s="40"/>
      <c r="B99" s="57" t="s">
        <v>65</v>
      </c>
      <c r="C99" s="61"/>
      <c r="D99" s="61"/>
      <c r="E99" s="59">
        <f>E95-E97</f>
        <v>8.1320285797119141</v>
      </c>
      <c r="F99" s="998">
        <f>+SUM(F100:F104)+E99</f>
        <v>8.1320285797119141</v>
      </c>
      <c r="H99" s="40"/>
      <c r="I99" s="40"/>
    </row>
    <row r="100" spans="1:9" ht="15.75">
      <c r="F100" s="54"/>
      <c r="G100" s="32"/>
    </row>
    <row r="101" spans="1:9" s="36" customFormat="1" ht="15.75">
      <c r="A101" s="33" t="s">
        <v>89</v>
      </c>
      <c r="B101" s="33"/>
      <c r="C101" s="34"/>
      <c r="D101" s="34"/>
      <c r="E101" s="34"/>
      <c r="F101" s="54"/>
    </row>
    <row r="102" spans="1:9">
      <c r="F102" s="50"/>
    </row>
    <row r="103" spans="1:9">
      <c r="B103" s="32" t="s">
        <v>90</v>
      </c>
      <c r="E103" s="1109">
        <f>+'Cta 11100613'!F19</f>
        <v>12534493148.379999</v>
      </c>
      <c r="F103" s="62"/>
      <c r="G103" s="955"/>
    </row>
    <row r="104" spans="1:9">
      <c r="E104" s="30" t="s">
        <v>669</v>
      </c>
      <c r="F104" s="62"/>
      <c r="G104" s="63"/>
    </row>
    <row r="105" spans="1:9">
      <c r="B105" s="32" t="s">
        <v>83</v>
      </c>
      <c r="F105" s="62"/>
      <c r="G105" s="63"/>
    </row>
    <row r="106" spans="1:9">
      <c r="B106" s="40" t="s">
        <v>147</v>
      </c>
      <c r="E106" s="61">
        <f>+'Cta 19050301'!G19</f>
        <v>41862836</v>
      </c>
      <c r="F106" s="62"/>
      <c r="G106" s="955"/>
    </row>
    <row r="107" spans="1:9">
      <c r="B107" s="40" t="s">
        <v>282</v>
      </c>
      <c r="E107" s="61">
        <f>+E106*0.004</f>
        <v>167451.34400000001</v>
      </c>
      <c r="F107" s="62"/>
      <c r="G107" s="955"/>
    </row>
    <row r="108" spans="1:9" ht="15" customHeight="1">
      <c r="B108" s="301"/>
      <c r="E108" s="335"/>
      <c r="F108" s="956"/>
      <c r="G108" s="63"/>
    </row>
    <row r="109" spans="1:9">
      <c r="B109" s="32" t="s">
        <v>84</v>
      </c>
      <c r="E109" s="61"/>
      <c r="F109" s="956"/>
      <c r="G109" s="63"/>
    </row>
    <row r="110" spans="1:9" ht="17.25" customHeight="1">
      <c r="B110" s="40" t="s">
        <v>1065</v>
      </c>
      <c r="E110" s="61">
        <f>-'Anexo 2 Sena'!E69-'Anexo 2 Sena'!E70-'Anexo 2 Sena'!E71-'Anexo 2 Sena'!E72-'Anexo 2 Sena'!E73-'Anexo 2 Sena'!E74-'Anexo 2 Sena'!E77-'Anexo 2 Sena'!E78</f>
        <v>0</v>
      </c>
      <c r="F110" s="62"/>
      <c r="G110" s="955"/>
    </row>
    <row r="111" spans="1:9">
      <c r="B111" s="40" t="s">
        <v>1066</v>
      </c>
      <c r="E111" s="61">
        <f>-Impuestos!B69</f>
        <v>-9860563</v>
      </c>
      <c r="F111" s="62"/>
      <c r="G111" s="955"/>
    </row>
    <row r="112" spans="1:9">
      <c r="B112" s="1270" t="s">
        <v>807</v>
      </c>
      <c r="C112" s="1270"/>
      <c r="D112" s="1270"/>
      <c r="E112" s="61">
        <f>+'Mov Cta BBVA'!J6</f>
        <v>-2126270</v>
      </c>
      <c r="F112" s="62"/>
      <c r="G112" s="955"/>
    </row>
    <row r="113" spans="2:10">
      <c r="B113" s="301" t="s">
        <v>274</v>
      </c>
      <c r="C113" s="281"/>
      <c r="D113" s="281"/>
      <c r="E113" s="61">
        <f>-E87</f>
        <v>-102</v>
      </c>
      <c r="F113" s="62"/>
      <c r="G113" s="955"/>
      <c r="H113" s="955"/>
      <c r="I113" s="955"/>
      <c r="J113" s="955"/>
    </row>
    <row r="114" spans="2:10" ht="15.75" customHeight="1">
      <c r="B114" s="301" t="s">
        <v>310</v>
      </c>
      <c r="E114" s="1152">
        <f>-'Anexo 2 Sena'!F99</f>
        <v>-2319273.048</v>
      </c>
      <c r="F114" s="62"/>
      <c r="G114" s="955"/>
      <c r="H114" s="955"/>
      <c r="I114" s="955"/>
      <c r="J114" s="955"/>
    </row>
    <row r="115" spans="2:10">
      <c r="B115" s="301" t="s">
        <v>383</v>
      </c>
      <c r="C115" s="281"/>
      <c r="D115" s="281"/>
      <c r="E115" s="61">
        <f>+E111*0.004</f>
        <v>-39442.252</v>
      </c>
      <c r="F115" s="62"/>
      <c r="G115" s="955"/>
      <c r="H115" s="955"/>
      <c r="I115" s="955"/>
      <c r="J115" s="955"/>
    </row>
    <row r="116" spans="2:10" ht="15.75" customHeight="1">
      <c r="B116" s="301"/>
      <c r="C116" s="281"/>
      <c r="D116" s="281"/>
      <c r="E116" s="61"/>
      <c r="F116" s="956"/>
      <c r="G116" s="955"/>
      <c r="H116" s="955"/>
      <c r="I116" s="955"/>
      <c r="J116" s="955"/>
    </row>
    <row r="117" spans="2:10" ht="15.75" customHeight="1">
      <c r="B117" s="32" t="s">
        <v>85</v>
      </c>
      <c r="E117" s="31">
        <f>SUM(E103:E115)</f>
        <v>12562177785.423998</v>
      </c>
      <c r="H117" s="955"/>
      <c r="I117" s="955"/>
      <c r="J117" s="955"/>
    </row>
    <row r="118" spans="2:10" ht="15.75" customHeight="1">
      <c r="F118" s="953"/>
      <c r="G118" s="61"/>
      <c r="H118" s="955"/>
      <c r="I118" s="955"/>
      <c r="J118" s="955"/>
    </row>
    <row r="119" spans="2:10" ht="15.75" customHeight="1">
      <c r="B119" s="32" t="s">
        <v>1067</v>
      </c>
      <c r="E119" s="59">
        <f>+'Cta 29020102'!G31</f>
        <v>12562184146.35</v>
      </c>
      <c r="F119" s="961"/>
      <c r="G119" s="955"/>
      <c r="H119" s="955"/>
      <c r="I119" s="955"/>
      <c r="J119" s="955"/>
    </row>
    <row r="120" spans="2:10">
      <c r="F120" s="984"/>
      <c r="G120" s="955"/>
      <c r="H120" s="955"/>
      <c r="I120" s="955"/>
      <c r="J120" s="955"/>
    </row>
    <row r="121" spans="2:10">
      <c r="B121" s="57" t="s">
        <v>91</v>
      </c>
      <c r="C121" s="61"/>
      <c r="D121" s="61"/>
      <c r="E121" s="59">
        <f>+E117-E119</f>
        <v>-6360.9260025024414</v>
      </c>
      <c r="F121" s="998">
        <f>+SUM(F122:F129)-E121</f>
        <v>5.0140025024411443</v>
      </c>
      <c r="G121" s="955"/>
      <c r="H121" s="955"/>
      <c r="I121" s="955"/>
      <c r="J121" s="955"/>
    </row>
    <row r="122" spans="2:10">
      <c r="F122" s="997">
        <f>+F57</f>
        <v>104.08799999999999</v>
      </c>
      <c r="G122" s="31" t="str">
        <f>+G57</f>
        <v>gmf por ajustar mayor valor contabilizado de retefuente de diciembre</v>
      </c>
      <c r="H122" s="955"/>
      <c r="I122" s="955"/>
      <c r="J122" s="955"/>
    </row>
    <row r="123" spans="2:10">
      <c r="F123" s="997">
        <f t="shared" ref="F123:G129" si="4">+F58</f>
        <v>-5250</v>
      </c>
      <c r="G123" s="31" t="str">
        <f t="shared" si="4"/>
        <v>gmf por contabilizar impuestos de diciembre</v>
      </c>
      <c r="H123" s="955"/>
      <c r="I123" s="955"/>
      <c r="J123" s="955"/>
    </row>
    <row r="124" spans="2:10">
      <c r="F124" s="997">
        <f t="shared" si="4"/>
        <v>-1210</v>
      </c>
      <c r="G124" s="31" t="str">
        <f t="shared" si="4"/>
        <v>gmf por contabilizar impuestos de mayo</v>
      </c>
    </row>
    <row r="125" spans="2:10">
      <c r="F125" s="31"/>
      <c r="G125" s="31"/>
    </row>
    <row r="126" spans="2:10">
      <c r="F126" s="31"/>
      <c r="G126" s="31"/>
    </row>
    <row r="127" spans="2:10">
      <c r="F127" s="31"/>
      <c r="G127" s="31"/>
    </row>
    <row r="128" spans="2:10">
      <c r="F128" s="31"/>
      <c r="G128" s="31"/>
    </row>
    <row r="129" spans="6:7">
      <c r="F129" s="31"/>
      <c r="G129" s="31"/>
    </row>
    <row r="130" spans="6:7">
      <c r="F130" s="30"/>
      <c r="G130" s="30"/>
    </row>
    <row r="131" spans="6:7">
      <c r="F131" s="30"/>
      <c r="G131" s="30"/>
    </row>
    <row r="132" spans="6:7">
      <c r="F132" s="30"/>
      <c r="G132" s="30"/>
    </row>
    <row r="133" spans="6:7">
      <c r="F133" s="30"/>
      <c r="G133" s="30"/>
    </row>
    <row r="134" spans="6:7">
      <c r="F134" s="30"/>
      <c r="G134" s="30"/>
    </row>
    <row r="135" spans="6:7">
      <c r="F135" s="30"/>
    </row>
    <row r="136" spans="6:7">
      <c r="F136" s="30"/>
    </row>
    <row r="137" spans="6:7">
      <c r="F137" s="30"/>
    </row>
    <row r="138" spans="6:7">
      <c r="F138" s="954"/>
    </row>
    <row r="139" spans="6:7">
      <c r="F139" s="954"/>
    </row>
  </sheetData>
  <mergeCells count="7">
    <mergeCell ref="A1:C1"/>
    <mergeCell ref="F5:F6"/>
    <mergeCell ref="B112:D112"/>
    <mergeCell ref="B5:C5"/>
    <mergeCell ref="D5:D6"/>
    <mergeCell ref="E5:E6"/>
    <mergeCell ref="B83:C83"/>
  </mergeCells>
  <phoneticPr fontId="19" type="noConversion"/>
  <pageMargins left="0.7" right="0.7" top="0.75" bottom="0.75" header="0.3" footer="0.3"/>
  <pageSetup paperSize="9" scale="37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14">
    <tabColor rgb="FF00B0F0"/>
    <pageSetUpPr fitToPage="1"/>
  </sheetPr>
  <dimension ref="A1:V112"/>
  <sheetViews>
    <sheetView showGridLines="0" topLeftCell="A20" zoomScaleNormal="100" zoomScaleSheetLayoutView="40" workbookViewId="0">
      <selection activeCell="B31" sqref="B31"/>
    </sheetView>
  </sheetViews>
  <sheetFormatPr baseColWidth="10" defaultRowHeight="15"/>
  <cols>
    <col min="1" max="1" width="41.5703125" style="146" customWidth="1"/>
    <col min="2" max="2" width="43.140625" style="146" customWidth="1"/>
    <col min="3" max="3" width="27.28515625" style="146" customWidth="1"/>
    <col min="4" max="4" width="22.7109375" style="146" customWidth="1"/>
    <col min="5" max="5" width="18.5703125" style="146" bestFit="1" customWidth="1"/>
    <col min="6" max="6" width="23.140625" style="146" bestFit="1" customWidth="1"/>
    <col min="7" max="7" width="6.28515625" style="146" bestFit="1" customWidth="1"/>
    <col min="8" max="9" width="25.7109375" style="146" bestFit="1" customWidth="1"/>
    <col min="10" max="10" width="31.5703125" style="146" customWidth="1"/>
    <col min="11" max="11" width="23.7109375" style="146" customWidth="1"/>
    <col min="12" max="12" width="25.85546875" style="146" customWidth="1"/>
    <col min="13" max="13" width="20.85546875" style="146" bestFit="1" customWidth="1"/>
    <col min="14" max="14" width="22.5703125" style="146" customWidth="1"/>
    <col min="15" max="15" width="17.140625" style="146" bestFit="1" customWidth="1"/>
    <col min="16" max="16" width="15.7109375" style="146" bestFit="1" customWidth="1"/>
    <col min="17" max="17" width="20.140625" style="146" bestFit="1" customWidth="1"/>
    <col min="18" max="18" width="18.140625" style="146" bestFit="1" customWidth="1"/>
    <col min="19" max="19" width="15.85546875" style="146" bestFit="1" customWidth="1"/>
    <col min="20" max="16384" width="11.42578125" style="146"/>
  </cols>
  <sheetData>
    <row r="1" spans="1:22" ht="14.25" customHeight="1">
      <c r="A1" s="149"/>
    </row>
    <row r="2" spans="1:22" s="137" customFormat="1" ht="33.75" customHeight="1">
      <c r="A2" s="1287" t="s">
        <v>1082</v>
      </c>
      <c r="B2" s="1287"/>
      <c r="C2" s="1287"/>
      <c r="D2" s="1287"/>
      <c r="E2" s="1287"/>
      <c r="F2" s="1287"/>
      <c r="G2" s="1287"/>
      <c r="H2" s="1287"/>
      <c r="I2" s="1287"/>
      <c r="J2" s="1287"/>
      <c r="K2" s="1287"/>
      <c r="L2" s="1287"/>
      <c r="M2" s="1287"/>
      <c r="N2" s="1287"/>
      <c r="O2" s="1287"/>
      <c r="P2" s="136"/>
      <c r="Q2" s="136"/>
    </row>
    <row r="3" spans="1:22" s="137" customFormat="1" ht="33.75" customHeight="1">
      <c r="A3" s="1287"/>
      <c r="B3" s="1287"/>
      <c r="C3" s="1287"/>
      <c r="D3" s="1287"/>
      <c r="E3" s="1287"/>
      <c r="F3" s="1287"/>
      <c r="G3" s="1287"/>
      <c r="H3" s="1287"/>
      <c r="I3" s="1287"/>
      <c r="J3" s="1287"/>
      <c r="K3" s="1287"/>
      <c r="L3" s="1287"/>
      <c r="M3" s="1287"/>
      <c r="N3" s="1287"/>
      <c r="O3" s="1287"/>
      <c r="P3" s="136"/>
      <c r="Q3" s="136"/>
    </row>
    <row r="4" spans="1:22" s="137" customFormat="1" ht="34.5" customHeight="1">
      <c r="A4" s="1287"/>
      <c r="B4" s="1287"/>
      <c r="C4" s="1287"/>
      <c r="D4" s="1287"/>
      <c r="E4" s="1287"/>
      <c r="F4" s="1287"/>
      <c r="G4" s="1287"/>
      <c r="H4" s="1287"/>
      <c r="I4" s="1287"/>
      <c r="J4" s="1287"/>
      <c r="K4" s="1287"/>
      <c r="L4" s="1287"/>
      <c r="M4" s="1287"/>
      <c r="N4" s="1287"/>
      <c r="O4" s="1287"/>
      <c r="P4" s="136"/>
      <c r="Q4" s="136"/>
    </row>
    <row r="7" spans="1:22" ht="15.75">
      <c r="A7" s="156" t="s">
        <v>57</v>
      </c>
      <c r="B7" s="157">
        <v>108935190000</v>
      </c>
      <c r="D7" s="154"/>
      <c r="E7" s="158"/>
      <c r="F7" s="154"/>
      <c r="G7" s="158"/>
      <c r="H7" s="154"/>
      <c r="I7" s="154"/>
      <c r="J7" s="154"/>
      <c r="K7" s="154"/>
      <c r="L7" s="154"/>
      <c r="M7" s="154"/>
      <c r="N7" s="154"/>
      <c r="O7" s="154"/>
    </row>
    <row r="8" spans="1:22" ht="26.25" customHeight="1" thickBot="1">
      <c r="A8" s="159" t="s">
        <v>58</v>
      </c>
      <c r="B8" s="160"/>
      <c r="C8" s="160"/>
      <c r="D8" s="160"/>
      <c r="E8" s="161"/>
      <c r="F8" s="160"/>
      <c r="G8" s="161"/>
      <c r="H8" s="154"/>
      <c r="I8" s="154"/>
      <c r="J8" s="154"/>
      <c r="K8" s="154"/>
      <c r="L8" s="154"/>
      <c r="M8" s="154"/>
      <c r="N8" s="154"/>
      <c r="O8" s="154"/>
    </row>
    <row r="9" spans="1:22" ht="15.75">
      <c r="A9" s="1288" t="s">
        <v>59</v>
      </c>
      <c r="B9" s="1278" t="s">
        <v>264</v>
      </c>
      <c r="C9" s="1278" t="s">
        <v>60</v>
      </c>
      <c r="D9" s="1278" t="s">
        <v>61</v>
      </c>
      <c r="E9" s="1276" t="s">
        <v>62</v>
      </c>
      <c r="F9" s="1278" t="s">
        <v>63</v>
      </c>
      <c r="G9" s="1276" t="s">
        <v>62</v>
      </c>
      <c r="H9" s="1276" t="s">
        <v>265</v>
      </c>
      <c r="I9" s="1276"/>
      <c r="J9" s="1276"/>
      <c r="K9" s="1276"/>
      <c r="L9" s="1278" t="s">
        <v>60</v>
      </c>
      <c r="M9" s="1278" t="s">
        <v>61</v>
      </c>
      <c r="N9" s="1276" t="s">
        <v>62</v>
      </c>
      <c r="O9" s="1278" t="s">
        <v>63</v>
      </c>
      <c r="P9" s="1285" t="s">
        <v>62</v>
      </c>
      <c r="Q9" s="1295" t="s">
        <v>65</v>
      </c>
      <c r="R9" s="1296"/>
    </row>
    <row r="10" spans="1:22" ht="57" customHeight="1" thickBot="1">
      <c r="A10" s="1289"/>
      <c r="B10" s="1279"/>
      <c r="C10" s="1279"/>
      <c r="D10" s="1279"/>
      <c r="E10" s="1277"/>
      <c r="F10" s="1279"/>
      <c r="G10" s="1277"/>
      <c r="H10" s="748" t="s">
        <v>266</v>
      </c>
      <c r="I10" s="748" t="s">
        <v>268</v>
      </c>
      <c r="J10" s="748" t="s">
        <v>532</v>
      </c>
      <c r="K10" s="749" t="s">
        <v>267</v>
      </c>
      <c r="L10" s="1279"/>
      <c r="M10" s="1279"/>
      <c r="N10" s="1277"/>
      <c r="O10" s="1279"/>
      <c r="P10" s="1286"/>
      <c r="Q10" s="1297"/>
      <c r="R10" s="1298"/>
    </row>
    <row r="11" spans="1:22" ht="129" customHeight="1">
      <c r="A11" s="166">
        <v>45138</v>
      </c>
      <c r="B11" s="167">
        <f>+'Cta 29020102'!G31</f>
        <v>12562184146.35</v>
      </c>
      <c r="C11" s="168">
        <f>100%-('Cta 29020102'!G31/B7)</f>
        <v>0.88468203758262143</v>
      </c>
      <c r="D11" s="167">
        <f>B11*E11</f>
        <v>10049747317.08</v>
      </c>
      <c r="E11" s="168">
        <v>0.8</v>
      </c>
      <c r="F11" s="167">
        <f>B11*G11</f>
        <v>2512436829.27</v>
      </c>
      <c r="G11" s="168">
        <v>0.2</v>
      </c>
      <c r="H11" s="167">
        <f>+'Julio - 2023'!L24</f>
        <v>12562177793.556026</v>
      </c>
      <c r="I11" s="297">
        <f>+'Julio - 2023'!L25</f>
        <v>2100939691.1467762</v>
      </c>
      <c r="J11" s="764">
        <f>+'Julio - 2023'!L26</f>
        <v>495376789</v>
      </c>
      <c r="K11" s="167">
        <f>+H11+I11+J11</f>
        <v>15158494273.702803</v>
      </c>
      <c r="L11" s="298">
        <f>100%-(K11/B7)</f>
        <v>0.86084850750521658</v>
      </c>
      <c r="M11" s="297">
        <f>K11*N11</f>
        <v>12126795418.962242</v>
      </c>
      <c r="N11" s="168">
        <v>0.8</v>
      </c>
      <c r="O11" s="291">
        <f>K11*P11</f>
        <v>3031698854.7405605</v>
      </c>
      <c r="P11" s="299">
        <v>0.2</v>
      </c>
      <c r="Q11" s="1299">
        <f>+K11-I11-J11-B11</f>
        <v>-6352.7939739227295</v>
      </c>
      <c r="R11" s="1299"/>
      <c r="S11" s="1275" t="s">
        <v>1117</v>
      </c>
      <c r="T11" s="1275"/>
      <c r="U11" s="1275"/>
      <c r="V11" s="1275"/>
    </row>
    <row r="12" spans="1:22">
      <c r="A12" s="169"/>
      <c r="B12" s="154"/>
      <c r="C12" s="154"/>
      <c r="D12" s="154"/>
      <c r="E12" s="158"/>
      <c r="F12" s="154"/>
      <c r="G12" s="158"/>
      <c r="H12" s="154"/>
      <c r="I12" s="154"/>
      <c r="J12" s="154"/>
      <c r="K12" s="154"/>
      <c r="L12" s="154"/>
      <c r="M12" s="154"/>
      <c r="N12" s="154"/>
      <c r="O12" s="154"/>
      <c r="Q12" s="154"/>
      <c r="R12" s="999">
        <f>+Q11-24369999+5147</f>
        <v>-24371204.793973923</v>
      </c>
      <c r="S12" s="1098"/>
    </row>
    <row r="13" spans="1:22" ht="15.75">
      <c r="A13" s="170" t="s">
        <v>66</v>
      </c>
      <c r="C13" s="154"/>
      <c r="D13" s="154"/>
      <c r="E13" s="158"/>
      <c r="F13" s="154"/>
      <c r="G13" s="158"/>
      <c r="H13" s="154"/>
      <c r="I13" s="154"/>
      <c r="J13" s="154"/>
      <c r="K13" s="154"/>
      <c r="L13" s="154"/>
      <c r="M13" s="154"/>
      <c r="N13" s="154"/>
      <c r="O13" s="154"/>
    </row>
    <row r="14" spans="1:22" ht="31.5">
      <c r="A14" s="162" t="s">
        <v>207</v>
      </c>
      <c r="B14" s="162" t="s">
        <v>67</v>
      </c>
      <c r="C14" s="162" t="s">
        <v>60</v>
      </c>
      <c r="D14" s="162" t="s">
        <v>61</v>
      </c>
      <c r="E14" s="163" t="s">
        <v>62</v>
      </c>
      <c r="F14" s="162" t="s">
        <v>63</v>
      </c>
      <c r="G14" s="163" t="s">
        <v>62</v>
      </c>
      <c r="H14" s="303" t="s">
        <v>270</v>
      </c>
      <c r="I14" s="304" t="s">
        <v>271</v>
      </c>
      <c r="J14" s="305" t="s">
        <v>64</v>
      </c>
      <c r="K14" s="164" t="s">
        <v>60</v>
      </c>
      <c r="L14" s="164" t="s">
        <v>61</v>
      </c>
      <c r="M14" s="165" t="s">
        <v>62</v>
      </c>
      <c r="N14" s="164" t="s">
        <v>63</v>
      </c>
      <c r="O14" s="165" t="s">
        <v>62</v>
      </c>
      <c r="P14" s="1293" t="s">
        <v>65</v>
      </c>
      <c r="Q14" s="1293"/>
    </row>
    <row r="15" spans="1:22">
      <c r="A15" s="238" t="s">
        <v>170</v>
      </c>
      <c r="B15" s="540">
        <f>+IFERROR(VLOOKUP(A15,'[13]corr y no corr a 10082023'!$C$2:$G$29,5,0),0)</f>
        <v>50345911.689999998</v>
      </c>
      <c r="C15" s="392">
        <f>+VLOOKUP(A15,$B$90:$F$111,5,0)</f>
        <v>8.4699903377134081E-2</v>
      </c>
      <c r="D15" s="154">
        <f>B15*E15</f>
        <v>47828616.105499998</v>
      </c>
      <c r="E15" s="171">
        <v>0.95</v>
      </c>
      <c r="F15" s="154">
        <f t="shared" ref="F15:F22" si="0">B15*G15</f>
        <v>2517295.5844999999</v>
      </c>
      <c r="G15" s="171">
        <v>0.05</v>
      </c>
      <c r="H15" s="309">
        <f>+B15</f>
        <v>50345911.689999998</v>
      </c>
      <c r="I15" s="300">
        <f>+VLOOKUP(A15,Adhesiones!$A$65:$G$86,6,0)</f>
        <v>314653778.98727179</v>
      </c>
      <c r="J15" s="306">
        <f>+H15+I15</f>
        <v>364999690.67727178</v>
      </c>
      <c r="K15" s="392">
        <f t="shared" ref="K15:K29" si="1">+F90</f>
        <v>8.4699903377134081E-2</v>
      </c>
      <c r="L15" s="154">
        <f>J15*M15</f>
        <v>346749706.14340818</v>
      </c>
      <c r="M15" s="171">
        <v>0.95</v>
      </c>
      <c r="N15" s="154">
        <f>J15*O15</f>
        <v>18249984.533863589</v>
      </c>
      <c r="O15" s="171">
        <v>0.05</v>
      </c>
      <c r="P15" s="361">
        <f>+J15-I15-B15</f>
        <v>0</v>
      </c>
      <c r="Q15" s="361"/>
    </row>
    <row r="16" spans="1:22">
      <c r="A16" s="238" t="s">
        <v>179</v>
      </c>
      <c r="B16" s="540">
        <f>+IFERROR(VLOOKUP(A16,'[13]corr y no corr a 10082023'!$C$2:$G$29,5,0),0)</f>
        <v>0</v>
      </c>
      <c r="C16" s="392">
        <f t="shared" ref="C16:C34" si="2">+VLOOKUP(A16,$B$90:$F$111,5,0)</f>
        <v>0</v>
      </c>
      <c r="D16" s="154">
        <f t="shared" ref="D16:D22" si="3">B16*E16</f>
        <v>0</v>
      </c>
      <c r="E16" s="171">
        <v>0.95</v>
      </c>
      <c r="F16" s="154">
        <f t="shared" si="0"/>
        <v>0</v>
      </c>
      <c r="G16" s="171">
        <v>0.05</v>
      </c>
      <c r="H16" s="309">
        <f t="shared" ref="H16:H36" si="4">+B16</f>
        <v>0</v>
      </c>
      <c r="I16" s="300">
        <f>+VLOOKUP(A16,Adhesiones!$A$65:$G$86,6,0)</f>
        <v>276674506.56333333</v>
      </c>
      <c r="J16" s="306">
        <f t="shared" ref="J16:J36" si="5">+H16+I16</f>
        <v>276674506.56333333</v>
      </c>
      <c r="K16" s="392">
        <f t="shared" si="1"/>
        <v>0</v>
      </c>
      <c r="L16" s="154">
        <f t="shared" ref="L16:L22" si="6">J16*M16</f>
        <v>262840781.23516664</v>
      </c>
      <c r="M16" s="171">
        <v>0.95</v>
      </c>
      <c r="N16" s="154">
        <f t="shared" ref="N16:N22" si="7">J16*O16</f>
        <v>13833725.328166667</v>
      </c>
      <c r="O16" s="171">
        <v>0.05</v>
      </c>
      <c r="P16" s="361">
        <f t="shared" ref="P16:P36" si="8">+J16-I16-B16</f>
        <v>0</v>
      </c>
      <c r="Q16" s="361"/>
    </row>
    <row r="17" spans="1:17">
      <c r="A17" s="267" t="s">
        <v>546</v>
      </c>
      <c r="B17" s="540">
        <f>+IFERROR(VLOOKUP(A17,'[13]corr y no corr a 10082023'!$C$2:$G$29,5,0),0)</f>
        <v>20858693</v>
      </c>
      <c r="C17" s="392">
        <f t="shared" si="2"/>
        <v>0</v>
      </c>
      <c r="D17" s="154">
        <f t="shared" si="3"/>
        <v>19815758.349999998</v>
      </c>
      <c r="E17" s="171">
        <v>0.95</v>
      </c>
      <c r="F17" s="154">
        <f t="shared" si="0"/>
        <v>1042934.65</v>
      </c>
      <c r="G17" s="171">
        <v>0.05</v>
      </c>
      <c r="H17" s="309">
        <f t="shared" si="4"/>
        <v>20858693</v>
      </c>
      <c r="I17" s="300">
        <f>+VLOOKUP(A17,Adhesiones!$A$65:$G$86,6,0)</f>
        <v>273972624.13333333</v>
      </c>
      <c r="J17" s="306">
        <f t="shared" si="5"/>
        <v>294831317.13333333</v>
      </c>
      <c r="K17" s="392">
        <f t="shared" si="1"/>
        <v>0</v>
      </c>
      <c r="L17" s="154">
        <f t="shared" si="6"/>
        <v>280089751.27666664</v>
      </c>
      <c r="M17" s="171">
        <v>0.95</v>
      </c>
      <c r="N17" s="154">
        <f t="shared" si="7"/>
        <v>14741565.856666667</v>
      </c>
      <c r="O17" s="171">
        <v>0.05</v>
      </c>
      <c r="P17" s="361">
        <f t="shared" si="8"/>
        <v>0</v>
      </c>
      <c r="Q17" s="361"/>
    </row>
    <row r="18" spans="1:17">
      <c r="A18" s="267" t="s">
        <v>210</v>
      </c>
      <c r="B18" s="540">
        <f>+IFERROR(VLOOKUP(A18,'[13]corr y no corr a 10082023'!$C$2:$G$29,5,0),0)</f>
        <v>25512695</v>
      </c>
      <c r="C18" s="392">
        <f t="shared" si="2"/>
        <v>0</v>
      </c>
      <c r="D18" s="154">
        <f t="shared" si="3"/>
        <v>24237060.25</v>
      </c>
      <c r="E18" s="171">
        <v>0.95</v>
      </c>
      <c r="F18" s="154">
        <f t="shared" si="0"/>
        <v>1275634.75</v>
      </c>
      <c r="G18" s="171">
        <v>0.05</v>
      </c>
      <c r="H18" s="309">
        <f t="shared" si="4"/>
        <v>25512695</v>
      </c>
      <c r="I18" s="300">
        <f>+VLOOKUP(A18,Adhesiones!$A$65:$G$86,6,0)</f>
        <v>539193651.35600007</v>
      </c>
      <c r="J18" s="306">
        <f t="shared" si="5"/>
        <v>564706346.35600007</v>
      </c>
      <c r="K18" s="392">
        <f t="shared" si="1"/>
        <v>0</v>
      </c>
      <c r="L18" s="154">
        <f t="shared" si="6"/>
        <v>536471029.03820002</v>
      </c>
      <c r="M18" s="171">
        <v>0.95</v>
      </c>
      <c r="N18" s="154">
        <f t="shared" si="7"/>
        <v>28235317.317800004</v>
      </c>
      <c r="O18" s="171">
        <v>0.05</v>
      </c>
      <c r="P18" s="361">
        <f t="shared" si="8"/>
        <v>0</v>
      </c>
      <c r="Q18" s="361"/>
    </row>
    <row r="19" spans="1:17">
      <c r="A19" s="267" t="s">
        <v>220</v>
      </c>
      <c r="B19" s="540">
        <f>+IFERROR(VLOOKUP(A19,'[13]corr y no corr a 10082023'!$C$2:$G$29,5,0),0)</f>
        <v>33501360</v>
      </c>
      <c r="C19" s="392">
        <f t="shared" si="2"/>
        <v>4.4444112510572016E-2</v>
      </c>
      <c r="D19" s="154">
        <f t="shared" si="3"/>
        <v>31826292</v>
      </c>
      <c r="E19" s="171">
        <v>0.95</v>
      </c>
      <c r="F19" s="154">
        <f t="shared" si="0"/>
        <v>1675068</v>
      </c>
      <c r="G19" s="171">
        <v>0.05</v>
      </c>
      <c r="H19" s="309">
        <f t="shared" si="4"/>
        <v>33501360</v>
      </c>
      <c r="I19" s="300">
        <f>+VLOOKUP(A19,Adhesiones!$A$65:$G$86,6,0)</f>
        <v>665233695.25000012</v>
      </c>
      <c r="J19" s="306">
        <f t="shared" si="5"/>
        <v>698735055.25000012</v>
      </c>
      <c r="K19" s="392">
        <f t="shared" si="1"/>
        <v>4.4444112510572016E-2</v>
      </c>
      <c r="L19" s="154">
        <f t="shared" si="6"/>
        <v>663798302.48750007</v>
      </c>
      <c r="M19" s="171">
        <v>0.95</v>
      </c>
      <c r="N19" s="154">
        <f t="shared" si="7"/>
        <v>34936752.76250001</v>
      </c>
      <c r="O19" s="171">
        <v>0.05</v>
      </c>
      <c r="P19" s="361">
        <f t="shared" si="8"/>
        <v>0</v>
      </c>
      <c r="Q19" s="361"/>
    </row>
    <row r="20" spans="1:17">
      <c r="A20" s="267" t="s">
        <v>221</v>
      </c>
      <c r="B20" s="540">
        <f>+IFERROR(VLOOKUP(A20,'[13]corr y no corr a 10082023'!$C$2:$G$29,5,0),0)</f>
        <v>60650034.5</v>
      </c>
      <c r="C20" s="392">
        <f t="shared" si="2"/>
        <v>3.9929877500000002E-2</v>
      </c>
      <c r="D20" s="154">
        <f t="shared" si="3"/>
        <v>57617532.774999999</v>
      </c>
      <c r="E20" s="171">
        <v>0.95</v>
      </c>
      <c r="F20" s="154">
        <f t="shared" si="0"/>
        <v>3032501.7250000001</v>
      </c>
      <c r="G20" s="171">
        <v>0.05</v>
      </c>
      <c r="H20" s="309">
        <f t="shared" si="4"/>
        <v>60650034.5</v>
      </c>
      <c r="I20" s="300">
        <f>+VLOOKUP(A20,Adhesiones!$A$65:$G$86,6,0)</f>
        <v>939077322.50000012</v>
      </c>
      <c r="J20" s="306">
        <f t="shared" si="5"/>
        <v>999727357.00000012</v>
      </c>
      <c r="K20" s="392">
        <f t="shared" si="1"/>
        <v>3.9929877500000002E-2</v>
      </c>
      <c r="L20" s="154">
        <f t="shared" si="6"/>
        <v>949740989.1500001</v>
      </c>
      <c r="M20" s="171">
        <v>0.95</v>
      </c>
      <c r="N20" s="154">
        <f t="shared" si="7"/>
        <v>49986367.850000009</v>
      </c>
      <c r="O20" s="171">
        <v>0.05</v>
      </c>
      <c r="P20" s="361">
        <f t="shared" si="8"/>
        <v>0</v>
      </c>
      <c r="Q20" s="361"/>
    </row>
    <row r="21" spans="1:17">
      <c r="A21" s="238" t="s">
        <v>547</v>
      </c>
      <c r="B21" s="540">
        <f>+IFERROR(VLOOKUP(A21,'[13]corr y no corr a 10082023'!$C$2:$G$29,5,0),0)</f>
        <v>14198011</v>
      </c>
      <c r="C21" s="392">
        <f t="shared" si="2"/>
        <v>0</v>
      </c>
      <c r="D21" s="154">
        <f t="shared" si="3"/>
        <v>13488110.449999999</v>
      </c>
      <c r="E21" s="171">
        <v>0.95</v>
      </c>
      <c r="F21" s="154">
        <f t="shared" si="0"/>
        <v>709900.55</v>
      </c>
      <c r="G21" s="171">
        <v>0.05</v>
      </c>
      <c r="H21" s="309">
        <f t="shared" si="4"/>
        <v>14198011</v>
      </c>
      <c r="I21" s="300">
        <f>+VLOOKUP(A21,Adhesiones!$A$65:$G$86,6,0)</f>
        <v>283656511.03333336</v>
      </c>
      <c r="J21" s="306">
        <f t="shared" si="5"/>
        <v>297854522.03333336</v>
      </c>
      <c r="K21" s="392">
        <f t="shared" si="1"/>
        <v>0</v>
      </c>
      <c r="L21" s="154">
        <f t="shared" si="6"/>
        <v>282961795.93166667</v>
      </c>
      <c r="M21" s="171">
        <v>0.95</v>
      </c>
      <c r="N21" s="154">
        <f t="shared" si="7"/>
        <v>14892726.101666668</v>
      </c>
      <c r="O21" s="171">
        <v>0.05</v>
      </c>
      <c r="P21" s="361">
        <f t="shared" si="8"/>
        <v>0</v>
      </c>
      <c r="Q21" s="361"/>
    </row>
    <row r="22" spans="1:17">
      <c r="A22" s="267" t="s">
        <v>169</v>
      </c>
      <c r="B22" s="540">
        <f>+IFERROR(VLOOKUP(A22,'[13]corr y no corr a 10082023'!$C$2:$G$29,5,0),0)</f>
        <v>520073</v>
      </c>
      <c r="C22" s="392">
        <f t="shared" si="2"/>
        <v>0</v>
      </c>
      <c r="D22" s="154">
        <f t="shared" si="3"/>
        <v>494069.35</v>
      </c>
      <c r="E22" s="171">
        <v>0.95</v>
      </c>
      <c r="F22" s="154">
        <f t="shared" si="0"/>
        <v>26003.65</v>
      </c>
      <c r="G22" s="171">
        <v>0.05</v>
      </c>
      <c r="H22" s="309">
        <f t="shared" si="4"/>
        <v>520073</v>
      </c>
      <c r="I22" s="300">
        <f>+VLOOKUP(A22,Adhesiones!$A$65:$G$86,6,0)</f>
        <v>297001637.05999994</v>
      </c>
      <c r="J22" s="306">
        <f t="shared" si="5"/>
        <v>297521710.05999994</v>
      </c>
      <c r="K22" s="392">
        <f t="shared" si="1"/>
        <v>0</v>
      </c>
      <c r="L22" s="154">
        <f t="shared" si="6"/>
        <v>282645624.55699992</v>
      </c>
      <c r="M22" s="171">
        <v>0.95</v>
      </c>
      <c r="N22" s="154">
        <f t="shared" si="7"/>
        <v>14876085.502999999</v>
      </c>
      <c r="O22" s="171">
        <v>0.05</v>
      </c>
      <c r="P22" s="361">
        <f t="shared" si="8"/>
        <v>0</v>
      </c>
      <c r="Q22" s="361"/>
    </row>
    <row r="23" spans="1:17">
      <c r="A23" s="238" t="s">
        <v>458</v>
      </c>
      <c r="B23" s="540">
        <f>+IFERROR(VLOOKUP(A23,'[13]corr y no corr a 10082023'!$C$2:$G$29,5,0),0)</f>
        <v>915302</v>
      </c>
      <c r="C23" s="392">
        <f t="shared" si="2"/>
        <v>0.18146400757575654</v>
      </c>
      <c r="D23" s="154">
        <f t="shared" ref="D23:D36" si="9">B23*E23</f>
        <v>869536.89999999991</v>
      </c>
      <c r="E23" s="171">
        <v>0.95</v>
      </c>
      <c r="F23" s="154">
        <f t="shared" ref="F23:F36" si="10">B23*G23</f>
        <v>45765.100000000006</v>
      </c>
      <c r="G23" s="171">
        <v>0.05</v>
      </c>
      <c r="H23" s="309">
        <f t="shared" si="4"/>
        <v>915302</v>
      </c>
      <c r="I23" s="300">
        <f>+VLOOKUP(A23,Adhesiones!$A$65:$G$86,6,0)</f>
        <v>232251291</v>
      </c>
      <c r="J23" s="306">
        <f t="shared" si="5"/>
        <v>233166593</v>
      </c>
      <c r="K23" s="392">
        <f t="shared" si="1"/>
        <v>0.18146400757575654</v>
      </c>
      <c r="L23" s="154">
        <f t="shared" ref="L23:L36" si="11">J23*M23</f>
        <v>221508263.34999999</v>
      </c>
      <c r="M23" s="171">
        <v>0.95</v>
      </c>
      <c r="N23" s="154">
        <f t="shared" ref="N23:N36" si="12">J23*O23</f>
        <v>11658329.65</v>
      </c>
      <c r="O23" s="171">
        <v>0.05</v>
      </c>
      <c r="P23" s="361">
        <f t="shared" si="8"/>
        <v>0</v>
      </c>
      <c r="Q23" s="361"/>
    </row>
    <row r="24" spans="1:17">
      <c r="A24" s="238" t="s">
        <v>182</v>
      </c>
      <c r="B24" s="540">
        <f>+IFERROR(VLOOKUP(A24,'[13]corr y no corr a 10082023'!$C$2:$G$29,5,0),0)</f>
        <v>239714</v>
      </c>
      <c r="C24" s="392">
        <f t="shared" si="2"/>
        <v>0</v>
      </c>
      <c r="D24" s="154">
        <f t="shared" si="9"/>
        <v>227728.3</v>
      </c>
      <c r="E24" s="171">
        <v>0.95</v>
      </c>
      <c r="F24" s="154">
        <f t="shared" si="10"/>
        <v>11985.7</v>
      </c>
      <c r="G24" s="171">
        <v>0.05</v>
      </c>
      <c r="H24" s="309">
        <f t="shared" si="4"/>
        <v>239714</v>
      </c>
      <c r="I24" s="300">
        <f>+VLOOKUP(A24,Adhesiones!$A$65:$G$86,6,0)</f>
        <v>415013208.00400001</v>
      </c>
      <c r="J24" s="306">
        <f t="shared" si="5"/>
        <v>415252922.00400001</v>
      </c>
      <c r="K24" s="392">
        <f t="shared" si="1"/>
        <v>0</v>
      </c>
      <c r="L24" s="154">
        <f t="shared" si="11"/>
        <v>394490275.90380001</v>
      </c>
      <c r="M24" s="171">
        <v>0.95</v>
      </c>
      <c r="N24" s="154">
        <f t="shared" si="12"/>
        <v>20762646.100200001</v>
      </c>
      <c r="O24" s="171">
        <v>0.05</v>
      </c>
      <c r="P24" s="361">
        <f t="shared" si="8"/>
        <v>0</v>
      </c>
      <c r="Q24" s="361"/>
    </row>
    <row r="25" spans="1:17">
      <c r="A25" s="238" t="s">
        <v>183</v>
      </c>
      <c r="B25" s="540">
        <f>+IFERROR(VLOOKUP(A25,'[13]corr y no corr a 10082023'!$C$2:$G$29,5,0),0)</f>
        <v>0.37</v>
      </c>
      <c r="C25" s="392">
        <f t="shared" si="2"/>
        <v>9.5145141057142876E-2</v>
      </c>
      <c r="D25" s="154">
        <f t="shared" si="9"/>
        <v>0.35149999999999998</v>
      </c>
      <c r="E25" s="171">
        <v>0.95</v>
      </c>
      <c r="F25" s="154">
        <f t="shared" si="10"/>
        <v>1.8499999999999999E-2</v>
      </c>
      <c r="G25" s="171">
        <v>0.05</v>
      </c>
      <c r="H25" s="309">
        <f t="shared" si="4"/>
        <v>0.37</v>
      </c>
      <c r="I25" s="300">
        <f>+VLOOKUP(A25,Adhesiones!$A$65:$G$86,6,0)</f>
        <v>297532665.54999995</v>
      </c>
      <c r="J25" s="306">
        <f t="shared" si="5"/>
        <v>297532665.91999996</v>
      </c>
      <c r="K25" s="392">
        <f t="shared" si="1"/>
        <v>9.5145141057142876E-2</v>
      </c>
      <c r="L25" s="154">
        <f t="shared" si="11"/>
        <v>282656032.62399995</v>
      </c>
      <c r="M25" s="171">
        <v>0.95</v>
      </c>
      <c r="N25" s="154">
        <f t="shared" si="12"/>
        <v>14876633.295999998</v>
      </c>
      <c r="O25" s="171">
        <v>0.05</v>
      </c>
      <c r="P25" s="361">
        <f t="shared" si="8"/>
        <v>4.7683715864721421E-9</v>
      </c>
      <c r="Q25" s="361"/>
    </row>
    <row r="26" spans="1:17">
      <c r="A26" s="238" t="s">
        <v>548</v>
      </c>
      <c r="B26" s="540">
        <f>+IFERROR(VLOOKUP(A26,'[13]corr y no corr a 10082023'!$C$2:$G$29,5,0),0)</f>
        <v>1582184.2</v>
      </c>
      <c r="C26" s="392">
        <f t="shared" si="2"/>
        <v>9.8437603422303399E-2</v>
      </c>
      <c r="D26" s="154">
        <f t="shared" si="9"/>
        <v>1503074.99</v>
      </c>
      <c r="E26" s="171">
        <v>0.95</v>
      </c>
      <c r="F26" s="154">
        <f t="shared" si="10"/>
        <v>79109.210000000006</v>
      </c>
      <c r="G26" s="171">
        <v>0.05</v>
      </c>
      <c r="H26" s="309">
        <f t="shared" si="4"/>
        <v>1582184.2</v>
      </c>
      <c r="I26" s="300">
        <f>+VLOOKUP(A26,Adhesiones!$A$65:$G$86,6,0)</f>
        <v>493371026.0961712</v>
      </c>
      <c r="J26" s="306">
        <f t="shared" si="5"/>
        <v>494953210.29617119</v>
      </c>
      <c r="K26" s="392">
        <f t="shared" si="1"/>
        <v>9.8437603422303399E-2</v>
      </c>
      <c r="L26" s="154">
        <f t="shared" si="11"/>
        <v>470205549.78136259</v>
      </c>
      <c r="M26" s="171">
        <v>0.95</v>
      </c>
      <c r="N26" s="154">
        <f t="shared" si="12"/>
        <v>24747660.514808562</v>
      </c>
      <c r="O26" s="171">
        <v>0.05</v>
      </c>
      <c r="P26" s="361">
        <f t="shared" si="8"/>
        <v>-1.1874362826347351E-8</v>
      </c>
      <c r="Q26" s="361"/>
    </row>
    <row r="27" spans="1:17">
      <c r="A27" s="238" t="s">
        <v>459</v>
      </c>
      <c r="B27" s="540">
        <f>+IFERROR(VLOOKUP(A27,'[13]corr y no corr a 10082023'!$C$2:$G$29,5,0),0)</f>
        <v>3996145</v>
      </c>
      <c r="C27" s="392">
        <f t="shared" si="2"/>
        <v>0</v>
      </c>
      <c r="D27" s="154">
        <f t="shared" si="9"/>
        <v>3796337.75</v>
      </c>
      <c r="E27" s="171">
        <v>0.95</v>
      </c>
      <c r="F27" s="154">
        <f t="shared" si="10"/>
        <v>199807.25</v>
      </c>
      <c r="G27" s="171">
        <v>0.05</v>
      </c>
      <c r="H27" s="309">
        <f t="shared" si="4"/>
        <v>3996145</v>
      </c>
      <c r="I27" s="300">
        <f>+VLOOKUP(A27,Adhesiones!$A$65:$G$86,6,0)</f>
        <v>443871137.78965497</v>
      </c>
      <c r="J27" s="306">
        <f t="shared" si="5"/>
        <v>447867282.78965497</v>
      </c>
      <c r="K27" s="392">
        <f t="shared" si="1"/>
        <v>0</v>
      </c>
      <c r="L27" s="154">
        <f t="shared" si="11"/>
        <v>425473918.65017217</v>
      </c>
      <c r="M27" s="171">
        <v>0.95</v>
      </c>
      <c r="N27" s="154">
        <f t="shared" si="12"/>
        <v>22393364.139482751</v>
      </c>
      <c r="O27" s="171">
        <v>0.05</v>
      </c>
      <c r="P27" s="361">
        <f t="shared" si="8"/>
        <v>0</v>
      </c>
      <c r="Q27" s="361"/>
    </row>
    <row r="28" spans="1:17">
      <c r="A28" s="238" t="s">
        <v>549</v>
      </c>
      <c r="B28" s="540">
        <f>+IFERROR(VLOOKUP(A28,'[13]corr y no corr a 10082023'!$C$2:$G$29,5,0),0)</f>
        <v>71850341</v>
      </c>
      <c r="C28" s="392">
        <f t="shared" si="2"/>
        <v>3.7732543333333333E-2</v>
      </c>
      <c r="D28" s="154">
        <f t="shared" si="9"/>
        <v>68257823.950000003</v>
      </c>
      <c r="E28" s="171">
        <v>0.95</v>
      </c>
      <c r="F28" s="154">
        <f t="shared" si="10"/>
        <v>3592517.0500000003</v>
      </c>
      <c r="G28" s="171">
        <v>0.05</v>
      </c>
      <c r="H28" s="309">
        <f t="shared" si="4"/>
        <v>71850341</v>
      </c>
      <c r="I28" s="300">
        <f>+VLOOKUP(A28,Adhesiones!$A$65:$G$86,6,0)</f>
        <v>581833760.63</v>
      </c>
      <c r="J28" s="306">
        <f t="shared" si="5"/>
        <v>653684101.63</v>
      </c>
      <c r="K28" s="392">
        <f t="shared" si="1"/>
        <v>3.7732543333333333E-2</v>
      </c>
      <c r="L28" s="154">
        <f t="shared" si="11"/>
        <v>620999896.54849994</v>
      </c>
      <c r="M28" s="171">
        <v>0.95</v>
      </c>
      <c r="N28" s="154">
        <f t="shared" si="12"/>
        <v>32684205.081500001</v>
      </c>
      <c r="O28" s="171">
        <v>0.05</v>
      </c>
      <c r="P28" s="361">
        <f t="shared" si="8"/>
        <v>0</v>
      </c>
      <c r="Q28" s="361"/>
    </row>
    <row r="29" spans="1:17">
      <c r="A29" s="238" t="s">
        <v>550</v>
      </c>
      <c r="B29" s="540">
        <f>+IFERROR(VLOOKUP(A29,'[13]corr y no corr a 10082023'!$C$2:$G$29,5,0),0)</f>
        <v>18012523</v>
      </c>
      <c r="C29" s="392">
        <f t="shared" si="2"/>
        <v>0</v>
      </c>
      <c r="D29" s="154">
        <f t="shared" si="9"/>
        <v>17111896.849999998</v>
      </c>
      <c r="E29" s="171">
        <v>0.95</v>
      </c>
      <c r="F29" s="154">
        <f t="shared" si="10"/>
        <v>900626.15</v>
      </c>
      <c r="G29" s="171">
        <v>0.05</v>
      </c>
      <c r="H29" s="309">
        <f t="shared" si="4"/>
        <v>18012523</v>
      </c>
      <c r="I29" s="300">
        <f>+VLOOKUP(A29,Adhesiones!$A$65:$G$86,6,0)</f>
        <v>678115452.77499986</v>
      </c>
      <c r="J29" s="306">
        <f t="shared" si="5"/>
        <v>696127975.77499986</v>
      </c>
      <c r="K29" s="392">
        <f t="shared" si="1"/>
        <v>0</v>
      </c>
      <c r="L29" s="154">
        <f t="shared" si="11"/>
        <v>661321576.9862498</v>
      </c>
      <c r="M29" s="171">
        <v>0.95</v>
      </c>
      <c r="N29" s="154">
        <f t="shared" si="12"/>
        <v>34806398.788749993</v>
      </c>
      <c r="O29" s="171">
        <v>0.05</v>
      </c>
      <c r="P29" s="361">
        <f t="shared" si="8"/>
        <v>0</v>
      </c>
      <c r="Q29" s="361"/>
    </row>
    <row r="30" spans="1:17">
      <c r="A30" s="931" t="s">
        <v>461</v>
      </c>
      <c r="B30" s="540">
        <f>+IFERROR(VLOOKUP(A30,'[13]corr y no corr a 10082023'!$C$2:$G$29,5,0),0)</f>
        <v>0</v>
      </c>
      <c r="C30" s="392">
        <f t="shared" si="2"/>
        <v>0.19211547233966994</v>
      </c>
      <c r="D30" s="154">
        <f>B30*E30</f>
        <v>0</v>
      </c>
      <c r="E30" s="171">
        <v>0.95</v>
      </c>
      <c r="F30" s="154">
        <f>B30*G30</f>
        <v>0</v>
      </c>
      <c r="G30" s="171">
        <v>0.05</v>
      </c>
      <c r="H30" s="309">
        <f t="shared" si="4"/>
        <v>0</v>
      </c>
      <c r="I30" s="300">
        <f>+VLOOKUP(A30,Adhesiones!$A$65:$G$86,6,0)</f>
        <v>310082429</v>
      </c>
      <c r="J30" s="306">
        <f>+H30+I30</f>
        <v>310082429</v>
      </c>
      <c r="K30" s="392">
        <f>+F102</f>
        <v>0</v>
      </c>
      <c r="L30" s="154">
        <f>J30*M30</f>
        <v>294578307.55000001</v>
      </c>
      <c r="M30" s="171">
        <v>0.95</v>
      </c>
      <c r="N30" s="154">
        <f>J30*O30</f>
        <v>15504121.450000001</v>
      </c>
      <c r="O30" s="171">
        <v>0.05</v>
      </c>
      <c r="P30" s="361">
        <f>+J30-I30-B30</f>
        <v>0</v>
      </c>
      <c r="Q30" s="361"/>
    </row>
    <row r="31" spans="1:17">
      <c r="A31" s="931" t="s">
        <v>236</v>
      </c>
      <c r="B31" s="540">
        <f>+Adhesiones!H81</f>
        <v>10557133</v>
      </c>
      <c r="C31" s="392">
        <f t="shared" si="2"/>
        <v>0</v>
      </c>
      <c r="D31" s="154">
        <f>B31*E31</f>
        <v>10029276.35</v>
      </c>
      <c r="E31" s="171">
        <v>0.95</v>
      </c>
      <c r="F31" s="154">
        <f>B31*G31</f>
        <v>527856.65</v>
      </c>
      <c r="G31" s="171">
        <v>0.05</v>
      </c>
      <c r="H31" s="309">
        <f t="shared" si="4"/>
        <v>10557133</v>
      </c>
      <c r="I31" s="300">
        <f>+VLOOKUP(A31,Adhesiones!$A$65:$G$86,6,0)</f>
        <v>977789753.82000005</v>
      </c>
      <c r="J31" s="306">
        <f>+H31+I31</f>
        <v>988346886.82000005</v>
      </c>
      <c r="K31" s="392">
        <f>+F103</f>
        <v>3.7732543333333333E-2</v>
      </c>
      <c r="L31" s="154">
        <f>J31*M31</f>
        <v>938929542.47899997</v>
      </c>
      <c r="M31" s="171">
        <v>0.95</v>
      </c>
      <c r="N31" s="154">
        <f>J31*O31</f>
        <v>49417344.341000006</v>
      </c>
      <c r="O31" s="171">
        <v>0.05</v>
      </c>
      <c r="P31" s="361">
        <f>+J31-I31-B31</f>
        <v>0</v>
      </c>
      <c r="Q31" s="361"/>
    </row>
    <row r="32" spans="1:17">
      <c r="A32" s="238" t="s">
        <v>269</v>
      </c>
      <c r="B32" s="540">
        <f>+IFERROR(VLOOKUP(A32,'[13]corr y no corr a 10082023'!$C$2:$G$29,5,0),0)</f>
        <v>47312435</v>
      </c>
      <c r="C32" s="392">
        <f t="shared" si="2"/>
        <v>0</v>
      </c>
      <c r="D32" s="154">
        <f>B32*E32</f>
        <v>44946813.25</v>
      </c>
      <c r="E32" s="171">
        <v>0.95</v>
      </c>
      <c r="F32" s="154">
        <f>B32*G32</f>
        <v>2365621.75</v>
      </c>
      <c r="G32" s="171">
        <v>0.05</v>
      </c>
      <c r="H32" s="309">
        <f t="shared" si="4"/>
        <v>47312435</v>
      </c>
      <c r="I32" s="300">
        <f>+VLOOKUP(A32,Adhesiones!$A$65:$G$86,6,0)</f>
        <v>678530096.90500009</v>
      </c>
      <c r="J32" s="306">
        <f>+H32+I32</f>
        <v>725842531.90500009</v>
      </c>
      <c r="K32" s="392">
        <f>+F101</f>
        <v>9.8437603422303399E-2</v>
      </c>
      <c r="L32" s="154">
        <f>J32*M32</f>
        <v>689550405.30975008</v>
      </c>
      <c r="M32" s="171">
        <v>0.95</v>
      </c>
      <c r="N32" s="154">
        <f>J32*O32</f>
        <v>36292126.595250003</v>
      </c>
      <c r="O32" s="171">
        <v>0.05</v>
      </c>
      <c r="P32" s="361">
        <f>+J32-I32-B32</f>
        <v>0</v>
      </c>
      <c r="Q32" s="361"/>
    </row>
    <row r="33" spans="1:17">
      <c r="A33" s="238" t="s">
        <v>296</v>
      </c>
      <c r="B33" s="540">
        <f>+IFERROR(VLOOKUP(A33,'[13]corr y no corr a 10082023'!$C$2:$G$29,5,0),0)</f>
        <v>34064251</v>
      </c>
      <c r="C33" s="392">
        <f t="shared" si="2"/>
        <v>9.7679821733821656E-2</v>
      </c>
      <c r="D33" s="154">
        <f>B33*E33</f>
        <v>32361038.449999999</v>
      </c>
      <c r="E33" s="171">
        <v>0.95</v>
      </c>
      <c r="F33" s="154">
        <f>B33*G33</f>
        <v>1703212.55</v>
      </c>
      <c r="G33" s="171">
        <v>0.05</v>
      </c>
      <c r="H33" s="309">
        <f t="shared" si="4"/>
        <v>34064251</v>
      </c>
      <c r="I33" s="300">
        <f>+VLOOKUP(A33,Adhesiones!$A$65:$G$86,6,0)</f>
        <v>237385595.85333329</v>
      </c>
      <c r="J33" s="306">
        <f>+H33+I33</f>
        <v>271449846.85333329</v>
      </c>
      <c r="K33" s="392">
        <f>+F104</f>
        <v>0</v>
      </c>
      <c r="L33" s="154">
        <f>J33*M33</f>
        <v>257877354.51066661</v>
      </c>
      <c r="M33" s="171">
        <v>0.95</v>
      </c>
      <c r="N33" s="154">
        <f>J33*O33</f>
        <v>13572492.342666665</v>
      </c>
      <c r="O33" s="171">
        <v>0.05</v>
      </c>
      <c r="P33" s="361">
        <f>+J33-I33-B33</f>
        <v>0</v>
      </c>
      <c r="Q33" s="361"/>
    </row>
    <row r="34" spans="1:17">
      <c r="A34" s="238" t="s">
        <v>551</v>
      </c>
      <c r="B34" s="540">
        <f>+IFERROR(VLOOKUP(A34,'[13]corr y no corr a 10082023'!$C$2:$G$29,5,0),0)</f>
        <v>14141887.220000001</v>
      </c>
      <c r="C34" s="392">
        <f t="shared" si="2"/>
        <v>0.1031296536972708</v>
      </c>
      <c r="D34" s="154">
        <f t="shared" si="9"/>
        <v>13434792.858999999</v>
      </c>
      <c r="E34" s="171">
        <v>0.95</v>
      </c>
      <c r="F34" s="154">
        <f t="shared" si="10"/>
        <v>707094.36100000003</v>
      </c>
      <c r="G34" s="171">
        <v>0.05</v>
      </c>
      <c r="H34" s="309">
        <f t="shared" si="4"/>
        <v>14141887.220000001</v>
      </c>
      <c r="I34" s="300">
        <f>+VLOOKUP(A34,Adhesiones!$A$65:$G$86,6,0)</f>
        <v>565544947.43290317</v>
      </c>
      <c r="J34" s="306">
        <f t="shared" si="5"/>
        <v>579686834.6529032</v>
      </c>
      <c r="K34" s="392">
        <f>+F105</f>
        <v>0.19211547233966994</v>
      </c>
      <c r="L34" s="154">
        <f t="shared" si="11"/>
        <v>550702492.92025805</v>
      </c>
      <c r="M34" s="171">
        <v>0.95</v>
      </c>
      <c r="N34" s="154">
        <f t="shared" si="12"/>
        <v>28984341.732645161</v>
      </c>
      <c r="O34" s="171">
        <v>0.05</v>
      </c>
      <c r="P34" s="361">
        <f t="shared" si="8"/>
        <v>2.7939677238464355E-8</v>
      </c>
      <c r="Q34" s="361"/>
    </row>
    <row r="35" spans="1:17">
      <c r="A35" s="238" t="s">
        <v>385</v>
      </c>
      <c r="B35" s="540">
        <f>+IFERROR(VLOOKUP(A35,'[13]corr y no corr a 10082023'!$C$2:$G$29,5,0),0)</f>
        <v>24263943</v>
      </c>
      <c r="C35" s="392">
        <f>+VLOOKUP(A35,$B$90:$F$112,5,0)</f>
        <v>5.3333333333333337E-2</v>
      </c>
      <c r="D35" s="154">
        <f>B35*E35</f>
        <v>23050745.849999998</v>
      </c>
      <c r="E35" s="171">
        <v>0.95</v>
      </c>
      <c r="F35" s="154">
        <f>B35*G35</f>
        <v>1213197.1500000001</v>
      </c>
      <c r="G35" s="171">
        <v>0.05</v>
      </c>
      <c r="H35" s="309">
        <f t="shared" si="4"/>
        <v>24263943</v>
      </c>
      <c r="I35" s="300">
        <f>+VLOOKUP(A35,Adhesiones!$A$65:$G$86,6,0)</f>
        <v>523391003.67200005</v>
      </c>
      <c r="J35" s="306">
        <f>+H35+I35</f>
        <v>547654946.67200005</v>
      </c>
      <c r="K35" s="392">
        <f>+F105</f>
        <v>0.19211547233966994</v>
      </c>
      <c r="L35" s="154">
        <f>J35*M35</f>
        <v>520272199.33840001</v>
      </c>
      <c r="M35" s="171">
        <v>0.95</v>
      </c>
      <c r="N35" s="154">
        <f>J35*O35</f>
        <v>27382747.333600003</v>
      </c>
      <c r="O35" s="171">
        <v>0.05</v>
      </c>
      <c r="P35" s="361">
        <f>+J35-I35-B35</f>
        <v>0</v>
      </c>
      <c r="Q35" s="361"/>
    </row>
    <row r="36" spans="1:17">
      <c r="A36" s="238" t="s">
        <v>379</v>
      </c>
      <c r="B36" s="540">
        <f>+IFERROR(VLOOKUP(A36,'[13]corr y no corr a 10082023'!$C$2:$G$29,5,0),0)</f>
        <v>7282050</v>
      </c>
      <c r="C36" s="392">
        <f>+VLOOKUP(A36,$B$90:$F$112,5,0)</f>
        <v>0</v>
      </c>
      <c r="D36" s="154">
        <f t="shared" si="9"/>
        <v>6917947.5</v>
      </c>
      <c r="E36" s="171">
        <v>0.95</v>
      </c>
      <c r="F36" s="154">
        <f t="shared" si="10"/>
        <v>364102.5</v>
      </c>
      <c r="G36" s="171">
        <v>0.05</v>
      </c>
      <c r="H36" s="309">
        <f t="shared" si="4"/>
        <v>7282050</v>
      </c>
      <c r="I36" s="300">
        <f>+VLOOKUP(A36,Adhesiones!$A$65:$G$86,6,0)</f>
        <v>265268667.04333332</v>
      </c>
      <c r="J36" s="306">
        <f t="shared" si="5"/>
        <v>272550717.04333329</v>
      </c>
      <c r="K36" s="392">
        <f>+F106</f>
        <v>0</v>
      </c>
      <c r="L36" s="154">
        <f t="shared" si="11"/>
        <v>258923181.19116661</v>
      </c>
      <c r="M36" s="171">
        <v>0.95</v>
      </c>
      <c r="N36" s="154">
        <f t="shared" si="12"/>
        <v>13627535.852166666</v>
      </c>
      <c r="O36" s="171">
        <v>0.05</v>
      </c>
      <c r="P36" s="361">
        <f t="shared" si="8"/>
        <v>-2.9802322387695313E-8</v>
      </c>
      <c r="Q36" s="361"/>
    </row>
    <row r="37" spans="1:17" ht="15.75">
      <c r="A37" s="172" t="s">
        <v>68</v>
      </c>
      <c r="B37" s="393">
        <f>SUM(B15:B36)</f>
        <v>439804686.98000002</v>
      </c>
      <c r="C37" s="173"/>
      <c r="D37" s="173">
        <f>SUM(D15:D36)</f>
        <v>417814452.6310001</v>
      </c>
      <c r="E37" s="173"/>
      <c r="F37" s="173">
        <f>SUM(F15:F36)</f>
        <v>21990234.349000003</v>
      </c>
      <c r="G37" s="173"/>
      <c r="H37" s="310">
        <f>SUM(H15:H36)</f>
        <v>439804686.98000002</v>
      </c>
      <c r="I37" s="310">
        <f>SUM(I15:I36)</f>
        <v>10289444762.454668</v>
      </c>
      <c r="J37" s="307">
        <f>SUM(J15:J36)</f>
        <v>10729249449.434666</v>
      </c>
      <c r="K37" s="174"/>
      <c r="L37" s="174">
        <f>SUM(L15:L36)</f>
        <v>10192786976.962933</v>
      </c>
      <c r="M37" s="174"/>
      <c r="N37" s="174">
        <f>SUM(N15:N36)</f>
        <v>536462472.47173339</v>
      </c>
      <c r="O37" s="175"/>
      <c r="P37" s="366">
        <f>+J37-I37-B37</f>
        <v>-2.384185791015625E-6</v>
      </c>
      <c r="Q37" s="366"/>
    </row>
    <row r="38" spans="1:17" ht="15.75">
      <c r="A38" s="176" t="s">
        <v>69</v>
      </c>
      <c r="B38" s="177">
        <f>B11+B37</f>
        <v>13001988833.33</v>
      </c>
      <c r="C38" s="177"/>
      <c r="D38" s="177">
        <f>D11+D37</f>
        <v>10467561769.711</v>
      </c>
      <c r="E38" s="178"/>
      <c r="F38" s="177">
        <f>F11+F37</f>
        <v>2534427063.619</v>
      </c>
      <c r="G38" s="178"/>
      <c r="H38" s="311">
        <f>+H37+H11</f>
        <v>13001982480.536026</v>
      </c>
      <c r="I38" s="311">
        <f>+I37+I11</f>
        <v>12390384453.601444</v>
      </c>
      <c r="J38" s="308">
        <f>+H38+I38</f>
        <v>25392366934.13747</v>
      </c>
      <c r="K38" s="179"/>
      <c r="L38" s="177">
        <f>K11+L37</f>
        <v>25351281250.665733</v>
      </c>
      <c r="M38" s="179"/>
      <c r="N38" s="177">
        <f>M11+N37</f>
        <v>12663257891.433975</v>
      </c>
      <c r="O38" s="179"/>
      <c r="P38" s="1294">
        <f>B38-H38</f>
        <v>6352.7939739227295</v>
      </c>
      <c r="Q38" s="1294"/>
    </row>
    <row r="40" spans="1:17" s="503" customFormat="1" ht="15.75">
      <c r="A40" s="501" t="s">
        <v>357</v>
      </c>
      <c r="B40" s="502"/>
    </row>
    <row r="41" spans="1:17" s="503" customFormat="1" ht="15.75">
      <c r="A41" s="1290" t="s">
        <v>359</v>
      </c>
      <c r="B41" s="1290" t="s">
        <v>361</v>
      </c>
      <c r="C41" s="1290" t="s">
        <v>60</v>
      </c>
      <c r="D41" s="1290" t="s">
        <v>61</v>
      </c>
      <c r="E41" s="1280" t="s">
        <v>62</v>
      </c>
      <c r="F41" s="1290" t="s">
        <v>63</v>
      </c>
      <c r="G41" s="1280" t="s">
        <v>62</v>
      </c>
      <c r="H41" s="1284"/>
      <c r="I41" s="1284"/>
      <c r="J41" s="1284"/>
      <c r="K41" s="1292"/>
      <c r="L41" s="1292"/>
      <c r="M41" s="1284"/>
      <c r="N41" s="1292"/>
      <c r="O41" s="1284"/>
      <c r="P41" s="1284"/>
      <c r="Q41" s="1284"/>
    </row>
    <row r="42" spans="1:17" s="503" customFormat="1" ht="16.5" thickBot="1">
      <c r="A42" s="1291"/>
      <c r="B42" s="1291"/>
      <c r="C42" s="1291"/>
      <c r="D42" s="1291"/>
      <c r="E42" s="1281"/>
      <c r="F42" s="1291"/>
      <c r="G42" s="1281"/>
      <c r="H42" s="506"/>
      <c r="I42" s="506"/>
      <c r="J42" s="507"/>
      <c r="K42" s="1292"/>
      <c r="L42" s="1292"/>
      <c r="M42" s="1284"/>
      <c r="N42" s="1292"/>
      <c r="O42" s="1284"/>
      <c r="P42" s="1284"/>
      <c r="Q42" s="1284"/>
    </row>
    <row r="43" spans="1:17" s="503" customFormat="1" ht="31.5" customHeight="1">
      <c r="A43" s="515" t="s">
        <v>360</v>
      </c>
      <c r="B43" s="788">
        <f>+'Anexo 2 Sena'!F88-'Anexo 2 Sena'!E82+'Anexo 2 Sena'!F99</f>
        <v>2319273.048</v>
      </c>
      <c r="C43" s="510"/>
      <c r="D43" s="509">
        <f>B43*E43</f>
        <v>2319273.048</v>
      </c>
      <c r="E43" s="803">
        <v>1</v>
      </c>
      <c r="F43" s="509">
        <f>B43*G43</f>
        <v>0</v>
      </c>
      <c r="G43" s="804">
        <v>0</v>
      </c>
      <c r="H43" s="561"/>
      <c r="I43" s="703"/>
      <c r="J43" s="508"/>
      <c r="K43" s="508"/>
      <c r="L43" s="508"/>
      <c r="M43" s="508"/>
      <c r="N43" s="508"/>
      <c r="O43" s="508"/>
      <c r="P43" s="509"/>
      <c r="Q43" s="510"/>
    </row>
    <row r="44" spans="1:17" s="503" customFormat="1" ht="15.75">
      <c r="A44" s="519" t="s">
        <v>170</v>
      </c>
      <c r="B44" s="540">
        <f>+VLOOKUP(A44,'[13]corr y no corr a 10082023'!$C$30:$G$56,5,0)</f>
        <v>1681708.62</v>
      </c>
      <c r="C44" s="516"/>
      <c r="D44" s="517">
        <f>B44*E44</f>
        <v>1681708.62</v>
      </c>
      <c r="E44" s="298">
        <v>1</v>
      </c>
      <c r="F44" s="517">
        <f t="shared" ref="F44:F65" si="13">B44*G44</f>
        <v>0</v>
      </c>
      <c r="G44" s="518">
        <v>0</v>
      </c>
      <c r="H44" s="508"/>
      <c r="I44" s="703"/>
      <c r="J44" s="508"/>
      <c r="K44" s="508"/>
      <c r="L44" s="508"/>
      <c r="M44" s="508"/>
      <c r="N44" s="508"/>
      <c r="O44" s="508"/>
      <c r="P44" s="509"/>
      <c r="Q44" s="510"/>
    </row>
    <row r="45" spans="1:17" s="503" customFormat="1" ht="15.75">
      <c r="A45" s="519" t="s">
        <v>179</v>
      </c>
      <c r="B45" s="540">
        <f>+VLOOKUP(A45,'[13]corr y no corr a 10082023'!$C$30:$G$56,5,0)</f>
        <v>337980.49</v>
      </c>
      <c r="C45" s="516"/>
      <c r="D45" s="517">
        <f t="shared" ref="D45:D65" si="14">B45*E45</f>
        <v>337980.49</v>
      </c>
      <c r="E45" s="298">
        <v>1</v>
      </c>
      <c r="F45" s="517">
        <f t="shared" si="13"/>
        <v>0</v>
      </c>
      <c r="G45" s="518">
        <v>0</v>
      </c>
      <c r="H45" s="508"/>
      <c r="I45" s="703"/>
      <c r="J45" s="508"/>
      <c r="K45" s="508"/>
      <c r="L45" s="508"/>
      <c r="M45" s="508"/>
      <c r="N45" s="508"/>
      <c r="O45" s="508"/>
      <c r="P45" s="509"/>
      <c r="Q45" s="510"/>
    </row>
    <row r="46" spans="1:17" s="503" customFormat="1" ht="15.75">
      <c r="A46" s="267" t="s">
        <v>546</v>
      </c>
      <c r="B46" s="540">
        <f>+VLOOKUP(A46,'[13]corr y no corr a 10082023'!$C$30:$G$56,5,0)</f>
        <v>741678.25</v>
      </c>
      <c r="C46" s="516"/>
      <c r="D46" s="517">
        <f t="shared" si="14"/>
        <v>741678.25</v>
      </c>
      <c r="E46" s="298">
        <v>1</v>
      </c>
      <c r="F46" s="517">
        <f t="shared" si="13"/>
        <v>0</v>
      </c>
      <c r="G46" s="518">
        <v>0</v>
      </c>
      <c r="H46" s="508"/>
      <c r="I46" s="703"/>
      <c r="J46" s="508"/>
      <c r="K46" s="508"/>
      <c r="L46" s="508"/>
      <c r="M46" s="508"/>
      <c r="N46" s="508"/>
      <c r="O46" s="508"/>
      <c r="P46" s="509"/>
      <c r="Q46" s="510"/>
    </row>
    <row r="47" spans="1:17" s="503" customFormat="1" ht="15.75">
      <c r="A47" s="519" t="s">
        <v>210</v>
      </c>
      <c r="B47" s="540">
        <f>+VLOOKUP(A47,'[13]corr y no corr a 10082023'!$C$30:$G$56,5,0)</f>
        <v>1128217.33</v>
      </c>
      <c r="C47" s="516"/>
      <c r="D47" s="517">
        <f t="shared" si="14"/>
        <v>1128217.33</v>
      </c>
      <c r="E47" s="298">
        <v>1</v>
      </c>
      <c r="F47" s="517">
        <f t="shared" si="13"/>
        <v>0</v>
      </c>
      <c r="G47" s="518">
        <v>0</v>
      </c>
      <c r="H47" s="508"/>
      <c r="I47" s="703"/>
      <c r="J47" s="508"/>
      <c r="K47" s="508"/>
      <c r="L47" s="508"/>
      <c r="M47" s="508"/>
      <c r="N47" s="508"/>
      <c r="O47" s="508"/>
      <c r="P47" s="509"/>
      <c r="Q47" s="510"/>
    </row>
    <row r="48" spans="1:17" s="503" customFormat="1" ht="15.75">
      <c r="A48" s="519" t="s">
        <v>220</v>
      </c>
      <c r="B48" s="540">
        <f>+VLOOKUP(A48,'[13]corr y no corr a 10082023'!$C$30:$G$56,5,0)</f>
        <v>879046.8</v>
      </c>
      <c r="C48" s="516"/>
      <c r="D48" s="517">
        <f t="shared" si="14"/>
        <v>879046.8</v>
      </c>
      <c r="E48" s="298">
        <v>1</v>
      </c>
      <c r="F48" s="517">
        <f t="shared" si="13"/>
        <v>0</v>
      </c>
      <c r="G48" s="518">
        <v>0</v>
      </c>
      <c r="H48" s="508"/>
      <c r="I48" s="703"/>
      <c r="J48" s="508"/>
      <c r="K48" s="508"/>
      <c r="L48" s="508"/>
      <c r="M48" s="508"/>
      <c r="N48" s="508"/>
      <c r="O48" s="508"/>
      <c r="P48" s="509"/>
      <c r="Q48" s="510"/>
    </row>
    <row r="49" spans="1:17" s="503" customFormat="1" ht="15.75">
      <c r="A49" s="267" t="s">
        <v>221</v>
      </c>
      <c r="B49" s="540">
        <f>+VLOOKUP(A49,'[13]corr y no corr a 10082023'!$C$30:$G$56,5,0)</f>
        <v>1329528.6499999999</v>
      </c>
      <c r="C49" s="516"/>
      <c r="D49" s="517">
        <f t="shared" si="14"/>
        <v>1329528.6499999999</v>
      </c>
      <c r="E49" s="298">
        <v>1</v>
      </c>
      <c r="F49" s="517">
        <f t="shared" si="13"/>
        <v>0</v>
      </c>
      <c r="G49" s="518">
        <v>0</v>
      </c>
      <c r="H49" s="682"/>
      <c r="I49" s="703"/>
      <c r="J49" s="508"/>
      <c r="K49" s="508"/>
      <c r="L49" s="508"/>
      <c r="M49" s="508"/>
      <c r="N49" s="508"/>
      <c r="O49" s="508"/>
      <c r="P49" s="509"/>
      <c r="Q49" s="510"/>
    </row>
    <row r="50" spans="1:17" s="503" customFormat="1" ht="15.75">
      <c r="A50" s="519" t="s">
        <v>547</v>
      </c>
      <c r="B50" s="540">
        <f>+VLOOKUP(A50,'[13]corr y no corr a 10082023'!$C$30:$G$56,5,0)</f>
        <v>726538.46</v>
      </c>
      <c r="C50" s="516"/>
      <c r="D50" s="517">
        <f t="shared" si="14"/>
        <v>726538.46</v>
      </c>
      <c r="E50" s="298">
        <v>1</v>
      </c>
      <c r="F50" s="517">
        <f t="shared" si="13"/>
        <v>0</v>
      </c>
      <c r="G50" s="518">
        <v>0</v>
      </c>
      <c r="H50" s="682"/>
      <c r="I50" s="703"/>
      <c r="J50" s="508"/>
      <c r="K50" s="508"/>
      <c r="L50" s="508"/>
      <c r="M50" s="508"/>
      <c r="N50" s="508"/>
      <c r="O50" s="508"/>
      <c r="P50" s="509"/>
      <c r="Q50" s="510"/>
    </row>
    <row r="51" spans="1:17" s="503" customFormat="1" ht="15.75">
      <c r="A51" s="519" t="s">
        <v>169</v>
      </c>
      <c r="B51" s="540">
        <f>+VLOOKUP(A51,'[13]corr y no corr a 10082023'!$C$30:$G$56,5,0)</f>
        <v>258596.61</v>
      </c>
      <c r="C51" s="516"/>
      <c r="D51" s="517">
        <f t="shared" si="14"/>
        <v>258596.61</v>
      </c>
      <c r="E51" s="298">
        <v>1</v>
      </c>
      <c r="F51" s="517">
        <f t="shared" si="13"/>
        <v>0</v>
      </c>
      <c r="G51" s="518">
        <v>0</v>
      </c>
      <c r="H51" s="508"/>
      <c r="I51" s="703"/>
      <c r="J51" s="508"/>
      <c r="K51" s="508"/>
      <c r="L51" s="508"/>
      <c r="M51" s="508"/>
      <c r="N51" s="508"/>
      <c r="O51" s="508"/>
      <c r="P51" s="509"/>
      <c r="Q51" s="510"/>
    </row>
    <row r="52" spans="1:17" s="503" customFormat="1" ht="15.75">
      <c r="A52" s="519" t="s">
        <v>458</v>
      </c>
      <c r="B52" s="540">
        <f>+VLOOKUP(A52,'[13]corr y no corr a 10082023'!$C$30:$G$56,5,0)</f>
        <v>391044.55</v>
      </c>
      <c r="C52" s="516"/>
      <c r="D52" s="517">
        <f t="shared" si="14"/>
        <v>391044.55</v>
      </c>
      <c r="E52" s="298">
        <v>1</v>
      </c>
      <c r="F52" s="517">
        <f t="shared" si="13"/>
        <v>0</v>
      </c>
      <c r="G52" s="518">
        <v>0</v>
      </c>
      <c r="H52" s="508"/>
      <c r="I52" s="703"/>
      <c r="J52" s="508"/>
      <c r="K52" s="508"/>
      <c r="L52" s="508"/>
      <c r="M52" s="508"/>
      <c r="N52" s="508"/>
      <c r="O52" s="508"/>
      <c r="P52" s="509"/>
      <c r="Q52" s="510"/>
    </row>
    <row r="53" spans="1:17" s="503" customFormat="1" ht="15.75">
      <c r="A53" s="519" t="s">
        <v>182</v>
      </c>
      <c r="B53" s="540">
        <f>+VLOOKUP(A53,'[13]corr y no corr a 10082023'!$C$30:$G$56,5,0)</f>
        <v>616645.48</v>
      </c>
      <c r="C53" s="516"/>
      <c r="D53" s="517">
        <f t="shared" si="14"/>
        <v>616645.48</v>
      </c>
      <c r="E53" s="298">
        <v>1</v>
      </c>
      <c r="F53" s="517">
        <f t="shared" si="13"/>
        <v>0</v>
      </c>
      <c r="G53" s="518">
        <v>0</v>
      </c>
      <c r="H53" s="508"/>
      <c r="I53" s="703"/>
      <c r="J53" s="508"/>
      <c r="K53" s="508"/>
      <c r="L53" s="508"/>
      <c r="M53" s="508"/>
      <c r="N53" s="508"/>
      <c r="O53" s="508"/>
      <c r="P53" s="509"/>
      <c r="Q53" s="510"/>
    </row>
    <row r="54" spans="1:17" s="503" customFormat="1" ht="15.75">
      <c r="A54" s="519" t="s">
        <v>183</v>
      </c>
      <c r="B54" s="540">
        <f>+VLOOKUP(A54,'[13]corr y no corr a 10082023'!$C$30:$G$56,5,0)</f>
        <v>237262.14</v>
      </c>
      <c r="C54" s="516"/>
      <c r="D54" s="517">
        <f t="shared" si="14"/>
        <v>237262.14</v>
      </c>
      <c r="E54" s="298">
        <v>1</v>
      </c>
      <c r="F54" s="517">
        <f t="shared" si="13"/>
        <v>0</v>
      </c>
      <c r="G54" s="518">
        <v>0</v>
      </c>
      <c r="H54" s="508"/>
      <c r="I54" s="703"/>
      <c r="J54" s="508"/>
      <c r="K54" s="508"/>
      <c r="L54" s="508"/>
      <c r="M54" s="508"/>
      <c r="N54" s="508"/>
      <c r="O54" s="508"/>
      <c r="P54" s="509"/>
      <c r="Q54" s="510"/>
    </row>
    <row r="55" spans="1:17" s="503" customFormat="1" ht="15.75">
      <c r="A55" s="519" t="s">
        <v>548</v>
      </c>
      <c r="B55" s="540">
        <f>+VLOOKUP(A55,'[13]corr y no corr a 10082023'!$C$30:$G$56,5,0)</f>
        <v>672676.14</v>
      </c>
      <c r="C55" s="516"/>
      <c r="D55" s="517">
        <f t="shared" si="14"/>
        <v>672676.14</v>
      </c>
      <c r="E55" s="298">
        <v>1</v>
      </c>
      <c r="F55" s="517">
        <f t="shared" si="13"/>
        <v>0</v>
      </c>
      <c r="G55" s="518">
        <v>0</v>
      </c>
      <c r="H55" s="508"/>
      <c r="I55" s="703"/>
      <c r="J55" s="508"/>
      <c r="K55" s="508"/>
      <c r="L55" s="508"/>
      <c r="M55" s="508"/>
      <c r="N55" s="508"/>
      <c r="O55" s="508"/>
      <c r="P55" s="509"/>
      <c r="Q55" s="510"/>
    </row>
    <row r="56" spans="1:17" s="503" customFormat="1" ht="15.75">
      <c r="A56" s="519" t="s">
        <v>459</v>
      </c>
      <c r="B56" s="540">
        <f>+VLOOKUP(A56,'[13]corr y no corr a 10082023'!$C$30:$G$56,5,0)</f>
        <v>496399.78</v>
      </c>
      <c r="C56" s="516"/>
      <c r="D56" s="517">
        <f t="shared" si="14"/>
        <v>496399.78</v>
      </c>
      <c r="E56" s="298">
        <v>1</v>
      </c>
      <c r="F56" s="517">
        <f t="shared" si="13"/>
        <v>0</v>
      </c>
      <c r="G56" s="518">
        <v>0</v>
      </c>
      <c r="H56" s="508"/>
      <c r="I56" s="703"/>
      <c r="J56" s="508"/>
      <c r="K56" s="508"/>
      <c r="L56" s="508"/>
      <c r="M56" s="508"/>
      <c r="N56" s="508"/>
      <c r="O56" s="508"/>
      <c r="P56" s="509"/>
      <c r="Q56" s="510"/>
    </row>
    <row r="57" spans="1:17" s="503" customFormat="1" ht="15.75">
      <c r="A57" s="519" t="s">
        <v>549</v>
      </c>
      <c r="B57" s="540">
        <f>+VLOOKUP(A57,'[13]corr y no corr a 10082023'!$C$30:$G$56,5,0)</f>
        <v>2568661.69</v>
      </c>
      <c r="C57" s="516"/>
      <c r="D57" s="517">
        <f t="shared" si="14"/>
        <v>2568661.69</v>
      </c>
      <c r="E57" s="298">
        <v>1</v>
      </c>
      <c r="F57" s="517">
        <f t="shared" si="13"/>
        <v>0</v>
      </c>
      <c r="G57" s="518">
        <v>0</v>
      </c>
      <c r="H57" s="508"/>
      <c r="I57" s="703"/>
      <c r="J57" s="508"/>
      <c r="K57" s="508"/>
      <c r="L57" s="508"/>
      <c r="M57" s="508"/>
      <c r="N57" s="508"/>
      <c r="O57" s="508"/>
      <c r="P57" s="509"/>
      <c r="Q57" s="510"/>
    </row>
    <row r="58" spans="1:17" s="503" customFormat="1" ht="15.75">
      <c r="A58" s="519" t="s">
        <v>550</v>
      </c>
      <c r="B58" s="540">
        <f>+VLOOKUP(A58,'[13]corr y no corr a 10082023'!$C$30:$G$56,5,0)</f>
        <v>1073538.3899999999</v>
      </c>
      <c r="C58" s="516"/>
      <c r="D58" s="517">
        <f t="shared" si="14"/>
        <v>1073538.3899999999</v>
      </c>
      <c r="E58" s="298">
        <v>1</v>
      </c>
      <c r="F58" s="517">
        <f t="shared" si="13"/>
        <v>0</v>
      </c>
      <c r="G58" s="518">
        <v>0</v>
      </c>
      <c r="H58" s="508"/>
      <c r="I58" s="703"/>
      <c r="J58" s="508"/>
      <c r="K58" s="508"/>
      <c r="L58" s="508"/>
      <c r="M58" s="508"/>
      <c r="N58" s="508"/>
      <c r="O58" s="508"/>
      <c r="P58" s="509"/>
      <c r="Q58" s="510"/>
    </row>
    <row r="59" spans="1:17" s="503" customFormat="1" ht="15.75">
      <c r="A59" s="908" t="s">
        <v>461</v>
      </c>
      <c r="B59" s="540">
        <f>+VLOOKUP(A59,'[13]corr y no corr a 10082023'!$C$30:$G$56,5,0)</f>
        <v>140344.26</v>
      </c>
      <c r="C59" s="516"/>
      <c r="D59" s="517">
        <f t="shared" si="14"/>
        <v>140344.26</v>
      </c>
      <c r="E59" s="298">
        <v>1</v>
      </c>
      <c r="F59" s="517">
        <f t="shared" si="13"/>
        <v>0</v>
      </c>
      <c r="G59" s="518">
        <v>0</v>
      </c>
      <c r="H59" s="508"/>
      <c r="I59" s="703"/>
      <c r="J59" s="508"/>
      <c r="K59" s="508"/>
      <c r="L59" s="508"/>
      <c r="M59" s="508"/>
      <c r="N59" s="508"/>
      <c r="O59" s="508"/>
      <c r="P59" s="509"/>
      <c r="Q59" s="510"/>
    </row>
    <row r="60" spans="1:17" s="503" customFormat="1" ht="15.75">
      <c r="A60" s="908" t="s">
        <v>236</v>
      </c>
      <c r="B60" s="540">
        <f>+SUM('Anexo 21 Ministerio del Interio'!E10:E37)</f>
        <v>1038071.88</v>
      </c>
      <c r="C60" s="516"/>
      <c r="D60" s="517">
        <f>B60*E60</f>
        <v>1038071.88</v>
      </c>
      <c r="E60" s="298">
        <v>1</v>
      </c>
      <c r="F60" s="517">
        <f>B60*G60</f>
        <v>0</v>
      </c>
      <c r="G60" s="518">
        <v>0</v>
      </c>
      <c r="H60" s="508"/>
      <c r="I60" s="703"/>
      <c r="J60" s="508"/>
      <c r="K60" s="508"/>
      <c r="L60" s="508"/>
      <c r="M60" s="508"/>
      <c r="N60" s="508"/>
      <c r="O60" s="508"/>
      <c r="P60" s="509"/>
      <c r="Q60" s="510"/>
    </row>
    <row r="61" spans="1:17" s="503" customFormat="1" ht="15.75">
      <c r="A61" s="519" t="s">
        <v>269</v>
      </c>
      <c r="B61" s="540">
        <f>+VLOOKUP(A61,'[13]corr y no corr a 10082023'!$C$30:$G$56,5,0)</f>
        <v>2805432.03</v>
      </c>
      <c r="C61" s="516"/>
      <c r="D61" s="517">
        <f>B61*E61</f>
        <v>2805432.03</v>
      </c>
      <c r="E61" s="298">
        <v>1</v>
      </c>
      <c r="F61" s="517">
        <f>B61*G61</f>
        <v>0</v>
      </c>
      <c r="G61" s="518">
        <v>0</v>
      </c>
      <c r="H61" s="508"/>
      <c r="I61" s="703"/>
      <c r="J61" s="508"/>
      <c r="K61" s="508"/>
      <c r="L61" s="508"/>
      <c r="M61" s="508"/>
      <c r="N61" s="508"/>
      <c r="O61" s="508"/>
      <c r="P61" s="509"/>
      <c r="Q61" s="510"/>
    </row>
    <row r="62" spans="1:17" s="503" customFormat="1" ht="15.75">
      <c r="A62" s="519" t="s">
        <v>296</v>
      </c>
      <c r="B62" s="540">
        <f>+VLOOKUP(A62,'[13]corr y no corr a 10082023'!$C$30:$G$56,5,0)</f>
        <v>190196.33</v>
      </c>
      <c r="C62" s="516"/>
      <c r="D62" s="517">
        <f>B62*E62</f>
        <v>190196.33</v>
      </c>
      <c r="E62" s="298">
        <v>1</v>
      </c>
      <c r="F62" s="517">
        <f>B62*G62</f>
        <v>0</v>
      </c>
      <c r="G62" s="518">
        <v>0</v>
      </c>
      <c r="H62" s="508"/>
      <c r="I62" s="703"/>
      <c r="J62" s="508"/>
      <c r="K62" s="508"/>
      <c r="L62" s="508"/>
      <c r="M62" s="508"/>
      <c r="N62" s="508"/>
      <c r="O62" s="508"/>
      <c r="P62" s="509"/>
      <c r="Q62" s="510"/>
    </row>
    <row r="63" spans="1:17" s="503" customFormat="1" ht="15.75">
      <c r="A63" s="519" t="s">
        <v>551</v>
      </c>
      <c r="B63" s="540">
        <f>+VLOOKUP(A63,'[13]corr y no corr a 10082023'!$C$30:$G$56,5,0)</f>
        <v>873681</v>
      </c>
      <c r="C63" s="516"/>
      <c r="D63" s="517">
        <f t="shared" si="14"/>
        <v>873681</v>
      </c>
      <c r="E63" s="298">
        <v>1</v>
      </c>
      <c r="F63" s="517">
        <f t="shared" si="13"/>
        <v>0</v>
      </c>
      <c r="G63" s="518">
        <v>0</v>
      </c>
      <c r="H63" s="508"/>
      <c r="I63" s="703"/>
      <c r="J63" s="508"/>
      <c r="K63" s="508"/>
      <c r="L63" s="508"/>
      <c r="M63" s="508"/>
      <c r="N63" s="508"/>
      <c r="O63" s="508"/>
      <c r="P63" s="509"/>
      <c r="Q63" s="510"/>
    </row>
    <row r="64" spans="1:17" s="503" customFormat="1" ht="15.75">
      <c r="A64" s="519" t="s">
        <v>385</v>
      </c>
      <c r="B64" s="540">
        <f>+VLOOKUP(A64,'[13]corr y no corr a 10082023'!$C$30:$G$56,5,0)</f>
        <v>10120712</v>
      </c>
      <c r="C64" s="516"/>
      <c r="D64" s="509">
        <f>B64*E64</f>
        <v>10120712</v>
      </c>
      <c r="E64" s="298">
        <v>1</v>
      </c>
      <c r="F64" s="517">
        <f>B64*G64</f>
        <v>0</v>
      </c>
      <c r="G64" s="518">
        <v>0</v>
      </c>
      <c r="H64" s="508"/>
      <c r="I64" s="703"/>
      <c r="J64" s="508"/>
      <c r="K64" s="508"/>
      <c r="L64" s="508"/>
      <c r="M64" s="508"/>
      <c r="N64" s="508"/>
      <c r="O64" s="508"/>
      <c r="P64" s="509"/>
      <c r="Q64" s="510"/>
    </row>
    <row r="65" spans="1:18" s="503" customFormat="1" ht="15.75">
      <c r="A65" s="519" t="s">
        <v>379</v>
      </c>
      <c r="B65" s="540">
        <f>+VLOOKUP(A65,'[13]corr y no corr a 10082023'!$C$30:$G$56,5,0)</f>
        <v>3031893</v>
      </c>
      <c r="C65" s="516"/>
      <c r="D65" s="509">
        <f t="shared" si="14"/>
        <v>3031893</v>
      </c>
      <c r="E65" s="298">
        <v>1</v>
      </c>
      <c r="F65" s="517">
        <f t="shared" si="13"/>
        <v>0</v>
      </c>
      <c r="G65" s="518">
        <v>0</v>
      </c>
      <c r="H65" s="508"/>
      <c r="I65" s="703"/>
      <c r="J65" s="508"/>
      <c r="K65" s="508"/>
      <c r="L65" s="508"/>
      <c r="M65" s="508"/>
      <c r="N65" s="508"/>
      <c r="O65" s="508"/>
      <c r="P65" s="509"/>
      <c r="Q65" s="510"/>
    </row>
    <row r="66" spans="1:18" s="504" customFormat="1" ht="15.75">
      <c r="A66" s="520" t="s">
        <v>358</v>
      </c>
      <c r="B66" s="787">
        <f>SUM(B43:B65)</f>
        <v>33659126.928000003</v>
      </c>
      <c r="C66" s="521"/>
      <c r="D66" s="521">
        <f>SUM(D43:D65)</f>
        <v>33659126.928000003</v>
      </c>
      <c r="E66" s="521"/>
      <c r="F66" s="521">
        <f>SUM(F43:F65)</f>
        <v>0</v>
      </c>
      <c r="G66" s="522"/>
      <c r="H66" s="511"/>
      <c r="I66" s="511"/>
      <c r="J66" s="511"/>
      <c r="K66" s="512"/>
      <c r="L66" s="511"/>
      <c r="M66" s="511"/>
      <c r="N66" s="511"/>
      <c r="O66" s="510"/>
      <c r="P66" s="513"/>
      <c r="Q66" s="514"/>
      <c r="R66" s="505"/>
    </row>
    <row r="67" spans="1:18">
      <c r="B67" s="144"/>
    </row>
    <row r="76" spans="1:18" s="144" customFormat="1" ht="15.75" thickBot="1">
      <c r="A76" s="138"/>
      <c r="B76" s="139"/>
      <c r="C76" s="140"/>
      <c r="D76" s="138"/>
      <c r="E76" s="139"/>
      <c r="F76" s="140"/>
      <c r="G76" s="141"/>
      <c r="H76" s="142"/>
      <c r="I76" s="143"/>
    </row>
    <row r="77" spans="1:18" s="144" customFormat="1" ht="15" customHeight="1">
      <c r="A77" s="1084" t="s">
        <v>751</v>
      </c>
      <c r="B77" s="125"/>
      <c r="D77" s="1283" t="s">
        <v>135</v>
      </c>
      <c r="E77" s="1283"/>
      <c r="F77" s="517"/>
      <c r="G77" s="1283" t="s">
        <v>576</v>
      </c>
      <c r="H77" s="1283"/>
      <c r="I77" s="1283"/>
    </row>
    <row r="78" spans="1:18" s="144" customFormat="1" ht="14.45" customHeight="1">
      <c r="A78" s="220" t="s">
        <v>752</v>
      </c>
      <c r="B78" s="126"/>
      <c r="D78" s="1282" t="s">
        <v>145</v>
      </c>
      <c r="E78" s="1282"/>
      <c r="F78" s="517"/>
      <c r="G78" s="1218" t="s">
        <v>519</v>
      </c>
      <c r="H78" s="1218"/>
      <c r="I78" s="1218"/>
    </row>
    <row r="79" spans="1:18" s="144" customFormat="1" ht="15.75" customHeight="1">
      <c r="A79" s="220" t="s">
        <v>47</v>
      </c>
      <c r="B79" s="126"/>
      <c r="D79" s="1218" t="s">
        <v>48</v>
      </c>
      <c r="E79" s="1218"/>
      <c r="F79" s="517"/>
      <c r="G79" s="1218" t="s">
        <v>48</v>
      </c>
      <c r="H79" s="1218"/>
      <c r="I79" s="1218"/>
    </row>
    <row r="80" spans="1:18" s="145" customFormat="1" ht="15" customHeight="1">
      <c r="A80" s="220" t="s">
        <v>753</v>
      </c>
      <c r="B80" s="126"/>
      <c r="D80" s="146"/>
      <c r="E80" s="146"/>
      <c r="F80" s="517"/>
      <c r="G80" s="1218" t="s">
        <v>518</v>
      </c>
      <c r="H80" s="1218"/>
      <c r="I80" s="1218"/>
      <c r="J80" s="144"/>
      <c r="K80" s="144"/>
      <c r="L80" s="144"/>
      <c r="M80" s="144"/>
      <c r="N80" s="144"/>
      <c r="O80" s="144"/>
      <c r="P80" s="144"/>
      <c r="Q80" s="144"/>
    </row>
    <row r="81" spans="1:17" s="145" customFormat="1">
      <c r="A81" s="146"/>
      <c r="B81" s="146"/>
      <c r="C81" s="147"/>
      <c r="D81" s="148"/>
      <c r="E81" s="149"/>
      <c r="F81" s="150"/>
      <c r="G81" s="144"/>
      <c r="H81" s="144"/>
      <c r="I81" s="144"/>
      <c r="J81" s="144"/>
      <c r="K81" s="144"/>
      <c r="L81" s="144"/>
      <c r="M81" s="144"/>
      <c r="N81" s="144"/>
      <c r="O81" s="144"/>
      <c r="P81" s="144"/>
      <c r="Q81" s="144"/>
    </row>
    <row r="82" spans="1:17" s="145" customFormat="1">
      <c r="A82" s="146"/>
      <c r="B82" s="146"/>
      <c r="C82" s="147"/>
      <c r="D82" s="148"/>
      <c r="E82" s="149"/>
      <c r="F82" s="150"/>
      <c r="G82" s="144"/>
      <c r="H82" s="144"/>
      <c r="I82" s="144"/>
      <c r="J82" s="144"/>
      <c r="K82" s="144"/>
      <c r="L82" s="144"/>
      <c r="M82" s="144"/>
      <c r="N82" s="144"/>
      <c r="O82" s="144"/>
      <c r="P82" s="144"/>
      <c r="Q82" s="144"/>
    </row>
    <row r="83" spans="1:17" s="145" customFormat="1">
      <c r="A83" s="146"/>
      <c r="B83" s="146"/>
      <c r="C83" s="147"/>
      <c r="D83" s="148"/>
      <c r="E83" s="149"/>
      <c r="F83" s="150"/>
      <c r="G83" s="144"/>
      <c r="H83" s="144"/>
      <c r="I83" s="144"/>
      <c r="J83" s="144"/>
      <c r="K83" s="144"/>
      <c r="L83" s="144"/>
      <c r="M83" s="144"/>
      <c r="N83" s="144"/>
      <c r="O83" s="144"/>
      <c r="P83" s="144"/>
      <c r="Q83" s="144"/>
    </row>
    <row r="84" spans="1:17" s="144" customFormat="1">
      <c r="A84" s="151"/>
      <c r="B84" s="152"/>
      <c r="C84" s="140"/>
      <c r="D84" s="140"/>
      <c r="E84" s="153"/>
      <c r="F84" s="154"/>
    </row>
    <row r="85" spans="1:17" s="144" customFormat="1" ht="15" customHeight="1">
      <c r="A85" s="155"/>
      <c r="B85" s="155"/>
      <c r="C85" s="155"/>
      <c r="D85" s="155"/>
      <c r="E85" s="155"/>
      <c r="F85" s="154"/>
    </row>
    <row r="86" spans="1:17" s="144" customFormat="1" ht="14.45" customHeight="1">
      <c r="A86" s="155"/>
      <c r="B86" s="155"/>
      <c r="C86" s="155"/>
      <c r="D86" s="155"/>
      <c r="E86" s="155"/>
      <c r="F86" s="154"/>
    </row>
    <row r="87" spans="1:17" s="144" customFormat="1" ht="14.45" customHeight="1">
      <c r="A87" s="155"/>
      <c r="B87" s="155"/>
      <c r="C87" s="155"/>
      <c r="D87" s="155"/>
      <c r="E87" s="155"/>
      <c r="F87" s="154"/>
    </row>
    <row r="88" spans="1:17" s="145" customFormat="1">
      <c r="A88" s="146"/>
      <c r="B88" s="146"/>
      <c r="C88" s="147"/>
      <c r="D88" s="148"/>
      <c r="E88" s="146"/>
      <c r="F88" s="150"/>
      <c r="G88" s="144"/>
      <c r="H88" s="144"/>
      <c r="I88" s="144"/>
      <c r="J88" s="144"/>
      <c r="K88" s="144"/>
      <c r="L88" s="144"/>
      <c r="M88" s="144"/>
      <c r="N88" s="144"/>
      <c r="O88" s="144"/>
      <c r="P88" s="144"/>
      <c r="Q88" s="144"/>
    </row>
    <row r="89" spans="1:17" ht="15.75">
      <c r="A89" s="563" t="s">
        <v>384</v>
      </c>
      <c r="B89" s="563" t="s">
        <v>207</v>
      </c>
      <c r="C89" s="564" t="s">
        <v>67</v>
      </c>
      <c r="D89" s="565" t="s">
        <v>312</v>
      </c>
      <c r="E89" s="565" t="s">
        <v>313</v>
      </c>
      <c r="F89" s="565" t="s">
        <v>314</v>
      </c>
      <c r="G89" s="565"/>
    </row>
    <row r="90" spans="1:17">
      <c r="A90" s="390">
        <v>168</v>
      </c>
      <c r="B90" s="390" t="s">
        <v>170</v>
      </c>
      <c r="C90" s="391">
        <f>+VLOOKUP(B90,$A$15:$B$36,2,0)</f>
        <v>50345911.689999998</v>
      </c>
      <c r="D90" s="391">
        <v>500000000</v>
      </c>
      <c r="E90" s="391">
        <f>+IFERROR(VLOOKUP(A90,Adhesiones!$B$65:$F$86,4,0),0)</f>
        <v>42349951.688567042</v>
      </c>
      <c r="F90" s="566">
        <f>+E90/D90</f>
        <v>8.4699903377134081E-2</v>
      </c>
    </row>
    <row r="91" spans="1:17">
      <c r="A91" s="390">
        <v>169</v>
      </c>
      <c r="B91" s="390" t="s">
        <v>179</v>
      </c>
      <c r="C91" s="391">
        <f t="shared" ref="C91:C111" si="15">+VLOOKUP(B91,$A$15:$B$36,2,0)</f>
        <v>0</v>
      </c>
      <c r="D91" s="391">
        <v>300000000</v>
      </c>
      <c r="E91" s="391">
        <f>+IFERROR(VLOOKUP(A91,Adhesiones!$B$65:$F$86,4,0),0)</f>
        <v>0</v>
      </c>
      <c r="F91" s="566">
        <f t="shared" ref="F91:F111" si="16">+E91/D91</f>
        <v>0</v>
      </c>
    </row>
    <row r="92" spans="1:17">
      <c r="A92" s="390">
        <v>174</v>
      </c>
      <c r="B92" s="390" t="s">
        <v>546</v>
      </c>
      <c r="C92" s="391">
        <f t="shared" si="15"/>
        <v>20858693</v>
      </c>
      <c r="D92" s="391">
        <v>300000000</v>
      </c>
      <c r="E92" s="391">
        <f>+IFERROR(VLOOKUP(A92,Adhesiones!$B$65:$F$86,4,0),0)</f>
        <v>0</v>
      </c>
      <c r="F92" s="566">
        <f t="shared" si="16"/>
        <v>0</v>
      </c>
    </row>
    <row r="93" spans="1:17">
      <c r="A93" s="390">
        <v>175</v>
      </c>
      <c r="B93" s="390" t="s">
        <v>210</v>
      </c>
      <c r="C93" s="391">
        <f t="shared" si="15"/>
        <v>25512695</v>
      </c>
      <c r="D93" s="391">
        <v>571000000</v>
      </c>
      <c r="E93" s="391">
        <f>+IFERROR(VLOOKUP(A93,Adhesiones!$B$65:$F$86,4,0),0)</f>
        <v>0</v>
      </c>
      <c r="F93" s="566">
        <f t="shared" si="16"/>
        <v>0</v>
      </c>
    </row>
    <row r="94" spans="1:17">
      <c r="A94" s="390">
        <v>185</v>
      </c>
      <c r="B94" s="390" t="s">
        <v>220</v>
      </c>
      <c r="C94" s="391">
        <f t="shared" si="15"/>
        <v>33501360</v>
      </c>
      <c r="D94" s="391">
        <v>746132550</v>
      </c>
      <c r="E94" s="391">
        <f>+IFERROR(VLOOKUP(A94,Adhesiones!$B$65:$F$86,4,0),0)</f>
        <v>33161199</v>
      </c>
      <c r="F94" s="566">
        <f t="shared" si="16"/>
        <v>4.4444112510572016E-2</v>
      </c>
    </row>
    <row r="95" spans="1:17">
      <c r="A95" s="390">
        <v>167</v>
      </c>
      <c r="B95" s="267" t="s">
        <v>221</v>
      </c>
      <c r="C95" s="391">
        <f t="shared" si="15"/>
        <v>60650034.5</v>
      </c>
      <c r="D95" s="391">
        <v>1000000000</v>
      </c>
      <c r="E95" s="391">
        <f>+IFERROR(VLOOKUP(A95,Adhesiones!$B$65:$F$86,4,0),0)</f>
        <v>39929877.5</v>
      </c>
      <c r="F95" s="566">
        <f t="shared" si="16"/>
        <v>3.9929877500000002E-2</v>
      </c>
    </row>
    <row r="96" spans="1:17">
      <c r="A96" s="390">
        <v>171</v>
      </c>
      <c r="B96" s="390" t="s">
        <v>547</v>
      </c>
      <c r="C96" s="391">
        <f t="shared" si="15"/>
        <v>14198011</v>
      </c>
      <c r="D96" s="391">
        <v>300000000</v>
      </c>
      <c r="E96" s="391">
        <f>+IFERROR(VLOOKUP(A96,Adhesiones!$B$65:$F$86,4,0),0)</f>
        <v>0</v>
      </c>
      <c r="F96" s="566">
        <f t="shared" si="16"/>
        <v>0</v>
      </c>
    </row>
    <row r="97" spans="1:6">
      <c r="A97" s="390">
        <v>172</v>
      </c>
      <c r="B97" s="390" t="s">
        <v>169</v>
      </c>
      <c r="C97" s="391">
        <f t="shared" si="15"/>
        <v>520073</v>
      </c>
      <c r="D97" s="391">
        <v>300000000</v>
      </c>
      <c r="E97" s="391">
        <f>+IFERROR(VLOOKUP(A97,Adhesiones!$B$65:$F$86,4,0),0)</f>
        <v>0</v>
      </c>
      <c r="F97" s="566">
        <f t="shared" si="16"/>
        <v>0</v>
      </c>
    </row>
    <row r="98" spans="1:6">
      <c r="A98" s="390">
        <v>176</v>
      </c>
      <c r="B98" s="238" t="s">
        <v>458</v>
      </c>
      <c r="C98" s="391">
        <f t="shared" si="15"/>
        <v>915302</v>
      </c>
      <c r="D98" s="391">
        <v>308000000</v>
      </c>
      <c r="E98" s="391">
        <f>+IFERROR(VLOOKUP(A98,Adhesiones!$B$65:$F$86,4,0),0)</f>
        <v>55890914.333333015</v>
      </c>
      <c r="F98" s="566">
        <f t="shared" si="16"/>
        <v>0.18146400757575654</v>
      </c>
    </row>
    <row r="99" spans="1:6">
      <c r="A99" s="390">
        <v>177</v>
      </c>
      <c r="B99" s="390" t="s">
        <v>182</v>
      </c>
      <c r="C99" s="391">
        <f t="shared" si="15"/>
        <v>239714</v>
      </c>
      <c r="D99" s="391">
        <v>600000000</v>
      </c>
      <c r="E99" s="391">
        <f>+IFERROR(VLOOKUP(A99,Adhesiones!$B$65:$F$86,4,0),0)</f>
        <v>0</v>
      </c>
      <c r="F99" s="566">
        <f t="shared" si="16"/>
        <v>0</v>
      </c>
    </row>
    <row r="100" spans="1:6">
      <c r="A100" s="390">
        <v>181</v>
      </c>
      <c r="B100" s="390" t="s">
        <v>183</v>
      </c>
      <c r="C100" s="391">
        <f t="shared" si="15"/>
        <v>0.37</v>
      </c>
      <c r="D100" s="391">
        <v>350000000</v>
      </c>
      <c r="E100" s="391">
        <f>+IFERROR(VLOOKUP(A100,Adhesiones!$B$65:$F$86,4,0),0)</f>
        <v>33300799.370000005</v>
      </c>
      <c r="F100" s="566">
        <f t="shared" si="16"/>
        <v>9.5145141057142876E-2</v>
      </c>
    </row>
    <row r="101" spans="1:6">
      <c r="A101" s="390">
        <v>178</v>
      </c>
      <c r="B101" s="390" t="s">
        <v>548</v>
      </c>
      <c r="C101" s="391">
        <f t="shared" si="15"/>
        <v>1582184.2</v>
      </c>
      <c r="D101" s="391">
        <v>600000000</v>
      </c>
      <c r="E101" s="391">
        <f>+IFERROR(VLOOKUP(A101,Adhesiones!$B$65:$F$86,4,0),0)</f>
        <v>59062562.053382039</v>
      </c>
      <c r="F101" s="566">
        <f t="shared" si="16"/>
        <v>9.8437603422303399E-2</v>
      </c>
    </row>
    <row r="102" spans="1:6">
      <c r="A102" s="390">
        <v>179</v>
      </c>
      <c r="B102" s="390" t="s">
        <v>459</v>
      </c>
      <c r="C102" s="391">
        <f t="shared" si="15"/>
        <v>3996145</v>
      </c>
      <c r="D102" s="391">
        <v>500000000</v>
      </c>
      <c r="E102" s="391">
        <f>+IFERROR(VLOOKUP(A102,Adhesiones!$B$65:$F$86,4,0),0)</f>
        <v>0</v>
      </c>
      <c r="F102" s="566">
        <f t="shared" si="16"/>
        <v>0</v>
      </c>
    </row>
    <row r="103" spans="1:6">
      <c r="A103" s="390">
        <v>182</v>
      </c>
      <c r="B103" s="390" t="s">
        <v>549</v>
      </c>
      <c r="C103" s="391">
        <f t="shared" si="15"/>
        <v>71850341</v>
      </c>
      <c r="D103" s="391">
        <v>750000000</v>
      </c>
      <c r="E103" s="391">
        <f>+IFERROR(VLOOKUP(A103,Adhesiones!$B$65:$F$86,4,0),0)</f>
        <v>28299407.5</v>
      </c>
      <c r="F103" s="566">
        <f t="shared" si="16"/>
        <v>3.7732543333333333E-2</v>
      </c>
    </row>
    <row r="104" spans="1:6">
      <c r="A104" s="390">
        <v>184</v>
      </c>
      <c r="B104" s="390" t="s">
        <v>550</v>
      </c>
      <c r="C104" s="391">
        <f t="shared" si="15"/>
        <v>18012523</v>
      </c>
      <c r="D104" s="391">
        <v>750000000</v>
      </c>
      <c r="E104" s="391">
        <f>+IFERROR(VLOOKUP(A104,Adhesiones!$B$65:$F$86,4,0),0)</f>
        <v>0</v>
      </c>
      <c r="F104" s="566">
        <f t="shared" si="16"/>
        <v>0</v>
      </c>
    </row>
    <row r="105" spans="1:6">
      <c r="A105" s="390">
        <v>183</v>
      </c>
      <c r="B105" s="390" t="s">
        <v>461</v>
      </c>
      <c r="C105" s="391">
        <f t="shared" si="15"/>
        <v>0</v>
      </c>
      <c r="D105" s="391">
        <f>1000000000-539183391</f>
        <v>460816609</v>
      </c>
      <c r="E105" s="391">
        <f>+IFERROR(VLOOKUP(A105,Adhesiones!$B$65:$F$86,4,0),0)</f>
        <v>88530000.5</v>
      </c>
      <c r="F105" s="566">
        <f t="shared" si="16"/>
        <v>0.19211547233966994</v>
      </c>
    </row>
    <row r="106" spans="1:6">
      <c r="A106" s="390">
        <v>187</v>
      </c>
      <c r="B106" s="390" t="s">
        <v>236</v>
      </c>
      <c r="C106" s="391">
        <f t="shared" si="15"/>
        <v>10557133</v>
      </c>
      <c r="D106" s="391">
        <v>1000000000</v>
      </c>
      <c r="E106" s="391">
        <f>+IFERROR(VLOOKUP(A106,Adhesiones!$B$65:$F$86,4,0),0)</f>
        <v>0</v>
      </c>
      <c r="F106" s="566">
        <f t="shared" si="16"/>
        <v>0</v>
      </c>
    </row>
    <row r="107" spans="1:6">
      <c r="A107" s="390">
        <v>188</v>
      </c>
      <c r="B107" s="390" t="s">
        <v>269</v>
      </c>
      <c r="C107" s="391">
        <f t="shared" si="15"/>
        <v>47312435</v>
      </c>
      <c r="D107" s="391">
        <v>1485000000</v>
      </c>
      <c r="E107" s="391">
        <f>+IFERROR(VLOOKUP(A107,Adhesiones!$B$65:$F$86,4,0),0)</f>
        <v>0</v>
      </c>
      <c r="F107" s="566">
        <f t="shared" si="16"/>
        <v>0</v>
      </c>
    </row>
    <row r="108" spans="1:6">
      <c r="A108" s="390">
        <v>189</v>
      </c>
      <c r="B108" s="390" t="s">
        <v>296</v>
      </c>
      <c r="C108" s="391">
        <f t="shared" si="15"/>
        <v>34064251</v>
      </c>
      <c r="D108" s="391">
        <v>273000000</v>
      </c>
      <c r="E108" s="391">
        <f>+IFERROR(VLOOKUP(A108,Adhesiones!$B$65:$F$86,4,0),0)</f>
        <v>26666591.333333313</v>
      </c>
      <c r="F108" s="566">
        <f t="shared" si="16"/>
        <v>9.7679821733821656E-2</v>
      </c>
    </row>
    <row r="109" spans="1:6">
      <c r="A109" s="390">
        <v>190</v>
      </c>
      <c r="B109" s="390" t="s">
        <v>551</v>
      </c>
      <c r="C109" s="391">
        <f t="shared" si="15"/>
        <v>14141887.220000001</v>
      </c>
      <c r="D109" s="391">
        <v>650000000</v>
      </c>
      <c r="E109" s="391">
        <f>+IFERROR(VLOOKUP(A109,Adhesiones!$B$65:$F$86,4,0),0)</f>
        <v>67034274.903226018</v>
      </c>
      <c r="F109" s="566">
        <f t="shared" si="16"/>
        <v>0.1031296536972708</v>
      </c>
    </row>
    <row r="110" spans="1:6">
      <c r="A110" s="390">
        <v>191</v>
      </c>
      <c r="B110" s="390" t="s">
        <v>385</v>
      </c>
      <c r="C110" s="391">
        <f t="shared" si="15"/>
        <v>24263943</v>
      </c>
      <c r="D110" s="391">
        <v>600000000</v>
      </c>
      <c r="E110" s="391">
        <f>+IFERROR(VLOOKUP(A110,Adhesiones!$B$65:$F$86,4,0),0)</f>
        <v>32000000</v>
      </c>
      <c r="F110" s="566">
        <f t="shared" si="16"/>
        <v>5.3333333333333337E-2</v>
      </c>
    </row>
    <row r="111" spans="1:6">
      <c r="A111" s="390">
        <v>192</v>
      </c>
      <c r="B111" s="390" t="s">
        <v>379</v>
      </c>
      <c r="C111" s="391">
        <f t="shared" si="15"/>
        <v>7282050</v>
      </c>
      <c r="D111" s="391">
        <v>300000000</v>
      </c>
      <c r="E111" s="391">
        <f>+IFERROR(VLOOKUP(A111,Adhesiones!$B$65:$F$86,4,0),0)</f>
        <v>0</v>
      </c>
      <c r="F111" s="566">
        <f t="shared" si="16"/>
        <v>0</v>
      </c>
    </row>
    <row r="112" spans="1:6">
      <c r="D112" s="951">
        <f>+SUM(D90:D111)</f>
        <v>12643949159</v>
      </c>
      <c r="E112" s="391">
        <f>+IFERROR(VLOOKUP(A112,Adhesiones!$B$65:$F$82,4,0),0)</f>
        <v>0</v>
      </c>
    </row>
  </sheetData>
  <mergeCells count="40">
    <mergeCell ref="K41:K42"/>
    <mergeCell ref="L41:L42"/>
    <mergeCell ref="P14:Q14"/>
    <mergeCell ref="P38:Q38"/>
    <mergeCell ref="Q9:R10"/>
    <mergeCell ref="O9:O10"/>
    <mergeCell ref="Q11:R11"/>
    <mergeCell ref="N9:N10"/>
    <mergeCell ref="P41:Q42"/>
    <mergeCell ref="M41:M42"/>
    <mergeCell ref="N41:N42"/>
    <mergeCell ref="A41:A42"/>
    <mergeCell ref="B41:B42"/>
    <mergeCell ref="C41:C42"/>
    <mergeCell ref="D41:D42"/>
    <mergeCell ref="G9:G10"/>
    <mergeCell ref="E41:E42"/>
    <mergeCell ref="F41:F42"/>
    <mergeCell ref="A2:O4"/>
    <mergeCell ref="A9:A10"/>
    <mergeCell ref="B9:B10"/>
    <mergeCell ref="C9:C10"/>
    <mergeCell ref="D9:D10"/>
    <mergeCell ref="M9:M10"/>
    <mergeCell ref="S11:V11"/>
    <mergeCell ref="G79:I79"/>
    <mergeCell ref="E9:E10"/>
    <mergeCell ref="L9:L10"/>
    <mergeCell ref="G80:I80"/>
    <mergeCell ref="D79:E79"/>
    <mergeCell ref="H9:K9"/>
    <mergeCell ref="G41:G42"/>
    <mergeCell ref="D78:E78"/>
    <mergeCell ref="D77:E77"/>
    <mergeCell ref="F9:F10"/>
    <mergeCell ref="G78:I78"/>
    <mergeCell ref="G77:I77"/>
    <mergeCell ref="H41:J41"/>
    <mergeCell ref="O41:O42"/>
    <mergeCell ref="P9:P10"/>
  </mergeCells>
  <printOptions horizontalCentered="1" verticalCentered="1"/>
  <pageMargins left="0.23622047244094491" right="0.23622047244094491" top="0.39370078740157483" bottom="0.39370078740157483" header="0" footer="0"/>
  <pageSetup paperSize="9" scale="33" orientation="landscape" r:id="rId1"/>
  <colBreaks count="1" manualBreakCount="1">
    <brk id="16" min="1" max="81" man="1"/>
  </colBreaks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6"/>
  <dimension ref="A1:I19"/>
  <sheetViews>
    <sheetView showGridLines="0" workbookViewId="0">
      <selection activeCell="F19" sqref="F19"/>
    </sheetView>
  </sheetViews>
  <sheetFormatPr baseColWidth="10" defaultRowHeight="12.75"/>
  <cols>
    <col min="1" max="3" width="11.42578125" style="232"/>
    <col min="4" max="4" width="43" style="232" customWidth="1"/>
    <col min="5" max="5" width="17.7109375" style="232" customWidth="1"/>
    <col min="6" max="7" width="21" style="314" customWidth="1"/>
    <col min="8" max="8" width="16.5703125" style="232" bestFit="1" customWidth="1"/>
    <col min="9" max="9" width="15" style="232" bestFit="1" customWidth="1"/>
    <col min="10" max="10" width="24.85546875" style="232" bestFit="1" customWidth="1"/>
    <col min="11" max="11" width="16.5703125" style="232" bestFit="1" customWidth="1"/>
    <col min="12" max="12" width="15.42578125" style="232" bestFit="1" customWidth="1"/>
    <col min="13" max="16384" width="11.42578125" style="232"/>
  </cols>
  <sheetData>
    <row r="1" spans="1:9" ht="15">
      <c r="A1" s="656" t="s">
        <v>105</v>
      </c>
      <c r="B1" s="656"/>
      <c r="C1" s="656"/>
      <c r="D1" s="656"/>
      <c r="E1" s="656"/>
      <c r="F1" s="656"/>
      <c r="G1" s="656"/>
    </row>
    <row r="2" spans="1:9" ht="15">
      <c r="A2" s="656" t="s">
        <v>106</v>
      </c>
      <c r="B2" s="656"/>
      <c r="C2" s="656"/>
      <c r="D2" s="656"/>
      <c r="E2" s="656"/>
      <c r="F2" s="656"/>
      <c r="G2" s="656"/>
    </row>
    <row r="3" spans="1:9" ht="15">
      <c r="A3" s="656" t="s">
        <v>107</v>
      </c>
      <c r="B3" s="656"/>
      <c r="C3" s="656"/>
      <c r="D3" s="656"/>
      <c r="E3" s="656"/>
      <c r="F3" s="656"/>
      <c r="G3" s="656"/>
    </row>
    <row r="4" spans="1:9" ht="15">
      <c r="A4" s="656" t="s">
        <v>108</v>
      </c>
      <c r="B4" s="656"/>
      <c r="C4" s="656"/>
      <c r="D4" s="656"/>
      <c r="E4" s="656"/>
      <c r="F4" s="656"/>
      <c r="G4" s="656"/>
    </row>
    <row r="5" spans="1:9" ht="15">
      <c r="A5" s="656" t="s">
        <v>1010</v>
      </c>
      <c r="B5" s="656"/>
      <c r="C5" s="656"/>
      <c r="D5" s="656"/>
      <c r="E5" s="656"/>
      <c r="F5" s="656"/>
      <c r="G5" s="656"/>
    </row>
    <row r="6" spans="1:9" ht="15">
      <c r="A6" s="656" t="s">
        <v>1011</v>
      </c>
      <c r="B6" s="656"/>
      <c r="C6" s="656"/>
      <c r="D6" s="656"/>
      <c r="E6" s="656"/>
      <c r="F6" s="656"/>
      <c r="G6" s="656"/>
    </row>
    <row r="7" spans="1:9" ht="15">
      <c r="A7" s="656" t="s">
        <v>109</v>
      </c>
      <c r="B7" s="656"/>
      <c r="C7" s="656"/>
      <c r="D7" s="656"/>
      <c r="E7" s="656"/>
      <c r="F7" s="656"/>
      <c r="G7" s="656"/>
    </row>
    <row r="8" spans="1:9" ht="15">
      <c r="A8" s="656" t="s">
        <v>106</v>
      </c>
      <c r="B8" s="656"/>
      <c r="C8" s="656"/>
      <c r="D8" s="656"/>
      <c r="E8" s="656"/>
      <c r="F8" s="656"/>
      <c r="G8" s="656"/>
    </row>
    <row r="9" spans="1:9" ht="15">
      <c r="A9" s="783" t="s">
        <v>110</v>
      </c>
      <c r="B9" s="783" t="s">
        <v>111</v>
      </c>
      <c r="C9" s="783" t="s">
        <v>112</v>
      </c>
      <c r="D9" s="783" t="s">
        <v>113</v>
      </c>
      <c r="E9" s="783" t="s">
        <v>114</v>
      </c>
      <c r="F9" s="783" t="s">
        <v>115</v>
      </c>
      <c r="G9" s="783" t="s">
        <v>116</v>
      </c>
      <c r="H9" s="898"/>
    </row>
    <row r="10" spans="1:9" ht="15">
      <c r="A10" s="655">
        <v>901</v>
      </c>
      <c r="B10" s="655">
        <v>103</v>
      </c>
      <c r="C10" s="655">
        <v>1522</v>
      </c>
      <c r="D10" s="754" t="s">
        <v>1053</v>
      </c>
      <c r="E10" s="654">
        <v>45128</v>
      </c>
      <c r="F10" s="781">
        <v>84147822</v>
      </c>
      <c r="G10" s="781"/>
      <c r="H10" s="898"/>
    </row>
    <row r="11" spans="1:9" ht="15">
      <c r="A11" s="655">
        <v>902</v>
      </c>
      <c r="B11" s="655">
        <v>202</v>
      </c>
      <c r="C11" s="655">
        <v>7556</v>
      </c>
      <c r="D11" s="754" t="s">
        <v>1054</v>
      </c>
      <c r="E11" s="654">
        <v>45132</v>
      </c>
      <c r="F11" s="781"/>
      <c r="G11" s="781">
        <v>303679</v>
      </c>
      <c r="H11" s="1097">
        <f>+G11*0.004</f>
        <v>1214.7160000000001</v>
      </c>
    </row>
    <row r="12" spans="1:9" ht="15">
      <c r="A12" s="655">
        <v>902</v>
      </c>
      <c r="B12" s="655">
        <v>202</v>
      </c>
      <c r="C12" s="655">
        <v>7586</v>
      </c>
      <c r="D12" s="754" t="s">
        <v>1055</v>
      </c>
      <c r="E12" s="654">
        <v>45132</v>
      </c>
      <c r="F12" s="781"/>
      <c r="G12" s="781">
        <v>327472</v>
      </c>
      <c r="H12" s="1097"/>
    </row>
    <row r="13" spans="1:9" ht="15">
      <c r="A13" s="655">
        <v>902</v>
      </c>
      <c r="B13" s="655">
        <v>202</v>
      </c>
      <c r="C13" s="655">
        <v>8042</v>
      </c>
      <c r="D13" s="754" t="s">
        <v>1056</v>
      </c>
      <c r="E13" s="654">
        <v>45135</v>
      </c>
      <c r="F13" s="781"/>
      <c r="G13" s="781">
        <v>828876</v>
      </c>
      <c r="H13" s="1097"/>
    </row>
    <row r="14" spans="1:9" ht="15">
      <c r="A14" s="655">
        <v>902</v>
      </c>
      <c r="B14" s="655">
        <v>202</v>
      </c>
      <c r="C14" s="655">
        <v>8045</v>
      </c>
      <c r="D14" s="754" t="s">
        <v>1057</v>
      </c>
      <c r="E14" s="654">
        <v>45135</v>
      </c>
      <c r="F14" s="781"/>
      <c r="G14" s="781">
        <v>530936354</v>
      </c>
      <c r="H14" s="1097"/>
    </row>
    <row r="15" spans="1:9" ht="15">
      <c r="A15" s="655">
        <v>914</v>
      </c>
      <c r="B15" s="655">
        <v>140</v>
      </c>
      <c r="C15" s="655">
        <v>19</v>
      </c>
      <c r="D15" s="754" t="s">
        <v>1058</v>
      </c>
      <c r="E15" s="654">
        <v>45138</v>
      </c>
      <c r="F15" s="781">
        <v>40249316.520000003</v>
      </c>
      <c r="G15" s="781"/>
      <c r="H15" s="1097"/>
    </row>
    <row r="16" spans="1:9">
      <c r="A16" s="757"/>
      <c r="B16" s="757"/>
      <c r="C16" s="757"/>
      <c r="D16" s="758" t="s">
        <v>117</v>
      </c>
      <c r="E16" s="759"/>
      <c r="F16" s="760">
        <f>+SUM(F10:F15)</f>
        <v>124397138.52000001</v>
      </c>
      <c r="G16" s="760">
        <f>+SUM(G10:G15)</f>
        <v>532396381</v>
      </c>
      <c r="H16" s="898"/>
      <c r="I16" s="898"/>
    </row>
    <row r="17" spans="4:7">
      <c r="D17" s="235"/>
    </row>
    <row r="18" spans="4:7">
      <c r="D18" s="235" t="s">
        <v>118</v>
      </c>
      <c r="F18" s="862">
        <v>12942492390.859999</v>
      </c>
      <c r="G18" s="862"/>
    </row>
    <row r="19" spans="4:7" ht="15">
      <c r="D19" s="234" t="s">
        <v>119</v>
      </c>
      <c r="E19" s="234"/>
      <c r="F19" s="863">
        <f>+F18+F16-G16</f>
        <v>12534493148.379999</v>
      </c>
      <c r="G19" s="864"/>
    </row>
  </sheetData>
  <pageMargins left="0.7" right="0.7" top="0.75" bottom="0.75" header="0.3" footer="0.3"/>
  <pageSetup paperSize="9" orientation="portrait" horizontalDpi="1200" verticalDpi="12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oja4"/>
  <dimension ref="A1:J35"/>
  <sheetViews>
    <sheetView showGridLines="0" topLeftCell="A7" zoomScaleNormal="100" workbookViewId="0">
      <selection activeCell="G31" sqref="G31"/>
    </sheetView>
  </sheetViews>
  <sheetFormatPr baseColWidth="10" defaultRowHeight="12.75"/>
  <cols>
    <col min="1" max="3" width="11.42578125" style="72"/>
    <col min="4" max="4" width="81.140625" style="72" customWidth="1"/>
    <col min="5" max="5" width="12.42578125" style="72" customWidth="1"/>
    <col min="6" max="6" width="23" style="375" bestFit="1" customWidth="1"/>
    <col min="7" max="7" width="20.28515625" style="375" bestFit="1" customWidth="1"/>
    <col min="8" max="8" width="20.42578125" style="72" bestFit="1" customWidth="1"/>
    <col min="9" max="9" width="17.5703125" style="72" bestFit="1" customWidth="1"/>
    <col min="10" max="10" width="15.42578125" style="72" bestFit="1" customWidth="1"/>
    <col min="11" max="11" width="12.7109375" style="72" bestFit="1" customWidth="1"/>
    <col min="12" max="16384" width="11.42578125" style="72"/>
  </cols>
  <sheetData>
    <row r="1" spans="1:8" ht="15">
      <c r="A1" s="662" t="s">
        <v>105</v>
      </c>
      <c r="B1" s="662"/>
      <c r="C1" s="662"/>
      <c r="D1" s="662"/>
      <c r="E1" s="662"/>
      <c r="F1" s="662"/>
      <c r="G1" s="662"/>
      <c r="H1" s="662"/>
    </row>
    <row r="2" spans="1:8" ht="15">
      <c r="A2" s="662" t="s">
        <v>106</v>
      </c>
      <c r="B2" s="662"/>
      <c r="C2" s="662"/>
      <c r="D2" s="662"/>
      <c r="E2" s="662"/>
      <c r="F2" s="662"/>
      <c r="G2" s="662"/>
      <c r="H2" s="662"/>
    </row>
    <row r="3" spans="1:8" ht="15">
      <c r="A3" s="662" t="s">
        <v>107</v>
      </c>
      <c r="B3" s="662"/>
      <c r="C3" s="662"/>
      <c r="D3" s="662"/>
      <c r="E3" s="662"/>
      <c r="F3" s="662"/>
      <c r="G3" s="662"/>
      <c r="H3" s="662"/>
    </row>
    <row r="4" spans="1:8" ht="15">
      <c r="A4" s="662" t="s">
        <v>464</v>
      </c>
      <c r="B4" s="662"/>
      <c r="C4" s="662"/>
      <c r="D4" s="662"/>
      <c r="E4" s="662"/>
      <c r="F4" s="662"/>
      <c r="G4" s="662"/>
      <c r="H4" s="662"/>
    </row>
    <row r="5" spans="1:8" ht="15">
      <c r="A5" s="662" t="s">
        <v>1010</v>
      </c>
      <c r="B5" s="662"/>
      <c r="C5" s="662"/>
      <c r="D5" s="662"/>
      <c r="E5" s="662"/>
      <c r="F5" s="662"/>
      <c r="G5" s="662"/>
      <c r="H5" s="662"/>
    </row>
    <row r="6" spans="1:8" ht="15">
      <c r="A6" s="662" t="s">
        <v>1011</v>
      </c>
      <c r="B6" s="662"/>
      <c r="C6" s="662"/>
      <c r="D6" s="662"/>
      <c r="E6" s="662"/>
      <c r="F6" s="662"/>
      <c r="G6" s="662"/>
      <c r="H6" s="662"/>
    </row>
    <row r="7" spans="1:8" ht="15">
      <c r="A7" s="662" t="s">
        <v>465</v>
      </c>
      <c r="B7" s="662"/>
      <c r="C7" s="662"/>
      <c r="D7" s="662"/>
      <c r="E7" s="662"/>
      <c r="F7" s="662"/>
      <c r="G7" s="662"/>
      <c r="H7" s="662"/>
    </row>
    <row r="8" spans="1:8" ht="15">
      <c r="A8" s="662" t="s">
        <v>106</v>
      </c>
      <c r="B8" s="662"/>
      <c r="C8" s="662"/>
      <c r="D8" s="662"/>
      <c r="E8" s="662"/>
      <c r="F8" s="662"/>
      <c r="G8" s="662"/>
      <c r="H8" s="662"/>
    </row>
    <row r="9" spans="1:8" ht="15">
      <c r="A9" s="754" t="s">
        <v>110</v>
      </c>
      <c r="B9" s="754" t="s">
        <v>111</v>
      </c>
      <c r="C9" s="754" t="s">
        <v>112</v>
      </c>
      <c r="D9" s="754" t="s">
        <v>113</v>
      </c>
      <c r="E9" s="754" t="s">
        <v>114</v>
      </c>
      <c r="F9" s="754" t="s">
        <v>115</v>
      </c>
      <c r="G9" s="754" t="s">
        <v>116</v>
      </c>
      <c r="H9" s="662"/>
    </row>
    <row r="10" spans="1:8" ht="15">
      <c r="A10" s="754">
        <v>901</v>
      </c>
      <c r="B10" s="754">
        <v>103</v>
      </c>
      <c r="C10" s="754">
        <v>1585</v>
      </c>
      <c r="D10" s="754" t="s">
        <v>1068</v>
      </c>
      <c r="E10" s="755">
        <v>45135</v>
      </c>
      <c r="F10" s="1005"/>
      <c r="G10" s="1005">
        <v>39929877.5</v>
      </c>
      <c r="H10" s="662"/>
    </row>
    <row r="11" spans="1:8" ht="15">
      <c r="A11" s="754">
        <v>901</v>
      </c>
      <c r="B11" s="754">
        <v>103</v>
      </c>
      <c r="C11" s="754">
        <v>1586</v>
      </c>
      <c r="D11" s="754" t="s">
        <v>746</v>
      </c>
      <c r="E11" s="755">
        <v>45132</v>
      </c>
      <c r="F11" s="1005">
        <v>1310</v>
      </c>
      <c r="G11" s="1005"/>
      <c r="H11" s="662"/>
    </row>
    <row r="12" spans="1:8" ht="15">
      <c r="A12" s="754">
        <v>902</v>
      </c>
      <c r="B12" s="754">
        <v>202</v>
      </c>
      <c r="C12" s="754">
        <v>7564</v>
      </c>
      <c r="D12" s="754" t="s">
        <v>746</v>
      </c>
      <c r="E12" s="755">
        <v>45135</v>
      </c>
      <c r="F12" s="1005">
        <v>2123745</v>
      </c>
      <c r="G12" s="1005"/>
      <c r="H12" s="662"/>
    </row>
    <row r="13" spans="1:8" ht="15">
      <c r="A13" s="754">
        <v>902</v>
      </c>
      <c r="B13" s="754">
        <v>202</v>
      </c>
      <c r="C13" s="754">
        <v>7564</v>
      </c>
      <c r="D13" s="754" t="s">
        <v>1069</v>
      </c>
      <c r="E13" s="755">
        <v>45125</v>
      </c>
      <c r="F13" s="1005">
        <v>330000</v>
      </c>
      <c r="G13" s="1005"/>
      <c r="H13" s="662"/>
    </row>
    <row r="14" spans="1:8" ht="15">
      <c r="A14" s="754">
        <v>902</v>
      </c>
      <c r="B14" s="754">
        <v>202</v>
      </c>
      <c r="C14" s="754">
        <v>7565</v>
      </c>
      <c r="D14" s="754" t="s">
        <v>1070</v>
      </c>
      <c r="E14" s="755">
        <v>45132</v>
      </c>
      <c r="F14" s="1005">
        <v>859209</v>
      </c>
      <c r="G14" s="1005"/>
      <c r="H14" s="662"/>
    </row>
    <row r="15" spans="1:8" ht="15">
      <c r="A15" s="754">
        <v>902</v>
      </c>
      <c r="B15" s="754">
        <v>202</v>
      </c>
      <c r="C15" s="754">
        <v>7565</v>
      </c>
      <c r="D15" s="754" t="s">
        <v>1070</v>
      </c>
      <c r="E15" s="755">
        <v>45132</v>
      </c>
      <c r="F15" s="1005">
        <v>163250</v>
      </c>
      <c r="G15" s="1005"/>
      <c r="H15" s="662"/>
    </row>
    <row r="16" spans="1:8" ht="15">
      <c r="A16" s="754">
        <v>902</v>
      </c>
      <c r="B16" s="754">
        <v>202</v>
      </c>
      <c r="C16" s="754">
        <v>7586</v>
      </c>
      <c r="D16" s="754" t="s">
        <v>1071</v>
      </c>
      <c r="E16" s="755">
        <v>45134</v>
      </c>
      <c r="F16" s="1005"/>
      <c r="G16" s="1005">
        <v>100000</v>
      </c>
      <c r="H16" s="662"/>
    </row>
    <row r="17" spans="1:10" ht="15">
      <c r="A17" s="754">
        <v>902</v>
      </c>
      <c r="B17" s="754">
        <v>202</v>
      </c>
      <c r="C17" s="754">
        <v>8045</v>
      </c>
      <c r="D17" s="754" t="s">
        <v>1072</v>
      </c>
      <c r="E17" s="755">
        <v>45134</v>
      </c>
      <c r="F17" s="1005">
        <v>7041</v>
      </c>
      <c r="G17" s="1005"/>
      <c r="H17" s="662"/>
    </row>
    <row r="18" spans="1:10" ht="15">
      <c r="A18" s="754">
        <v>904</v>
      </c>
      <c r="B18" s="754">
        <v>402</v>
      </c>
      <c r="C18" s="754">
        <v>7690</v>
      </c>
      <c r="D18" s="754" t="s">
        <v>1073</v>
      </c>
      <c r="E18" s="755">
        <v>45134</v>
      </c>
      <c r="F18" s="1005"/>
      <c r="G18" s="1005">
        <v>128000</v>
      </c>
      <c r="H18" s="662"/>
    </row>
    <row r="19" spans="1:10" ht="15">
      <c r="A19" s="754">
        <v>904</v>
      </c>
      <c r="B19" s="754">
        <v>402</v>
      </c>
      <c r="C19" s="754">
        <v>7727</v>
      </c>
      <c r="D19" s="754" t="s">
        <v>1074</v>
      </c>
      <c r="E19" s="755">
        <v>45138</v>
      </c>
      <c r="F19" s="1005"/>
      <c r="G19" s="1005">
        <v>32000000</v>
      </c>
      <c r="H19" s="662"/>
    </row>
    <row r="20" spans="1:10" ht="15">
      <c r="A20" s="754">
        <v>904</v>
      </c>
      <c r="B20" s="754">
        <v>402</v>
      </c>
      <c r="C20" s="754">
        <v>7753</v>
      </c>
      <c r="D20" s="754" t="s">
        <v>1075</v>
      </c>
      <c r="E20" s="755">
        <v>45138</v>
      </c>
      <c r="F20" s="1005"/>
      <c r="G20" s="1005">
        <v>2123745</v>
      </c>
      <c r="H20" s="662"/>
    </row>
    <row r="21" spans="1:10" ht="15">
      <c r="A21" s="754">
        <v>904</v>
      </c>
      <c r="B21" s="754">
        <v>402</v>
      </c>
      <c r="C21" s="754">
        <v>8178</v>
      </c>
      <c r="D21" s="754" t="s">
        <v>1076</v>
      </c>
      <c r="E21" s="755">
        <v>45138</v>
      </c>
      <c r="F21" s="1005">
        <v>4090</v>
      </c>
      <c r="G21" s="1005"/>
      <c r="H21" s="662"/>
    </row>
    <row r="22" spans="1:10" ht="15">
      <c r="A22" s="754">
        <v>904</v>
      </c>
      <c r="B22" s="754">
        <v>402</v>
      </c>
      <c r="C22" s="754">
        <v>8274</v>
      </c>
      <c r="D22" s="754" t="s">
        <v>1077</v>
      </c>
      <c r="E22" s="755">
        <v>45138</v>
      </c>
      <c r="F22" s="1005"/>
      <c r="G22" s="1005">
        <v>32000000</v>
      </c>
      <c r="H22" s="662"/>
    </row>
    <row r="23" spans="1:10" ht="15">
      <c r="A23" s="754">
        <v>905</v>
      </c>
      <c r="B23" s="754">
        <v>503</v>
      </c>
      <c r="C23" s="754">
        <v>196</v>
      </c>
      <c r="D23" s="754" t="s">
        <v>1113</v>
      </c>
      <c r="E23" s="755">
        <v>45138</v>
      </c>
      <c r="F23" s="1005"/>
      <c r="G23" s="1005">
        <v>40249316.520000003</v>
      </c>
      <c r="H23" s="662"/>
    </row>
    <row r="24" spans="1:10" ht="15">
      <c r="A24" s="754">
        <v>905</v>
      </c>
      <c r="B24" s="754">
        <v>503</v>
      </c>
      <c r="C24" s="754">
        <v>196</v>
      </c>
      <c r="D24" s="754" t="s">
        <v>1114</v>
      </c>
      <c r="E24" s="755">
        <v>45138</v>
      </c>
      <c r="F24" s="1005">
        <v>39929877.5</v>
      </c>
      <c r="G24" s="1005"/>
      <c r="H24" s="662"/>
    </row>
    <row r="25" spans="1:10" ht="15">
      <c r="A25" s="754">
        <v>905</v>
      </c>
      <c r="B25" s="754">
        <v>503</v>
      </c>
      <c r="C25" s="754">
        <v>196</v>
      </c>
      <c r="D25" s="754" t="s">
        <v>1115</v>
      </c>
      <c r="E25" s="755">
        <v>45138</v>
      </c>
      <c r="F25" s="1005">
        <v>159720</v>
      </c>
      <c r="G25" s="1005"/>
      <c r="H25" s="662"/>
    </row>
    <row r="26" spans="1:10" ht="15">
      <c r="A26" s="376"/>
      <c r="B26" s="376"/>
      <c r="C26" s="376"/>
      <c r="D26" s="376"/>
      <c r="E26" s="1149"/>
      <c r="F26" s="1150">
        <v>0</v>
      </c>
      <c r="G26" s="1150">
        <v>0</v>
      </c>
      <c r="H26" s="662"/>
    </row>
    <row r="27" spans="1:10">
      <c r="J27" s="778"/>
    </row>
    <row r="28" spans="1:10">
      <c r="D28" s="372" t="s">
        <v>117</v>
      </c>
      <c r="E28" s="371"/>
      <c r="F28" s="373">
        <f>+SUM(F10:F25)</f>
        <v>43578242.5</v>
      </c>
      <c r="G28" s="373">
        <f>+SUM(G10:G25)</f>
        <v>146530939.02000001</v>
      </c>
      <c r="H28" s="756"/>
      <c r="J28" s="779"/>
    </row>
    <row r="29" spans="1:10">
      <c r="D29" s="74"/>
      <c r="F29" s="994"/>
      <c r="G29" s="72"/>
    </row>
    <row r="30" spans="1:10">
      <c r="D30" s="74" t="s">
        <v>118</v>
      </c>
      <c r="F30" s="72"/>
      <c r="G30" s="374">
        <v>12459231449.83</v>
      </c>
    </row>
    <row r="31" spans="1:10">
      <c r="D31" s="372" t="s">
        <v>119</v>
      </c>
      <c r="F31" s="72"/>
      <c r="G31" s="370">
        <f>+G30+G28-F28</f>
        <v>12562184146.35</v>
      </c>
      <c r="H31" s="375"/>
    </row>
    <row r="33" spans="5:10">
      <c r="J33" s="360"/>
    </row>
    <row r="34" spans="5:10">
      <c r="J34" s="360"/>
    </row>
    <row r="35" spans="5:10">
      <c r="E35" s="780"/>
    </row>
  </sheetData>
  <autoFilter ref="A9:G25" xr:uid="{00000000-0009-0000-0000-000006000000}"/>
  <phoneticPr fontId="23" type="noConversion"/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Hoja5"/>
  <dimension ref="A1:K36"/>
  <sheetViews>
    <sheetView showGridLines="0" topLeftCell="A7" zoomScale="90" zoomScaleNormal="90" workbookViewId="0">
      <selection activeCell="G26" sqref="G26"/>
    </sheetView>
  </sheetViews>
  <sheetFormatPr baseColWidth="10" defaultRowHeight="12.75"/>
  <cols>
    <col min="1" max="3" width="11.42578125" style="72"/>
    <col min="4" max="4" width="53.85546875" style="72" customWidth="1"/>
    <col min="5" max="5" width="12.42578125" style="72" customWidth="1"/>
    <col min="6" max="6" width="23" style="375" bestFit="1" customWidth="1"/>
    <col min="7" max="7" width="20.28515625" style="375" bestFit="1" customWidth="1"/>
    <col min="8" max="8" width="19.42578125" style="72" customWidth="1"/>
    <col min="9" max="9" width="17.5703125" style="72" bestFit="1" customWidth="1"/>
    <col min="10" max="10" width="20.85546875" style="72" bestFit="1" customWidth="1"/>
    <col min="11" max="11" width="12.7109375" style="72" bestFit="1" customWidth="1"/>
    <col min="12" max="16384" width="11.42578125" style="72"/>
  </cols>
  <sheetData>
    <row r="1" spans="1:11">
      <c r="A1" s="72" t="s">
        <v>105</v>
      </c>
      <c r="D1" s="74"/>
      <c r="F1" s="72"/>
      <c r="G1" s="72"/>
    </row>
    <row r="2" spans="1:11">
      <c r="A2" s="72" t="s">
        <v>106</v>
      </c>
      <c r="D2" s="74"/>
      <c r="F2" s="72"/>
      <c r="G2" s="72"/>
    </row>
    <row r="3" spans="1:11">
      <c r="A3" s="72" t="s">
        <v>107</v>
      </c>
      <c r="D3" s="74"/>
      <c r="F3" s="72"/>
      <c r="G3" s="72"/>
    </row>
    <row r="4" spans="1:11" ht="15">
      <c r="A4" s="662" t="s">
        <v>301</v>
      </c>
      <c r="D4" s="74"/>
      <c r="F4" s="72"/>
      <c r="G4" s="72"/>
    </row>
    <row r="5" spans="1:11">
      <c r="A5" s="72" t="s">
        <v>1010</v>
      </c>
      <c r="D5" s="74"/>
      <c r="F5" s="72"/>
      <c r="G5" s="72"/>
    </row>
    <row r="6" spans="1:11">
      <c r="A6" s="72" t="s">
        <v>1010</v>
      </c>
      <c r="D6" s="74"/>
      <c r="F6" s="72"/>
      <c r="G6" s="72"/>
    </row>
    <row r="7" spans="1:11">
      <c r="A7" s="72" t="s">
        <v>120</v>
      </c>
      <c r="D7" s="74"/>
      <c r="F7" s="72"/>
      <c r="G7" s="72"/>
    </row>
    <row r="8" spans="1:11">
      <c r="A8" s="72" t="s">
        <v>106</v>
      </c>
      <c r="D8" s="74"/>
      <c r="F8" s="72"/>
      <c r="G8" s="72"/>
    </row>
    <row r="9" spans="1:11" s="371" customFormat="1">
      <c r="A9" s="882" t="s">
        <v>110</v>
      </c>
      <c r="B9" s="882" t="s">
        <v>111</v>
      </c>
      <c r="C9" s="882" t="s">
        <v>112</v>
      </c>
      <c r="D9" s="883" t="s">
        <v>113</v>
      </c>
      <c r="E9" s="882" t="s">
        <v>114</v>
      </c>
      <c r="F9" s="882" t="s">
        <v>115</v>
      </c>
      <c r="G9" s="882" t="s">
        <v>116</v>
      </c>
      <c r="H9" s="884" t="s">
        <v>37</v>
      </c>
      <c r="I9" s="884" t="s">
        <v>115</v>
      </c>
      <c r="J9" s="884" t="s">
        <v>171</v>
      </c>
      <c r="K9" s="884"/>
    </row>
    <row r="10" spans="1:11" s="371" customFormat="1" ht="15">
      <c r="A10" s="655">
        <v>901</v>
      </c>
      <c r="B10" s="655">
        <v>103</v>
      </c>
      <c r="C10" s="655">
        <v>1522</v>
      </c>
      <c r="D10" s="655" t="s">
        <v>1109</v>
      </c>
      <c r="E10" s="654">
        <v>45128</v>
      </c>
      <c r="F10" s="1006"/>
      <c r="G10" s="1006">
        <v>84147822</v>
      </c>
      <c r="H10" s="884"/>
      <c r="I10" s="884"/>
      <c r="J10" s="884"/>
      <c r="K10" s="884"/>
    </row>
    <row r="11" spans="1:11" s="371" customFormat="1" ht="15">
      <c r="A11" s="655">
        <v>902</v>
      </c>
      <c r="B11" s="655">
        <v>202</v>
      </c>
      <c r="C11" s="655">
        <v>8045</v>
      </c>
      <c r="D11" s="655" t="s">
        <v>1057</v>
      </c>
      <c r="E11" s="654">
        <v>45135</v>
      </c>
      <c r="F11" s="1006">
        <v>533060100</v>
      </c>
      <c r="G11" s="1006"/>
      <c r="H11" s="884"/>
      <c r="I11" s="884"/>
      <c r="J11" s="884"/>
      <c r="K11" s="884"/>
    </row>
    <row r="12" spans="1:11" s="371" customFormat="1" ht="15">
      <c r="A12" s="655">
        <v>904</v>
      </c>
      <c r="B12" s="655">
        <v>402</v>
      </c>
      <c r="C12" s="655">
        <v>7728</v>
      </c>
      <c r="D12" s="655" t="s">
        <v>1110</v>
      </c>
      <c r="E12" s="654">
        <v>45124</v>
      </c>
      <c r="F12" s="1006">
        <v>530936354</v>
      </c>
      <c r="G12" s="1006"/>
      <c r="H12" s="884"/>
      <c r="I12" s="884"/>
      <c r="J12" s="884"/>
      <c r="K12" s="884"/>
    </row>
    <row r="13" spans="1:11" s="371" customFormat="1" ht="15">
      <c r="A13" s="655">
        <v>904</v>
      </c>
      <c r="B13" s="655">
        <v>402</v>
      </c>
      <c r="C13" s="655">
        <v>7728</v>
      </c>
      <c r="D13" s="655" t="s">
        <v>1110</v>
      </c>
      <c r="E13" s="654">
        <v>45124</v>
      </c>
      <c r="F13" s="1006"/>
      <c r="G13" s="1006">
        <v>530936354</v>
      </c>
      <c r="H13" s="884"/>
      <c r="I13" s="884"/>
      <c r="J13" s="884"/>
      <c r="K13" s="884"/>
    </row>
    <row r="14" spans="1:11" s="371" customFormat="1" ht="15">
      <c r="A14" s="655">
        <v>904</v>
      </c>
      <c r="B14" s="655">
        <v>402</v>
      </c>
      <c r="C14" s="655">
        <v>7991</v>
      </c>
      <c r="D14" s="655" t="s">
        <v>1110</v>
      </c>
      <c r="E14" s="654">
        <v>45131</v>
      </c>
      <c r="F14" s="1006">
        <v>533060100</v>
      </c>
      <c r="G14" s="1006"/>
      <c r="H14" s="884"/>
      <c r="I14" s="884"/>
      <c r="J14" s="884"/>
      <c r="K14" s="884"/>
    </row>
    <row r="15" spans="1:11" s="371" customFormat="1" ht="15">
      <c r="A15" s="655">
        <v>904</v>
      </c>
      <c r="B15" s="655">
        <v>402</v>
      </c>
      <c r="C15" s="655">
        <v>7991</v>
      </c>
      <c r="D15" s="655" t="s">
        <v>1110</v>
      </c>
      <c r="E15" s="654">
        <v>45131</v>
      </c>
      <c r="F15" s="1006"/>
      <c r="G15" s="1006">
        <v>533060100</v>
      </c>
      <c r="H15" s="884"/>
      <c r="I15" s="884"/>
      <c r="J15" s="884"/>
      <c r="K15" s="884"/>
    </row>
    <row r="16" spans="1:11" s="371" customFormat="1" ht="15">
      <c r="A16" s="655">
        <v>911</v>
      </c>
      <c r="B16" s="655">
        <v>156</v>
      </c>
      <c r="C16" s="655">
        <v>109</v>
      </c>
      <c r="D16" s="655" t="s">
        <v>1073</v>
      </c>
      <c r="E16" s="654">
        <v>45134</v>
      </c>
      <c r="F16" s="1006">
        <v>128000</v>
      </c>
      <c r="G16" s="1006"/>
      <c r="H16" s="884"/>
      <c r="I16" s="884"/>
      <c r="J16" s="884"/>
      <c r="K16" s="884"/>
    </row>
    <row r="17" spans="1:11" s="371" customFormat="1" ht="15">
      <c r="A17" s="655">
        <v>911</v>
      </c>
      <c r="B17" s="655">
        <v>156</v>
      </c>
      <c r="C17" s="655">
        <v>116</v>
      </c>
      <c r="D17" s="655" t="s">
        <v>1111</v>
      </c>
      <c r="E17" s="654">
        <v>45138</v>
      </c>
      <c r="F17" s="1006"/>
      <c r="G17" s="1006">
        <v>1</v>
      </c>
      <c r="H17" s="884"/>
      <c r="I17" s="884"/>
      <c r="J17" s="884"/>
      <c r="K17" s="884"/>
    </row>
    <row r="18" spans="1:11" s="371" customFormat="1" ht="15">
      <c r="A18" s="655">
        <v>911</v>
      </c>
      <c r="B18" s="655">
        <v>156</v>
      </c>
      <c r="C18" s="655">
        <v>120</v>
      </c>
      <c r="D18" s="655" t="s">
        <v>1115</v>
      </c>
      <c r="E18" s="654">
        <v>45138</v>
      </c>
      <c r="F18" s="1006"/>
      <c r="G18" s="1006">
        <v>159720</v>
      </c>
      <c r="H18" s="884"/>
      <c r="I18" s="884"/>
      <c r="J18" s="884"/>
      <c r="K18" s="884"/>
    </row>
    <row r="19" spans="1:11" s="371" customFormat="1" ht="15">
      <c r="A19" s="655">
        <v>915</v>
      </c>
      <c r="B19" s="655">
        <v>172</v>
      </c>
      <c r="C19" s="655">
        <v>914</v>
      </c>
      <c r="D19" s="655" t="s">
        <v>1112</v>
      </c>
      <c r="E19" s="654">
        <v>45131</v>
      </c>
      <c r="F19" s="1006"/>
      <c r="G19" s="1006">
        <v>530936354</v>
      </c>
      <c r="H19" s="884"/>
      <c r="I19" s="884"/>
      <c r="J19" s="884"/>
      <c r="K19" s="884"/>
    </row>
    <row r="20" spans="1:11" s="371" customFormat="1" ht="15">
      <c r="A20" s="655">
        <v>915</v>
      </c>
      <c r="B20" s="655">
        <v>172</v>
      </c>
      <c r="C20" s="655">
        <v>914</v>
      </c>
      <c r="D20" s="655" t="s">
        <v>1112</v>
      </c>
      <c r="E20" s="654">
        <v>45131</v>
      </c>
      <c r="F20" s="1006">
        <v>530936354</v>
      </c>
      <c r="G20" s="1006"/>
      <c r="H20" s="884"/>
      <c r="I20" s="884"/>
      <c r="J20" s="884"/>
      <c r="K20" s="884"/>
    </row>
    <row r="21" spans="1:11" s="371" customFormat="1" ht="15">
      <c r="A21" s="1094"/>
      <c r="B21" s="1094"/>
      <c r="C21" s="1094"/>
      <c r="D21" s="1094"/>
      <c r="E21" s="1095"/>
      <c r="F21" s="1096"/>
      <c r="G21" s="1096">
        <v>0</v>
      </c>
      <c r="H21" s="884"/>
      <c r="I21" s="884"/>
      <c r="J21" s="884"/>
      <c r="K21" s="884"/>
    </row>
    <row r="22" spans="1:11" s="371" customFormat="1" ht="15">
      <c r="A22" s="1094"/>
      <c r="B22" s="1094"/>
      <c r="C22" s="1094"/>
      <c r="D22" s="1094"/>
      <c r="E22" s="1095"/>
      <c r="F22" s="1096"/>
      <c r="G22" s="1096"/>
      <c r="H22" s="884"/>
      <c r="I22" s="884"/>
      <c r="J22" s="884"/>
      <c r="K22" s="884"/>
    </row>
    <row r="23" spans="1:11">
      <c r="D23" s="372" t="s">
        <v>117</v>
      </c>
      <c r="E23" s="371"/>
      <c r="F23" s="373">
        <f>+SUM(F10:F20)</f>
        <v>2128120908</v>
      </c>
      <c r="G23" s="373">
        <f>+SUM(G10:G20)</f>
        <v>1679240351</v>
      </c>
      <c r="H23" s="885"/>
      <c r="I23" s="886"/>
      <c r="J23" s="231"/>
      <c r="K23" s="230"/>
    </row>
    <row r="24" spans="1:11">
      <c r="D24" s="74"/>
      <c r="F24" s="72"/>
      <c r="G24" s="72"/>
      <c r="H24" s="230"/>
      <c r="I24" s="230"/>
      <c r="J24" s="230"/>
      <c r="K24" s="230"/>
    </row>
    <row r="25" spans="1:11" ht="15">
      <c r="D25" s="74" t="s">
        <v>118</v>
      </c>
      <c r="F25" s="72"/>
      <c r="G25" s="374">
        <v>451199831</v>
      </c>
      <c r="H25" s="887"/>
      <c r="I25" s="230"/>
    </row>
    <row r="26" spans="1:11">
      <c r="D26" s="372" t="s">
        <v>119</v>
      </c>
      <c r="F26" s="72"/>
      <c r="G26" s="370">
        <f>+G25+G23-F23</f>
        <v>2319274</v>
      </c>
      <c r="H26" s="374"/>
    </row>
    <row r="27" spans="1:11">
      <c r="D27" s="74"/>
      <c r="F27" s="72"/>
      <c r="G27" s="890">
        <v>4192175</v>
      </c>
      <c r="H27" s="891" t="e">
        <f>+G25+#REF!-#REF!</f>
        <v>#REF!</v>
      </c>
    </row>
    <row r="28" spans="1:11">
      <c r="F28" s="888"/>
      <c r="G28" s="889">
        <f>+'Anexo 2 Sena'!E45+'Anexo 2 Sena'!F99</f>
        <v>81989183.047999993</v>
      </c>
      <c r="H28" s="230"/>
    </row>
    <row r="29" spans="1:11">
      <c r="F29" s="888"/>
      <c r="G29" s="889">
        <f>+G26-G28</f>
        <v>-79669909.047999993</v>
      </c>
      <c r="H29" s="230"/>
    </row>
    <row r="30" spans="1:11">
      <c r="F30" s="888"/>
      <c r="G30" s="889"/>
      <c r="H30" s="230"/>
    </row>
    <row r="31" spans="1:11">
      <c r="F31" s="888"/>
      <c r="G31" s="888"/>
    </row>
    <row r="32" spans="1:11">
      <c r="F32" s="888"/>
      <c r="G32" s="888"/>
    </row>
    <row r="33" spans="6:7">
      <c r="F33" s="888"/>
      <c r="G33" s="888"/>
    </row>
    <row r="34" spans="6:7">
      <c r="G34" s="889"/>
    </row>
    <row r="35" spans="6:7">
      <c r="G35" s="889"/>
    </row>
    <row r="36" spans="6:7">
      <c r="G36" s="889"/>
    </row>
  </sheetData>
  <autoFilter ref="A9:G20" xr:uid="{00000000-0009-0000-0000-000007000000}">
    <sortState ref="A10:G23">
      <sortCondition ref="E9:E20"/>
    </sortState>
  </autoFilter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Hoja8"/>
  <dimension ref="A1:I19"/>
  <sheetViews>
    <sheetView showGridLines="0" topLeftCell="A4" workbookViewId="0">
      <selection activeCell="G19" sqref="G19"/>
    </sheetView>
  </sheetViews>
  <sheetFormatPr baseColWidth="10" defaultRowHeight="15"/>
  <cols>
    <col min="4" max="4" width="31.140625" customWidth="1"/>
    <col min="6" max="6" width="14.28515625" bestFit="1" customWidth="1"/>
    <col min="7" max="7" width="15.28515625" bestFit="1" customWidth="1"/>
    <col min="8" max="8" width="14.140625" bestFit="1" customWidth="1"/>
  </cols>
  <sheetData>
    <row r="1" spans="1:8">
      <c r="A1" t="s">
        <v>105</v>
      </c>
    </row>
    <row r="2" spans="1:8">
      <c r="A2" t="s">
        <v>106</v>
      </c>
    </row>
    <row r="3" spans="1:8">
      <c r="A3" t="s">
        <v>107</v>
      </c>
    </row>
    <row r="4" spans="1:8">
      <c r="A4" t="s">
        <v>228</v>
      </c>
    </row>
    <row r="5" spans="1:8">
      <c r="A5" s="289" t="s">
        <v>1010</v>
      </c>
    </row>
    <row r="6" spans="1:8">
      <c r="A6" s="289" t="s">
        <v>1011</v>
      </c>
    </row>
    <row r="7" spans="1:8">
      <c r="A7" t="s">
        <v>227</v>
      </c>
    </row>
    <row r="8" spans="1:8">
      <c r="A8" t="s">
        <v>106</v>
      </c>
    </row>
    <row r="10" spans="1:8" s="289" customFormat="1">
      <c r="A10" s="656" t="s">
        <v>110</v>
      </c>
      <c r="B10" s="656" t="s">
        <v>111</v>
      </c>
      <c r="C10" s="656" t="s">
        <v>112</v>
      </c>
      <c r="D10" s="656" t="s">
        <v>113</v>
      </c>
      <c r="E10" s="656" t="s">
        <v>114</v>
      </c>
      <c r="F10" s="656" t="s">
        <v>115</v>
      </c>
      <c r="G10" s="656" t="s">
        <v>116</v>
      </c>
    </row>
    <row r="11" spans="1:8" s="289" customFormat="1">
      <c r="A11" s="656" t="s">
        <v>106</v>
      </c>
      <c r="B11" s="656"/>
      <c r="C11" s="656"/>
      <c r="D11" s="656"/>
      <c r="E11" s="656"/>
      <c r="F11" s="656"/>
      <c r="G11" s="656"/>
    </row>
    <row r="12" spans="1:8" s="289" customFormat="1">
      <c r="A12" s="656">
        <v>905</v>
      </c>
      <c r="B12" s="656">
        <v>503</v>
      </c>
      <c r="C12" s="656">
        <v>199</v>
      </c>
      <c r="D12" s="656" t="s">
        <v>1070</v>
      </c>
      <c r="E12" s="293">
        <v>45132</v>
      </c>
      <c r="F12" s="656"/>
      <c r="G12" s="296">
        <v>1022459</v>
      </c>
    </row>
    <row r="13" spans="1:8" s="289" customFormat="1">
      <c r="F13" s="289">
        <v>0</v>
      </c>
    </row>
    <row r="14" spans="1:8">
      <c r="A14" s="289"/>
      <c r="B14" s="289"/>
      <c r="C14" s="289"/>
      <c r="D14" s="289"/>
      <c r="E14" s="293"/>
      <c r="F14" s="289"/>
      <c r="G14" s="296"/>
    </row>
    <row r="16" spans="1:8">
      <c r="D16" s="71" t="s">
        <v>117</v>
      </c>
      <c r="E16" s="73"/>
      <c r="F16" s="75">
        <f>SUM(F12:F14)</f>
        <v>0</v>
      </c>
      <c r="G16" s="75">
        <f>SUM(G12:G14)</f>
        <v>1022459</v>
      </c>
      <c r="H16" s="273"/>
    </row>
    <row r="17" spans="4:9">
      <c r="D17" s="56"/>
      <c r="E17" s="28"/>
      <c r="F17" s="28"/>
      <c r="G17" s="28"/>
    </row>
    <row r="18" spans="4:9">
      <c r="D18" s="56" t="s">
        <v>118</v>
      </c>
      <c r="E18" s="28"/>
      <c r="F18" s="28"/>
      <c r="G18" s="374">
        <v>42885295</v>
      </c>
      <c r="I18" s="296"/>
    </row>
    <row r="19" spans="4:9">
      <c r="D19" s="372" t="s">
        <v>119</v>
      </c>
      <c r="E19" s="28"/>
      <c r="F19" s="28"/>
      <c r="G19" s="370">
        <f>+G18+F16-G16</f>
        <v>41862836</v>
      </c>
      <c r="I19" s="296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Hoja9"/>
  <dimension ref="A1:J65520"/>
  <sheetViews>
    <sheetView showGridLines="0" topLeftCell="B1" workbookViewId="0">
      <selection activeCell="I9" sqref="I9"/>
    </sheetView>
  </sheetViews>
  <sheetFormatPr baseColWidth="10" defaultColWidth="8" defaultRowHeight="12.75"/>
  <cols>
    <col min="1" max="1" width="18.28515625" style="377" bestFit="1" customWidth="1"/>
    <col min="2" max="2" width="38.140625" style="377" customWidth="1"/>
    <col min="3" max="3" width="9" style="377" bestFit="1" customWidth="1"/>
    <col min="4" max="5" width="21" style="377" bestFit="1" customWidth="1"/>
    <col min="6" max="6" width="22.42578125" style="377" bestFit="1" customWidth="1"/>
    <col min="7" max="7" width="8" style="377"/>
    <col min="8" max="8" width="24.85546875" style="377" bestFit="1" customWidth="1"/>
    <col min="9" max="9" width="21.5703125" style="377" bestFit="1" customWidth="1"/>
    <col min="10" max="10" width="16.5703125" style="377" bestFit="1" customWidth="1"/>
    <col min="11" max="16384" width="8" style="377"/>
  </cols>
  <sheetData>
    <row r="1" spans="1:10" ht="62.25" customHeight="1">
      <c r="A1" s="1301" t="s">
        <v>1007</v>
      </c>
      <c r="B1" s="1302"/>
      <c r="C1" s="1302"/>
      <c r="D1" s="1302"/>
      <c r="E1" s="1302"/>
      <c r="F1" s="1302"/>
    </row>
    <row r="2" spans="1:10" ht="15.75">
      <c r="A2" s="378"/>
      <c r="B2" s="378"/>
      <c r="C2" s="378"/>
      <c r="D2" s="378"/>
      <c r="E2" s="378"/>
      <c r="F2" s="378"/>
    </row>
    <row r="3" spans="1:10" ht="15.75" customHeight="1">
      <c r="A3" s="1303" t="s">
        <v>92</v>
      </c>
      <c r="B3" s="1304"/>
      <c r="C3" s="378"/>
      <c r="D3" s="378"/>
      <c r="E3" s="378"/>
      <c r="F3" s="1305" t="s">
        <v>93</v>
      </c>
      <c r="G3" s="1306"/>
      <c r="H3" s="1307"/>
      <c r="I3" s="1308"/>
    </row>
    <row r="4" spans="1:10" ht="15.75">
      <c r="A4" s="379" t="s">
        <v>94</v>
      </c>
      <c r="B4" s="919">
        <v>13025811336.859999</v>
      </c>
      <c r="C4" s="378"/>
      <c r="D4" s="378"/>
      <c r="E4" s="378"/>
      <c r="F4" s="1309" t="s">
        <v>36</v>
      </c>
      <c r="G4" s="1307"/>
      <c r="H4" s="657" t="s">
        <v>95</v>
      </c>
      <c r="I4" s="657" t="s">
        <v>96</v>
      </c>
    </row>
    <row r="5" spans="1:10" ht="15.75" customHeight="1">
      <c r="A5" s="380" t="s">
        <v>277</v>
      </c>
      <c r="B5" s="797">
        <f>+E22</f>
        <v>123622471.52000001</v>
      </c>
      <c r="C5" s="378"/>
      <c r="D5" s="378"/>
      <c r="E5" s="378"/>
      <c r="F5" s="1310" t="s">
        <v>225</v>
      </c>
      <c r="G5" s="1310"/>
      <c r="H5" s="658">
        <f>+E21</f>
        <v>83373155</v>
      </c>
      <c r="I5" s="658">
        <v>0</v>
      </c>
      <c r="J5" s="727"/>
    </row>
    <row r="6" spans="1:10" ht="15.75" customHeight="1">
      <c r="A6" s="380" t="s">
        <v>278</v>
      </c>
      <c r="B6" s="797">
        <f>+D22</f>
        <v>533693775</v>
      </c>
      <c r="C6" s="378"/>
      <c r="D6" s="378"/>
      <c r="E6" s="378"/>
      <c r="F6" s="1311" t="s">
        <v>509</v>
      </c>
      <c r="G6" s="1311"/>
      <c r="H6" s="658">
        <v>0</v>
      </c>
      <c r="I6" s="658">
        <f>+D14+D16+D18</f>
        <v>2126270</v>
      </c>
      <c r="J6" s="727">
        <f>+H6-I6</f>
        <v>-2126270</v>
      </c>
    </row>
    <row r="7" spans="1:10" ht="15.75" customHeight="1">
      <c r="A7" s="381" t="s">
        <v>97</v>
      </c>
      <c r="B7" s="950">
        <f>+B4+B5-B6</f>
        <v>12615740033.379999</v>
      </c>
      <c r="C7" s="378"/>
      <c r="D7" s="378"/>
      <c r="E7" s="378"/>
      <c r="F7" s="1312" t="s">
        <v>513</v>
      </c>
      <c r="G7" s="1313"/>
      <c r="H7" s="658">
        <v>0</v>
      </c>
      <c r="I7" s="658">
        <f>+D19</f>
        <v>530936354</v>
      </c>
      <c r="J7" s="727"/>
    </row>
    <row r="8" spans="1:10" ht="15.75" customHeight="1">
      <c r="A8" s="766"/>
      <c r="B8" s="767"/>
      <c r="C8" s="378"/>
      <c r="D8" s="378"/>
      <c r="E8" s="378"/>
      <c r="F8" s="1312" t="s">
        <v>533</v>
      </c>
      <c r="G8" s="1313"/>
      <c r="H8" s="658">
        <f>+E20</f>
        <v>40249316.520000003</v>
      </c>
      <c r="I8" s="658">
        <v>0</v>
      </c>
      <c r="J8" s="727"/>
    </row>
    <row r="9" spans="1:10" ht="15.75" customHeight="1">
      <c r="A9" s="382"/>
      <c r="B9" s="383"/>
      <c r="C9" s="378"/>
      <c r="D9" s="378"/>
      <c r="E9" s="378"/>
      <c r="F9" s="1312" t="s">
        <v>510</v>
      </c>
      <c r="G9" s="1313"/>
      <c r="H9" s="658">
        <v>0</v>
      </c>
      <c r="I9" s="658">
        <f>+D15+D17</f>
        <v>631151</v>
      </c>
      <c r="J9" s="727"/>
    </row>
    <row r="10" spans="1:10" ht="15.75" customHeight="1">
      <c r="A10" s="382"/>
      <c r="B10" s="383"/>
      <c r="C10" s="378"/>
      <c r="D10" s="378"/>
      <c r="E10" s="378"/>
      <c r="F10" s="1312" t="s">
        <v>543</v>
      </c>
      <c r="G10" s="1313"/>
      <c r="H10" s="658">
        <v>0</v>
      </c>
      <c r="I10" s="658">
        <v>0</v>
      </c>
      <c r="J10" s="727"/>
    </row>
    <row r="11" spans="1:10" ht="15.75">
      <c r="A11" s="382"/>
      <c r="B11" s="383"/>
      <c r="C11" s="378"/>
      <c r="D11" s="378"/>
      <c r="E11" s="378"/>
      <c r="F11" s="1300" t="s">
        <v>98</v>
      </c>
      <c r="G11" s="1300"/>
      <c r="H11" s="659">
        <f>SUM(H5:H10)</f>
        <v>123622471.52000001</v>
      </c>
      <c r="I11" s="659">
        <f>SUM(I5:I10)</f>
        <v>533693775</v>
      </c>
      <c r="J11" s="727"/>
    </row>
    <row r="12" spans="1:10">
      <c r="H12" s="384"/>
      <c r="I12" s="384"/>
    </row>
    <row r="13" spans="1:10" ht="15.75">
      <c r="A13" s="673" t="s">
        <v>99</v>
      </c>
      <c r="B13" s="674" t="s">
        <v>100</v>
      </c>
      <c r="C13" s="675" t="s">
        <v>101</v>
      </c>
      <c r="D13" s="672" t="s">
        <v>102</v>
      </c>
      <c r="E13" s="675" t="s">
        <v>103</v>
      </c>
      <c r="F13" s="677" t="s">
        <v>104</v>
      </c>
      <c r="H13" s="384"/>
      <c r="I13" s="384"/>
    </row>
    <row r="14" spans="1:10" ht="15.75">
      <c r="A14" s="558">
        <v>45133</v>
      </c>
      <c r="B14" s="942" t="s">
        <v>511</v>
      </c>
      <c r="C14" s="676"/>
      <c r="D14" s="943">
        <v>1310</v>
      </c>
      <c r="E14" s="944"/>
      <c r="F14" s="560">
        <f>+B4+E14-D14</f>
        <v>13025810026.859999</v>
      </c>
    </row>
    <row r="15" spans="1:10" ht="15.75">
      <c r="A15" s="558">
        <v>45133</v>
      </c>
      <c r="B15" s="942" t="s">
        <v>512</v>
      </c>
      <c r="C15" s="676"/>
      <c r="D15" s="943">
        <v>327472</v>
      </c>
      <c r="E15" s="944"/>
      <c r="F15" s="560">
        <f>+F14-D15+E15</f>
        <v>13025482554.859999</v>
      </c>
    </row>
    <row r="16" spans="1:10" ht="15.75">
      <c r="A16" s="558">
        <v>45134</v>
      </c>
      <c r="B16" s="942" t="s">
        <v>511</v>
      </c>
      <c r="C16" s="676"/>
      <c r="D16" s="943">
        <v>1215</v>
      </c>
      <c r="E16" s="944"/>
      <c r="F16" s="560">
        <f t="shared" ref="F16:F21" si="0">+F15-D16+E16</f>
        <v>13025481339.859999</v>
      </c>
    </row>
    <row r="17" spans="1:6" ht="15.75">
      <c r="A17" s="558">
        <v>45134</v>
      </c>
      <c r="B17" s="942" t="s">
        <v>512</v>
      </c>
      <c r="C17" s="676"/>
      <c r="D17" s="943">
        <v>303679</v>
      </c>
      <c r="E17" s="944"/>
      <c r="F17" s="560">
        <f t="shared" si="0"/>
        <v>13025177660.859999</v>
      </c>
    </row>
    <row r="18" spans="1:6" ht="15.75">
      <c r="A18" s="558">
        <v>45135</v>
      </c>
      <c r="B18" s="942" t="s">
        <v>511</v>
      </c>
      <c r="C18" s="676"/>
      <c r="D18" s="943">
        <v>2123745</v>
      </c>
      <c r="E18" s="944"/>
      <c r="F18" s="560">
        <f t="shared" si="0"/>
        <v>13023053915.859999</v>
      </c>
    </row>
    <row r="19" spans="1:6" ht="15.75">
      <c r="A19" s="558">
        <v>45135</v>
      </c>
      <c r="B19" s="942" t="s">
        <v>1009</v>
      </c>
      <c r="C19" s="676"/>
      <c r="D19" s="943">
        <v>530936354</v>
      </c>
      <c r="E19" s="944"/>
      <c r="F19" s="560">
        <f t="shared" si="0"/>
        <v>12492117561.859999</v>
      </c>
    </row>
    <row r="20" spans="1:6" ht="15.75">
      <c r="A20" s="558">
        <v>45138</v>
      </c>
      <c r="B20" s="942" t="s">
        <v>1008</v>
      </c>
      <c r="C20" s="676"/>
      <c r="D20" s="943">
        <v>0</v>
      </c>
      <c r="E20" s="944">
        <v>40249316.520000003</v>
      </c>
      <c r="F20" s="560">
        <f t="shared" si="0"/>
        <v>12532366878.379999</v>
      </c>
    </row>
    <row r="21" spans="1:6" ht="15.75">
      <c r="A21" s="558">
        <v>45138</v>
      </c>
      <c r="B21" s="942" t="s">
        <v>499</v>
      </c>
      <c r="C21" s="676"/>
      <c r="D21" s="943">
        <v>0</v>
      </c>
      <c r="E21" s="944">
        <v>83373155</v>
      </c>
      <c r="F21" s="560">
        <f t="shared" si="0"/>
        <v>12615740033.379999</v>
      </c>
    </row>
    <row r="22" spans="1:6" ht="15.75">
      <c r="A22" s="559"/>
      <c r="B22" s="559"/>
      <c r="C22" s="559"/>
      <c r="D22" s="945">
        <f>SUM(D14:D21)</f>
        <v>533693775</v>
      </c>
      <c r="E22" s="945">
        <f>SUM(E14:E21)</f>
        <v>123622471.52000001</v>
      </c>
      <c r="F22" s="993"/>
    </row>
    <row r="24" spans="1:6" ht="15.75">
      <c r="B24" s="942"/>
    </row>
    <row r="25" spans="1:6">
      <c r="E25" s="957"/>
    </row>
    <row r="65520" spans="1:1" ht="15.75">
      <c r="A65520" s="385"/>
    </row>
  </sheetData>
  <autoFilter ref="A13:F13" xr:uid="{00000000-0009-0000-0000-000009000000}"/>
  <mergeCells count="11">
    <mergeCell ref="F11:G11"/>
    <mergeCell ref="A1:F1"/>
    <mergeCell ref="A3:B3"/>
    <mergeCell ref="F3:I3"/>
    <mergeCell ref="F4:G4"/>
    <mergeCell ref="F5:G5"/>
    <mergeCell ref="F6:G6"/>
    <mergeCell ref="F8:G8"/>
    <mergeCell ref="F10:G10"/>
    <mergeCell ref="F7:G7"/>
    <mergeCell ref="F9:G9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Hoja1">
    <pageSetUpPr fitToPage="1"/>
  </sheetPr>
  <dimension ref="A1:K45"/>
  <sheetViews>
    <sheetView view="pageBreakPreview" zoomScale="91" zoomScaleNormal="85" zoomScaleSheetLayoutView="91" workbookViewId="0">
      <selection activeCell="B50" sqref="B50"/>
    </sheetView>
  </sheetViews>
  <sheetFormatPr baseColWidth="10" defaultRowHeight="15"/>
  <cols>
    <col min="1" max="1" width="22.5703125" style="831" bestFit="1" customWidth="1"/>
    <col min="2" max="2" width="29.85546875" style="831" bestFit="1" customWidth="1"/>
    <col min="3" max="3" width="11.28515625" style="831" bestFit="1" customWidth="1"/>
    <col min="4" max="4" width="27" style="831" bestFit="1" customWidth="1"/>
    <col min="5" max="5" width="27.28515625" style="831" bestFit="1" customWidth="1"/>
    <col min="6" max="6" width="21.85546875" style="831" bestFit="1" customWidth="1"/>
    <col min="7" max="7" width="15" style="831" customWidth="1"/>
    <col min="8" max="8" width="29.5703125" style="831" bestFit="1" customWidth="1"/>
    <col min="9" max="9" width="30.140625" style="831" bestFit="1" customWidth="1"/>
    <col min="10" max="10" width="17.42578125" style="831" bestFit="1" customWidth="1"/>
    <col min="11" max="11" width="14.140625" style="831" bestFit="1" customWidth="1"/>
    <col min="12" max="16384" width="11.42578125" style="831"/>
  </cols>
  <sheetData>
    <row r="1" spans="1:11" ht="63.75" customHeight="1">
      <c r="A1" s="1318" t="s">
        <v>1087</v>
      </c>
      <c r="B1" s="1319"/>
      <c r="C1" s="1319"/>
      <c r="D1" s="1319"/>
      <c r="E1" s="1319"/>
      <c r="F1" s="1319"/>
      <c r="G1" s="830"/>
      <c r="H1" s="830"/>
      <c r="I1" s="830"/>
      <c r="J1" s="830"/>
    </row>
    <row r="2" spans="1:11" ht="15.75">
      <c r="A2" s="832"/>
      <c r="B2" s="832"/>
      <c r="C2" s="832"/>
      <c r="D2" s="832"/>
      <c r="E2" s="832"/>
      <c r="F2" s="832"/>
      <c r="G2" s="830"/>
      <c r="H2" s="830"/>
      <c r="I2" s="830"/>
      <c r="J2" s="830"/>
    </row>
    <row r="3" spans="1:11" ht="15.75">
      <c r="A3" s="1320" t="s">
        <v>92</v>
      </c>
      <c r="B3" s="1321"/>
      <c r="C3" s="832"/>
      <c r="D3" s="832"/>
      <c r="E3" s="832"/>
      <c r="F3" s="1322" t="s">
        <v>93</v>
      </c>
      <c r="G3" s="1323"/>
      <c r="H3" s="1324"/>
      <c r="I3" s="1325"/>
      <c r="J3" s="830"/>
    </row>
    <row r="4" spans="1:11" ht="15.75">
      <c r="A4" s="833" t="s">
        <v>94</v>
      </c>
      <c r="B4" s="920">
        <v>366238081.74000114</v>
      </c>
      <c r="C4" s="832"/>
      <c r="D4" s="865"/>
      <c r="E4" s="832"/>
      <c r="F4" s="1026" t="s">
        <v>36</v>
      </c>
      <c r="G4" s="1027"/>
      <c r="H4" s="834" t="s">
        <v>95</v>
      </c>
      <c r="I4" s="834" t="s">
        <v>96</v>
      </c>
      <c r="J4" s="830"/>
    </row>
    <row r="5" spans="1:11" ht="15.75">
      <c r="A5" s="835" t="s">
        <v>277</v>
      </c>
      <c r="B5" s="836">
        <f>+E45</f>
        <v>62215.41</v>
      </c>
      <c r="C5" s="832"/>
      <c r="D5" s="832"/>
      <c r="E5" s="832"/>
      <c r="F5" s="1316" t="s">
        <v>225</v>
      </c>
      <c r="G5" s="1317"/>
      <c r="H5" s="988">
        <f>+SUM(E14:E44)</f>
        <v>62215.41</v>
      </c>
      <c r="I5" s="988">
        <v>0</v>
      </c>
      <c r="J5" s="837"/>
      <c r="K5" s="930"/>
    </row>
    <row r="6" spans="1:11" ht="15.75">
      <c r="A6" s="835" t="s">
        <v>278</v>
      </c>
      <c r="B6" s="836">
        <f>+D45</f>
        <v>0</v>
      </c>
      <c r="C6" s="832"/>
      <c r="D6" s="832"/>
      <c r="E6" s="832"/>
      <c r="F6" s="1316" t="s">
        <v>509</v>
      </c>
      <c r="G6" s="1317"/>
      <c r="H6" s="988">
        <v>0</v>
      </c>
      <c r="I6" s="988">
        <v>0</v>
      </c>
      <c r="J6" s="921"/>
    </row>
    <row r="7" spans="1:11" ht="15.75">
      <c r="A7" s="838" t="s">
        <v>97</v>
      </c>
      <c r="B7" s="839">
        <f>+B4+B5-B6</f>
        <v>366300297.15000117</v>
      </c>
      <c r="C7" s="832"/>
      <c r="D7" s="832"/>
      <c r="E7" s="832"/>
      <c r="F7" s="1316" t="s">
        <v>513</v>
      </c>
      <c r="G7" s="1317"/>
      <c r="H7" s="988">
        <v>0</v>
      </c>
      <c r="I7" s="988">
        <v>0</v>
      </c>
      <c r="J7" s="837"/>
    </row>
    <row r="8" spans="1:11" ht="15.75">
      <c r="A8" s="840"/>
      <c r="B8" s="841"/>
      <c r="C8" s="832"/>
      <c r="D8" s="832"/>
      <c r="E8" s="832"/>
      <c r="F8" s="1316" t="s">
        <v>568</v>
      </c>
      <c r="G8" s="1317"/>
      <c r="H8" s="988">
        <v>0</v>
      </c>
      <c r="I8" s="988">
        <v>0</v>
      </c>
      <c r="J8" s="837">
        <f>+I8-H8</f>
        <v>0</v>
      </c>
    </row>
    <row r="9" spans="1:11" ht="15.75">
      <c r="A9" s="840"/>
      <c r="B9" s="841"/>
      <c r="C9" s="832"/>
      <c r="D9" s="832"/>
      <c r="E9" s="832"/>
      <c r="F9" s="1316" t="s">
        <v>642</v>
      </c>
      <c r="G9" s="1317"/>
      <c r="H9" s="988">
        <v>0</v>
      </c>
      <c r="I9" s="988">
        <v>0</v>
      </c>
    </row>
    <row r="10" spans="1:11" ht="15.75">
      <c r="A10" s="840"/>
      <c r="B10" s="841"/>
      <c r="C10" s="832"/>
      <c r="D10" s="832"/>
      <c r="E10" s="832"/>
      <c r="F10" s="1314" t="s">
        <v>98</v>
      </c>
      <c r="G10" s="1315"/>
      <c r="H10" s="842">
        <f>SUM(H5:H9)</f>
        <v>62215.41</v>
      </c>
      <c r="I10" s="842">
        <f>SUM(I5:I9)</f>
        <v>0</v>
      </c>
      <c r="J10" s="837"/>
    </row>
    <row r="11" spans="1:11" ht="15.75">
      <c r="A11" s="840"/>
      <c r="B11" s="841"/>
      <c r="C11" s="832"/>
      <c r="D11" s="832"/>
      <c r="E11" s="832"/>
      <c r="J11" s="830"/>
    </row>
    <row r="12" spans="1:11">
      <c r="A12" s="830"/>
      <c r="B12" s="830"/>
      <c r="C12" s="830"/>
      <c r="D12" s="830"/>
      <c r="E12" s="830"/>
      <c r="F12" s="830"/>
      <c r="G12" s="830"/>
      <c r="H12" s="843"/>
      <c r="I12" s="843"/>
      <c r="J12" s="830"/>
    </row>
    <row r="13" spans="1:11" ht="15.75">
      <c r="A13" s="844" t="s">
        <v>99</v>
      </c>
      <c r="B13" s="845" t="s">
        <v>100</v>
      </c>
      <c r="C13" s="846" t="s">
        <v>101</v>
      </c>
      <c r="D13" s="847" t="s">
        <v>102</v>
      </c>
      <c r="E13" s="846" t="s">
        <v>103</v>
      </c>
      <c r="F13" s="946" t="s">
        <v>104</v>
      </c>
      <c r="G13" s="830"/>
      <c r="H13" s="843"/>
      <c r="I13" s="843"/>
      <c r="J13" s="830"/>
    </row>
    <row r="14" spans="1:11" ht="15.75">
      <c r="A14" s="848" t="s">
        <v>1088</v>
      </c>
      <c r="B14" s="849" t="s">
        <v>574</v>
      </c>
      <c r="C14" s="850"/>
      <c r="D14" s="851">
        <v>0</v>
      </c>
      <c r="E14" s="852">
        <v>2006.78</v>
      </c>
      <c r="F14" s="947">
        <f>+$B$4-D14+E14</f>
        <v>366240088.52000111</v>
      </c>
      <c r="G14" s="830"/>
      <c r="H14" s="843"/>
      <c r="I14" s="843"/>
      <c r="J14" s="830"/>
    </row>
    <row r="15" spans="1:11" ht="15.75">
      <c r="A15" s="848" t="s">
        <v>1088</v>
      </c>
      <c r="B15" s="849" t="s">
        <v>574</v>
      </c>
      <c r="C15" s="850"/>
      <c r="D15" s="851">
        <v>0</v>
      </c>
      <c r="E15" s="852">
        <v>2006.8</v>
      </c>
      <c r="F15" s="947">
        <f>+F14-D15+E15</f>
        <v>366242095.32000113</v>
      </c>
      <c r="G15" s="830"/>
      <c r="H15" s="843"/>
      <c r="I15" s="843"/>
      <c r="J15" s="830"/>
    </row>
    <row r="16" spans="1:11" ht="15.75">
      <c r="A16" s="848" t="s">
        <v>1088</v>
      </c>
      <c r="B16" s="849" t="s">
        <v>574</v>
      </c>
      <c r="C16" s="850"/>
      <c r="D16" s="851">
        <v>0</v>
      </c>
      <c r="E16" s="852">
        <v>2006.81</v>
      </c>
      <c r="F16" s="947">
        <f t="shared" ref="F16:F44" si="0">+F15-D16+E16</f>
        <v>366244102.13000113</v>
      </c>
      <c r="G16" s="830"/>
      <c r="H16" s="843"/>
      <c r="I16" s="843"/>
      <c r="J16" s="830"/>
    </row>
    <row r="17" spans="1:10" ht="15.75">
      <c r="A17" s="848" t="s">
        <v>1089</v>
      </c>
      <c r="B17" s="849" t="s">
        <v>574</v>
      </c>
      <c r="C17" s="850"/>
      <c r="D17" s="851">
        <v>0</v>
      </c>
      <c r="E17" s="852">
        <v>2006.82</v>
      </c>
      <c r="F17" s="947">
        <f t="shared" si="0"/>
        <v>366246108.95000112</v>
      </c>
      <c r="G17" s="830"/>
      <c r="H17" s="843"/>
      <c r="I17" s="843"/>
      <c r="J17" s="830"/>
    </row>
    <row r="18" spans="1:10" ht="15.75">
      <c r="A18" s="848" t="s">
        <v>1090</v>
      </c>
      <c r="B18" s="849" t="s">
        <v>574</v>
      </c>
      <c r="C18" s="850"/>
      <c r="D18" s="851">
        <v>0</v>
      </c>
      <c r="E18" s="852">
        <v>2006.83</v>
      </c>
      <c r="F18" s="947">
        <f t="shared" si="0"/>
        <v>366248115.7800011</v>
      </c>
      <c r="G18" s="830"/>
      <c r="H18" s="843"/>
      <c r="I18" s="843"/>
      <c r="J18" s="830"/>
    </row>
    <row r="19" spans="1:10" ht="15.75">
      <c r="A19" s="848" t="s">
        <v>1091</v>
      </c>
      <c r="B19" s="849" t="s">
        <v>574</v>
      </c>
      <c r="C19" s="850"/>
      <c r="D19" s="851">
        <v>0</v>
      </c>
      <c r="E19" s="852">
        <v>2006.84</v>
      </c>
      <c r="F19" s="947">
        <f t="shared" si="0"/>
        <v>366250122.62000108</v>
      </c>
      <c r="G19" s="830"/>
      <c r="H19" s="843"/>
      <c r="I19" s="843"/>
      <c r="J19" s="830"/>
    </row>
    <row r="20" spans="1:10" ht="15.75">
      <c r="A20" s="848" t="s">
        <v>1092</v>
      </c>
      <c r="B20" s="849" t="s">
        <v>574</v>
      </c>
      <c r="C20" s="850"/>
      <c r="D20" s="851">
        <v>0</v>
      </c>
      <c r="E20" s="852">
        <v>2006.85</v>
      </c>
      <c r="F20" s="947">
        <f t="shared" si="0"/>
        <v>366252129.4700011</v>
      </c>
      <c r="G20" s="830"/>
      <c r="H20" s="843"/>
      <c r="I20" s="843"/>
      <c r="J20" s="830"/>
    </row>
    <row r="21" spans="1:10" ht="15.75">
      <c r="A21" s="848" t="s">
        <v>1092</v>
      </c>
      <c r="B21" s="849" t="s">
        <v>574</v>
      </c>
      <c r="C21" s="850"/>
      <c r="D21" s="851">
        <v>0</v>
      </c>
      <c r="E21" s="852">
        <v>2006.86</v>
      </c>
      <c r="F21" s="947">
        <f>+F19-D21+E21</f>
        <v>366252129.48000109</v>
      </c>
      <c r="G21" s="830"/>
      <c r="H21" s="843"/>
      <c r="I21" s="843"/>
      <c r="J21" s="830"/>
    </row>
    <row r="22" spans="1:10" ht="15.75">
      <c r="A22" s="848" t="s">
        <v>1092</v>
      </c>
      <c r="B22" s="849" t="s">
        <v>574</v>
      </c>
      <c r="C22" s="850"/>
      <c r="D22" s="851">
        <v>0</v>
      </c>
      <c r="E22" s="852">
        <v>2006.87</v>
      </c>
      <c r="F22" s="947">
        <f t="shared" si="0"/>
        <v>366254136.3500011</v>
      </c>
      <c r="G22" s="830"/>
      <c r="H22" s="843"/>
      <c r="I22" s="843"/>
      <c r="J22" s="830"/>
    </row>
    <row r="23" spans="1:10" ht="15.75">
      <c r="A23" s="848" t="s">
        <v>1093</v>
      </c>
      <c r="B23" s="849" t="s">
        <v>574</v>
      </c>
      <c r="C23" s="850"/>
      <c r="D23" s="851">
        <v>0</v>
      </c>
      <c r="E23" s="852">
        <v>2006.88</v>
      </c>
      <c r="F23" s="947">
        <f t="shared" si="0"/>
        <v>366256143.23000109</v>
      </c>
      <c r="G23" s="830"/>
      <c r="H23" s="843"/>
      <c r="I23" s="843"/>
      <c r="J23" s="830"/>
    </row>
    <row r="24" spans="1:10" ht="15.75">
      <c r="A24" s="848" t="s">
        <v>1094</v>
      </c>
      <c r="B24" s="849" t="s">
        <v>574</v>
      </c>
      <c r="C24" s="850"/>
      <c r="D24" s="851">
        <v>0</v>
      </c>
      <c r="E24" s="852">
        <v>2006.89</v>
      </c>
      <c r="F24" s="947">
        <f t="shared" si="0"/>
        <v>366258150.12000108</v>
      </c>
      <c r="G24" s="830"/>
      <c r="H24" s="843"/>
      <c r="I24" s="843"/>
      <c r="J24" s="830"/>
    </row>
    <row r="25" spans="1:10" ht="15.75">
      <c r="A25" s="848" t="s">
        <v>1095</v>
      </c>
      <c r="B25" s="849" t="s">
        <v>574</v>
      </c>
      <c r="C25" s="850"/>
      <c r="D25" s="851">
        <v>0</v>
      </c>
      <c r="E25" s="852">
        <v>2006.9</v>
      </c>
      <c r="F25" s="947">
        <f t="shared" si="0"/>
        <v>366260157.02000105</v>
      </c>
      <c r="G25" s="830"/>
      <c r="H25" s="843"/>
      <c r="I25" s="843"/>
      <c r="J25" s="830"/>
    </row>
    <row r="26" spans="1:10" ht="15.75">
      <c r="A26" s="848" t="s">
        <v>1096</v>
      </c>
      <c r="B26" s="849" t="s">
        <v>574</v>
      </c>
      <c r="C26" s="850"/>
      <c r="D26" s="851">
        <v>0</v>
      </c>
      <c r="E26" s="852">
        <v>2006.92</v>
      </c>
      <c r="F26" s="947">
        <f t="shared" si="0"/>
        <v>366262163.94000107</v>
      </c>
      <c r="G26" s="830"/>
      <c r="H26" s="843"/>
      <c r="I26" s="843"/>
      <c r="J26" s="830"/>
    </row>
    <row r="27" spans="1:10" ht="15.75">
      <c r="A27" s="848" t="s">
        <v>1097</v>
      </c>
      <c r="B27" s="849" t="s">
        <v>574</v>
      </c>
      <c r="C27" s="850"/>
      <c r="D27" s="851">
        <v>0</v>
      </c>
      <c r="E27" s="852">
        <v>2006.93</v>
      </c>
      <c r="F27" s="947">
        <f t="shared" si="0"/>
        <v>366264170.87000108</v>
      </c>
      <c r="G27" s="830"/>
      <c r="H27" s="843"/>
      <c r="I27" s="843"/>
      <c r="J27" s="830"/>
    </row>
    <row r="28" spans="1:10" ht="15.75">
      <c r="A28" s="848" t="s">
        <v>1097</v>
      </c>
      <c r="B28" s="849" t="s">
        <v>574</v>
      </c>
      <c r="C28" s="850"/>
      <c r="D28" s="851">
        <v>0</v>
      </c>
      <c r="E28" s="852">
        <v>2006.94</v>
      </c>
      <c r="F28" s="947">
        <f t="shared" si="0"/>
        <v>366266177.81000108</v>
      </c>
      <c r="G28" s="830"/>
      <c r="H28" s="843"/>
      <c r="I28" s="843"/>
      <c r="J28" s="830"/>
    </row>
    <row r="29" spans="1:10" ht="15.75">
      <c r="A29" s="848" t="s">
        <v>1097</v>
      </c>
      <c r="B29" s="849" t="s">
        <v>574</v>
      </c>
      <c r="C29" s="850"/>
      <c r="D29" s="851">
        <v>0</v>
      </c>
      <c r="E29" s="852">
        <v>2006.95</v>
      </c>
      <c r="F29" s="947">
        <f t="shared" si="0"/>
        <v>366268184.76000106</v>
      </c>
      <c r="G29" s="830"/>
      <c r="H29" s="843"/>
      <c r="I29" s="843"/>
      <c r="J29" s="830"/>
    </row>
    <row r="30" spans="1:10" ht="15.75">
      <c r="A30" s="848" t="s">
        <v>1098</v>
      </c>
      <c r="B30" s="849" t="s">
        <v>574</v>
      </c>
      <c r="C30" s="850"/>
      <c r="D30" s="851">
        <v>0</v>
      </c>
      <c r="E30" s="852">
        <v>2006.96</v>
      </c>
      <c r="F30" s="947">
        <f t="shared" si="0"/>
        <v>366270191.72000104</v>
      </c>
      <c r="G30" s="830"/>
      <c r="H30" s="843"/>
      <c r="I30" s="843"/>
      <c r="J30" s="830"/>
    </row>
    <row r="31" spans="1:10" ht="15.75">
      <c r="A31" s="848" t="s">
        <v>1099</v>
      </c>
      <c r="B31" s="849" t="s">
        <v>574</v>
      </c>
      <c r="C31" s="850"/>
      <c r="D31" s="851">
        <v>0</v>
      </c>
      <c r="E31" s="852">
        <v>2006.97</v>
      </c>
      <c r="F31" s="947">
        <f t="shared" si="0"/>
        <v>366272198.69000107</v>
      </c>
      <c r="G31" s="830"/>
      <c r="H31" s="843"/>
      <c r="I31" s="843"/>
      <c r="J31" s="830"/>
    </row>
    <row r="32" spans="1:10" ht="15.75">
      <c r="A32" s="848" t="s">
        <v>1100</v>
      </c>
      <c r="B32" s="849" t="s">
        <v>574</v>
      </c>
      <c r="C32" s="850"/>
      <c r="D32" s="851">
        <v>0</v>
      </c>
      <c r="E32" s="852">
        <v>2006.98</v>
      </c>
      <c r="F32" s="947">
        <f t="shared" si="0"/>
        <v>366274205.67000109</v>
      </c>
      <c r="G32" s="830"/>
      <c r="H32" s="843"/>
      <c r="I32" s="843"/>
      <c r="J32" s="830"/>
    </row>
    <row r="33" spans="1:10" ht="15.75">
      <c r="A33" s="848" t="s">
        <v>1100</v>
      </c>
      <c r="B33" s="849" t="s">
        <v>574</v>
      </c>
      <c r="C33" s="850"/>
      <c r="D33" s="851">
        <v>0</v>
      </c>
      <c r="E33" s="852">
        <v>2006.99</v>
      </c>
      <c r="F33" s="947">
        <f t="shared" si="0"/>
        <v>366276212.6600011</v>
      </c>
      <c r="G33" s="830"/>
      <c r="H33" s="843"/>
      <c r="I33" s="843"/>
      <c r="J33" s="830"/>
    </row>
    <row r="34" spans="1:10" ht="15.75">
      <c r="A34" s="848" t="s">
        <v>1101</v>
      </c>
      <c r="B34" s="849" t="s">
        <v>574</v>
      </c>
      <c r="C34" s="850"/>
      <c r="D34" s="851">
        <v>0</v>
      </c>
      <c r="E34" s="852">
        <v>2007</v>
      </c>
      <c r="F34" s="947">
        <f t="shared" si="0"/>
        <v>366278219.6600011</v>
      </c>
      <c r="G34" s="830"/>
      <c r="H34" s="843"/>
      <c r="I34" s="843"/>
      <c r="J34" s="830"/>
    </row>
    <row r="35" spans="1:10" ht="15.75">
      <c r="A35" s="848" t="s">
        <v>1101</v>
      </c>
      <c r="B35" s="849" t="s">
        <v>574</v>
      </c>
      <c r="C35" s="850"/>
      <c r="D35" s="851">
        <v>0</v>
      </c>
      <c r="E35" s="852">
        <v>2007.01</v>
      </c>
      <c r="F35" s="947">
        <f t="shared" si="0"/>
        <v>366280226.67000109</v>
      </c>
      <c r="G35" s="830"/>
      <c r="H35" s="843"/>
      <c r="I35" s="843"/>
      <c r="J35" s="830"/>
    </row>
    <row r="36" spans="1:10" ht="15.75">
      <c r="A36" s="848" t="s">
        <v>1101</v>
      </c>
      <c r="B36" s="849" t="s">
        <v>574</v>
      </c>
      <c r="C36" s="850"/>
      <c r="D36" s="851">
        <v>0</v>
      </c>
      <c r="E36" s="852">
        <v>2007.03</v>
      </c>
      <c r="F36" s="947">
        <f t="shared" si="0"/>
        <v>366282233.70000106</v>
      </c>
      <c r="G36" s="830"/>
      <c r="H36" s="843"/>
      <c r="I36" s="843"/>
      <c r="J36" s="830"/>
    </row>
    <row r="37" spans="1:10" ht="15.75">
      <c r="A37" s="848" t="s">
        <v>1102</v>
      </c>
      <c r="B37" s="849" t="s">
        <v>574</v>
      </c>
      <c r="C37" s="850"/>
      <c r="D37" s="851">
        <v>0</v>
      </c>
      <c r="E37" s="852">
        <v>2007.04</v>
      </c>
      <c r="F37" s="947">
        <f t="shared" si="0"/>
        <v>366284240.74000108</v>
      </c>
      <c r="G37" s="830"/>
      <c r="H37" s="843"/>
      <c r="I37" s="843"/>
      <c r="J37" s="830"/>
    </row>
    <row r="38" spans="1:10" ht="15.75">
      <c r="A38" s="848" t="s">
        <v>1103</v>
      </c>
      <c r="B38" s="849" t="s">
        <v>574</v>
      </c>
      <c r="C38" s="850"/>
      <c r="D38" s="851">
        <v>0</v>
      </c>
      <c r="E38" s="852">
        <v>2007.05</v>
      </c>
      <c r="F38" s="947">
        <f t="shared" si="0"/>
        <v>366286247.79000109</v>
      </c>
      <c r="G38" s="830"/>
      <c r="H38" s="843"/>
      <c r="I38" s="843"/>
      <c r="J38" s="830"/>
    </row>
    <row r="39" spans="1:10" ht="15.75">
      <c r="A39" s="848" t="s">
        <v>1104</v>
      </c>
      <c r="B39" s="849" t="s">
        <v>574</v>
      </c>
      <c r="C39" s="850"/>
      <c r="D39" s="851">
        <v>0</v>
      </c>
      <c r="E39" s="852">
        <v>2007.06</v>
      </c>
      <c r="F39" s="947">
        <f t="shared" si="0"/>
        <v>366288254.8500011</v>
      </c>
      <c r="G39" s="830"/>
      <c r="H39" s="843"/>
      <c r="I39" s="843"/>
      <c r="J39" s="830"/>
    </row>
    <row r="40" spans="1:10" ht="15.75">
      <c r="A40" s="848" t="s">
        <v>1105</v>
      </c>
      <c r="B40" s="849" t="s">
        <v>574</v>
      </c>
      <c r="C40" s="850"/>
      <c r="D40" s="851">
        <v>0</v>
      </c>
      <c r="E40" s="852">
        <v>2007.07</v>
      </c>
      <c r="F40" s="947">
        <f t="shared" si="0"/>
        <v>366290261.92000109</v>
      </c>
      <c r="G40" s="830"/>
      <c r="H40" s="843"/>
      <c r="I40" s="843"/>
      <c r="J40" s="830"/>
    </row>
    <row r="41" spans="1:10" ht="15.75">
      <c r="A41" s="848" t="s">
        <v>1106</v>
      </c>
      <c r="B41" s="849" t="s">
        <v>574</v>
      </c>
      <c r="C41" s="850"/>
      <c r="D41" s="851">
        <v>0</v>
      </c>
      <c r="E41" s="852">
        <v>2007.08</v>
      </c>
      <c r="F41" s="947">
        <f t="shared" si="0"/>
        <v>366292269.00000107</v>
      </c>
      <c r="G41" s="830"/>
      <c r="H41" s="843"/>
      <c r="I41" s="843"/>
      <c r="J41" s="830"/>
    </row>
    <row r="42" spans="1:10" ht="15.75">
      <c r="A42" s="848" t="s">
        <v>1106</v>
      </c>
      <c r="B42" s="849" t="s">
        <v>574</v>
      </c>
      <c r="C42" s="850"/>
      <c r="D42" s="851">
        <v>0</v>
      </c>
      <c r="E42" s="852">
        <v>2007.09</v>
      </c>
      <c r="F42" s="947">
        <f t="shared" si="0"/>
        <v>366294276.09000105</v>
      </c>
      <c r="G42" s="830"/>
      <c r="H42" s="843"/>
      <c r="I42" s="843"/>
      <c r="J42" s="830"/>
    </row>
    <row r="43" spans="1:10" ht="15.75">
      <c r="A43" s="848" t="s">
        <v>1106</v>
      </c>
      <c r="B43" s="849" t="s">
        <v>574</v>
      </c>
      <c r="C43" s="850"/>
      <c r="D43" s="851">
        <v>0</v>
      </c>
      <c r="E43" s="852">
        <v>2007.1</v>
      </c>
      <c r="F43" s="947">
        <f t="shared" si="0"/>
        <v>366296283.19000107</v>
      </c>
      <c r="G43" s="830"/>
      <c r="H43" s="843"/>
      <c r="I43" s="843"/>
      <c r="J43" s="830"/>
    </row>
    <row r="44" spans="1:10" ht="15.75">
      <c r="A44" s="848" t="s">
        <v>1106</v>
      </c>
      <c r="B44" s="849" t="s">
        <v>574</v>
      </c>
      <c r="C44" s="850"/>
      <c r="D44" s="851">
        <v>0</v>
      </c>
      <c r="E44" s="852">
        <v>2007.11</v>
      </c>
      <c r="F44" s="947">
        <f t="shared" si="0"/>
        <v>366298290.30000108</v>
      </c>
      <c r="G44" s="830"/>
      <c r="H44" s="843"/>
      <c r="I44" s="843"/>
      <c r="J44" s="830"/>
    </row>
    <row r="45" spans="1:10" ht="18.75">
      <c r="D45" s="1083">
        <f>+SUM(D14:D44)</f>
        <v>0</v>
      </c>
      <c r="E45" s="1083">
        <f>+SUM(E14:E44)</f>
        <v>62215.41</v>
      </c>
    </row>
  </sheetData>
  <autoFilter ref="A13:F45" xr:uid="{00000000-0009-0000-0000-00000A000000}"/>
  <mergeCells count="9">
    <mergeCell ref="F10:G10"/>
    <mergeCell ref="F7:G7"/>
    <mergeCell ref="F8:G8"/>
    <mergeCell ref="F9:G9"/>
    <mergeCell ref="A1:F1"/>
    <mergeCell ref="A3:B3"/>
    <mergeCell ref="F3:I3"/>
    <mergeCell ref="F5:G5"/>
    <mergeCell ref="F6:G6"/>
  </mergeCells>
  <pageMargins left="0.7" right="0.7" top="0.75" bottom="0.75" header="0.3" footer="0.3"/>
  <pageSetup paperSize="9" scale="61" orientation="landscape" horizontalDpi="1200" verticalDpi="120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Hoja7">
    <tabColor theme="4" tint="-0.249977111117893"/>
    <pageSetUpPr fitToPage="1"/>
  </sheetPr>
  <dimension ref="A1:J64"/>
  <sheetViews>
    <sheetView view="pageBreakPreview" zoomScale="70" zoomScaleNormal="85" zoomScaleSheetLayoutView="70" workbookViewId="0">
      <selection activeCell="F16" sqref="F16"/>
    </sheetView>
  </sheetViews>
  <sheetFormatPr baseColWidth="10" defaultRowHeight="15"/>
  <cols>
    <col min="1" max="2" width="29.42578125" style="814" customWidth="1"/>
    <col min="3" max="3" width="23.28515625" style="814" customWidth="1"/>
    <col min="4" max="4" width="38" style="814" customWidth="1"/>
    <col min="5" max="5" width="20.42578125" style="814" customWidth="1"/>
    <col min="6" max="6" width="32.28515625" style="814" bestFit="1" customWidth="1"/>
    <col min="7" max="7" width="19.28515625" style="814" bestFit="1" customWidth="1"/>
    <col min="8" max="8" width="54.42578125" style="814" bestFit="1" customWidth="1"/>
    <col min="9" max="9" width="25" style="869" bestFit="1" customWidth="1"/>
    <col min="10" max="10" width="45.7109375" style="814" bestFit="1" customWidth="1"/>
    <col min="11" max="16384" width="11.42578125" style="814"/>
  </cols>
  <sheetData>
    <row r="1" spans="1:10">
      <c r="A1" s="1327" t="s">
        <v>1107</v>
      </c>
      <c r="B1" s="1327"/>
      <c r="C1" s="1327"/>
      <c r="D1" s="1327"/>
      <c r="E1" s="1327"/>
      <c r="F1" s="1327"/>
    </row>
    <row r="2" spans="1:10">
      <c r="A2" s="1327"/>
      <c r="B2" s="1327"/>
      <c r="C2" s="1327"/>
      <c r="D2" s="1327"/>
      <c r="E2" s="1327"/>
      <c r="F2" s="1327"/>
    </row>
    <row r="3" spans="1:10" ht="72" customHeight="1">
      <c r="A3" s="1327"/>
      <c r="B3" s="1327"/>
      <c r="C3" s="1327"/>
      <c r="D3" s="1327"/>
      <c r="E3" s="1327"/>
      <c r="F3" s="1327"/>
    </row>
    <row r="4" spans="1:10" ht="15.75">
      <c r="A4" s="1327" t="s">
        <v>205</v>
      </c>
      <c r="B4" s="1327"/>
      <c r="C4" s="1327"/>
      <c r="D4" s="1327"/>
      <c r="E4" s="1327"/>
      <c r="F4" s="1327"/>
    </row>
    <row r="5" spans="1:10" ht="16.5" thickBot="1">
      <c r="A5" s="1327" t="s">
        <v>575</v>
      </c>
      <c r="B5" s="1327"/>
      <c r="C5" s="1327"/>
      <c r="D5" s="1327"/>
      <c r="E5" s="1327"/>
      <c r="F5" s="1327"/>
    </row>
    <row r="6" spans="1:10" ht="15.75">
      <c r="A6" s="1361" t="s">
        <v>1</v>
      </c>
      <c r="B6" s="1362"/>
      <c r="C6" s="1362"/>
      <c r="D6" s="1362"/>
      <c r="E6" s="1362"/>
      <c r="F6" s="1363" t="s">
        <v>2</v>
      </c>
      <c r="H6" s="872" t="s">
        <v>803</v>
      </c>
      <c r="I6" s="873" t="s">
        <v>622</v>
      </c>
      <c r="J6" s="872" t="s">
        <v>617</v>
      </c>
    </row>
    <row r="7" spans="1:10" ht="15.75">
      <c r="A7" s="1364"/>
      <c r="B7" s="1365"/>
      <c r="C7" s="1365"/>
      <c r="D7" s="1365"/>
      <c r="E7" s="1366"/>
      <c r="F7" s="1367"/>
      <c r="H7" s="871" t="s">
        <v>611</v>
      </c>
      <c r="I7" s="1029">
        <f>-I8*0.004</f>
        <v>-160000000</v>
      </c>
      <c r="J7" s="871" t="s">
        <v>618</v>
      </c>
    </row>
    <row r="8" spans="1:10" ht="15.75">
      <c r="A8" s="1368" t="s">
        <v>804</v>
      </c>
      <c r="B8" s="1369"/>
      <c r="C8" s="1369"/>
      <c r="D8" s="1369"/>
      <c r="E8" s="816"/>
      <c r="F8" s="1370">
        <f>F56</f>
        <v>-143856292.18000004</v>
      </c>
      <c r="H8" s="871" t="s">
        <v>612</v>
      </c>
      <c r="I8" s="1029">
        <v>40000000000</v>
      </c>
      <c r="J8" s="871" t="s">
        <v>619</v>
      </c>
    </row>
    <row r="9" spans="1:10" ht="15.75">
      <c r="A9" s="1371" t="s">
        <v>520</v>
      </c>
      <c r="B9" s="1372"/>
      <c r="C9" s="1372"/>
      <c r="D9" s="1372"/>
      <c r="E9" s="816">
        <v>61371.23</v>
      </c>
      <c r="F9" s="1370"/>
      <c r="H9" s="871" t="s">
        <v>225</v>
      </c>
      <c r="I9" s="1029">
        <f>+SUM(E9:E25)</f>
        <v>15209174.15</v>
      </c>
      <c r="J9" s="871" t="s">
        <v>620</v>
      </c>
    </row>
    <row r="10" spans="1:10" ht="15.75">
      <c r="A10" s="1371" t="s">
        <v>537</v>
      </c>
      <c r="B10" s="1373"/>
      <c r="C10" s="1373"/>
      <c r="D10" s="1373"/>
      <c r="E10" s="816">
        <v>1256031.78</v>
      </c>
      <c r="F10" s="1374"/>
      <c r="H10" s="871" t="s">
        <v>569</v>
      </c>
      <c r="I10" s="1029">
        <f>+SUM(E26:E40)</f>
        <v>-1042802</v>
      </c>
      <c r="J10" s="871"/>
    </row>
    <row r="11" spans="1:10" ht="15.75">
      <c r="A11" s="1371" t="s">
        <v>567</v>
      </c>
      <c r="B11" s="1373"/>
      <c r="C11" s="1373"/>
      <c r="D11" s="1373"/>
      <c r="E11" s="816">
        <v>1499892.16</v>
      </c>
      <c r="F11" s="1374"/>
      <c r="H11" s="871" t="s">
        <v>613</v>
      </c>
      <c r="I11" s="1029">
        <f>-'Julio - 2023'!D145</f>
        <v>-39504623211</v>
      </c>
      <c r="J11" s="871" t="s">
        <v>619</v>
      </c>
    </row>
    <row r="12" spans="1:10" ht="15.75">
      <c r="A12" s="1371" t="s">
        <v>577</v>
      </c>
      <c r="B12" s="1373"/>
      <c r="C12" s="1373"/>
      <c r="D12" s="1373"/>
      <c r="E12" s="816">
        <v>1394551.76</v>
      </c>
      <c r="F12" s="1374"/>
      <c r="H12" s="871" t="s">
        <v>712</v>
      </c>
      <c r="I12" s="1029">
        <f>+SUM(E41:E55)</f>
        <v>-158022664.33000004</v>
      </c>
      <c r="J12" s="871" t="s">
        <v>620</v>
      </c>
    </row>
    <row r="13" spans="1:10" ht="15.75">
      <c r="A13" s="1371" t="s">
        <v>625</v>
      </c>
      <c r="B13" s="1373"/>
      <c r="C13" s="1373"/>
      <c r="D13" s="1373"/>
      <c r="E13" s="816">
        <v>924199.04</v>
      </c>
      <c r="F13" s="1374"/>
      <c r="H13" s="871" t="s">
        <v>866</v>
      </c>
      <c r="I13" s="1029">
        <v>14779800.33</v>
      </c>
      <c r="J13" s="1126"/>
    </row>
    <row r="14" spans="1:10" ht="15.75">
      <c r="A14" s="1371" t="s">
        <v>638</v>
      </c>
      <c r="B14" s="1373"/>
      <c r="C14" s="1373"/>
      <c r="D14" s="1373"/>
      <c r="E14" s="816">
        <v>996488.54</v>
      </c>
      <c r="F14" s="1374"/>
      <c r="H14" s="870" t="s">
        <v>614</v>
      </c>
      <c r="I14" s="1030">
        <f>+SUM(I8:I13)</f>
        <v>366300297.15000147</v>
      </c>
    </row>
    <row r="15" spans="1:10" ht="15.75">
      <c r="A15" s="1371" t="s">
        <v>647</v>
      </c>
      <c r="B15" s="1373"/>
      <c r="C15" s="1373"/>
      <c r="D15" s="1373"/>
      <c r="E15" s="816">
        <v>1064497.92</v>
      </c>
      <c r="F15" s="1374"/>
      <c r="H15" s="871" t="s">
        <v>615</v>
      </c>
      <c r="I15" s="1029">
        <f>+'Mov Cta OCCIDENTE'!B7-'Anexo. Matrix'!I14</f>
        <v>0</v>
      </c>
      <c r="J15" s="871" t="s">
        <v>621</v>
      </c>
    </row>
    <row r="16" spans="1:10" ht="15.75">
      <c r="A16" s="1371" t="s">
        <v>655</v>
      </c>
      <c r="B16" s="1373"/>
      <c r="C16" s="1373"/>
      <c r="D16" s="1373"/>
      <c r="E16" s="816">
        <v>2060583.18</v>
      </c>
      <c r="F16" s="1374"/>
      <c r="H16" s="870" t="s">
        <v>616</v>
      </c>
      <c r="I16" s="1030">
        <f>+I9+I10+I12</f>
        <v>-143856292.18000004</v>
      </c>
    </row>
    <row r="17" spans="1:9" ht="15.75">
      <c r="A17" s="1371" t="s">
        <v>665</v>
      </c>
      <c r="B17" s="1373"/>
      <c r="C17" s="1373"/>
      <c r="D17" s="1373"/>
      <c r="E17" s="816">
        <v>2290222.0699999998</v>
      </c>
      <c r="F17" s="1374"/>
      <c r="H17" s="909"/>
      <c r="I17" s="1031">
        <f>+I16-F8</f>
        <v>0</v>
      </c>
    </row>
    <row r="18" spans="1:9" ht="15.75">
      <c r="A18" s="1371" t="s">
        <v>677</v>
      </c>
      <c r="B18" s="1373"/>
      <c r="C18" s="1373"/>
      <c r="D18" s="1373"/>
      <c r="E18" s="816">
        <v>1895078.18</v>
      </c>
      <c r="F18" s="1374"/>
      <c r="H18" s="909"/>
      <c r="I18" s="959"/>
    </row>
    <row r="19" spans="1:9" ht="15.75">
      <c r="A19" s="1371" t="s">
        <v>687</v>
      </c>
      <c r="B19" s="1373"/>
      <c r="C19" s="1373"/>
      <c r="D19" s="1373"/>
      <c r="E19" s="816">
        <v>1065309.26</v>
      </c>
      <c r="F19" s="1374"/>
      <c r="G19" s="1108">
        <f>+SUM(E9:E18)</f>
        <v>13442915.859999999</v>
      </c>
      <c r="H19" s="909"/>
      <c r="I19" s="910"/>
    </row>
    <row r="20" spans="1:9" ht="15.75">
      <c r="A20" s="1371" t="s">
        <v>720</v>
      </c>
      <c r="B20" s="1373"/>
      <c r="C20" s="1373"/>
      <c r="D20" s="1373"/>
      <c r="E20" s="816">
        <v>161184.06000000006</v>
      </c>
      <c r="F20" s="1374"/>
      <c r="G20" s="1108">
        <f>+SUM(E26:E35)*-1</f>
        <v>931224</v>
      </c>
      <c r="H20" s="909"/>
      <c r="I20" s="910"/>
    </row>
    <row r="21" spans="1:9" ht="15.75">
      <c r="A21" s="1371" t="s">
        <v>729</v>
      </c>
      <c r="B21" s="1373"/>
      <c r="C21" s="1373"/>
      <c r="D21" s="1373"/>
      <c r="E21" s="816">
        <v>167498.85</v>
      </c>
      <c r="F21" s="1374"/>
      <c r="H21" s="909"/>
      <c r="I21" s="910"/>
    </row>
    <row r="22" spans="1:9" ht="15.75">
      <c r="A22" s="1371" t="s">
        <v>748</v>
      </c>
      <c r="B22" s="1373"/>
      <c r="C22" s="1373"/>
      <c r="D22" s="1373"/>
      <c r="E22" s="816">
        <v>162120.82999999996</v>
      </c>
      <c r="F22" s="1374"/>
      <c r="H22" s="909"/>
      <c r="I22" s="910"/>
    </row>
    <row r="23" spans="1:9" ht="15.75">
      <c r="A23" s="1371" t="s">
        <v>777</v>
      </c>
      <c r="B23" s="1373"/>
      <c r="C23" s="1373"/>
      <c r="D23" s="1373"/>
      <c r="E23" s="816">
        <v>87731.459999999992</v>
      </c>
      <c r="F23" s="1374"/>
      <c r="H23" s="909"/>
      <c r="I23" s="910"/>
    </row>
    <row r="24" spans="1:9" ht="15.75">
      <c r="A24" s="1371" t="s">
        <v>813</v>
      </c>
      <c r="B24" s="1373"/>
      <c r="C24" s="1373"/>
      <c r="D24" s="1373"/>
      <c r="E24" s="816">
        <v>60198.42</v>
      </c>
      <c r="F24" s="1375"/>
      <c r="G24" s="1108">
        <f>+SUM(E19:E23)</f>
        <v>1643844.46</v>
      </c>
      <c r="H24" s="909"/>
      <c r="I24" s="910"/>
    </row>
    <row r="25" spans="1:9" ht="15.75">
      <c r="A25" s="1371" t="s">
        <v>867</v>
      </c>
      <c r="B25" s="1373"/>
      <c r="C25" s="1373"/>
      <c r="D25" s="1373"/>
      <c r="E25" s="816">
        <f>+'Mov Cta OCCIDENTE'!H5</f>
        <v>62215.41</v>
      </c>
      <c r="F25" s="1375"/>
      <c r="G25" s="1108"/>
      <c r="H25" s="909"/>
      <c r="I25" s="910"/>
    </row>
    <row r="26" spans="1:9" ht="15.75">
      <c r="A26" s="1371" t="s">
        <v>690</v>
      </c>
      <c r="B26" s="1373"/>
      <c r="C26" s="1373"/>
      <c r="D26" s="1373"/>
      <c r="E26" s="816">
        <v>-4295</v>
      </c>
      <c r="F26" s="1374"/>
      <c r="G26" s="1108"/>
      <c r="H26" s="909"/>
      <c r="I26" s="910"/>
    </row>
    <row r="27" spans="1:9" ht="15.75">
      <c r="A27" s="1371" t="s">
        <v>691</v>
      </c>
      <c r="B27" s="1373"/>
      <c r="C27" s="1373"/>
      <c r="D27" s="1373"/>
      <c r="E27" s="816">
        <v>-87926</v>
      </c>
      <c r="F27" s="1374"/>
      <c r="G27" s="1108">
        <f>+SUM(E36:E40)*-1</f>
        <v>111578</v>
      </c>
      <c r="H27" s="909"/>
      <c r="I27" s="910"/>
    </row>
    <row r="28" spans="1:9" ht="15.75">
      <c r="A28" s="1371" t="s">
        <v>692</v>
      </c>
      <c r="B28" s="1373"/>
      <c r="C28" s="1373"/>
      <c r="D28" s="1373"/>
      <c r="E28" s="816">
        <v>-95480</v>
      </c>
      <c r="F28" s="1374"/>
      <c r="H28" s="909"/>
      <c r="I28" s="910"/>
    </row>
    <row r="29" spans="1:9" ht="15.75">
      <c r="A29" s="1371" t="s">
        <v>693</v>
      </c>
      <c r="B29" s="1373"/>
      <c r="C29" s="1373"/>
      <c r="D29" s="1373"/>
      <c r="E29" s="816">
        <v>-97500</v>
      </c>
      <c r="F29" s="1374"/>
      <c r="H29" s="909"/>
      <c r="I29" s="910"/>
    </row>
    <row r="30" spans="1:9" ht="15.75">
      <c r="A30" s="1371" t="s">
        <v>694</v>
      </c>
      <c r="B30" s="1373"/>
      <c r="C30" s="1373"/>
      <c r="D30" s="1373"/>
      <c r="E30" s="816">
        <v>-64541</v>
      </c>
      <c r="F30" s="1374"/>
      <c r="H30" s="909"/>
      <c r="I30" s="910"/>
    </row>
    <row r="31" spans="1:9" ht="15.75">
      <c r="A31" s="1371" t="s">
        <v>695</v>
      </c>
      <c r="B31" s="1373"/>
      <c r="C31" s="1373"/>
      <c r="D31" s="1373"/>
      <c r="E31" s="816">
        <v>-69753</v>
      </c>
      <c r="F31" s="1374"/>
      <c r="H31" s="909"/>
      <c r="I31" s="910"/>
    </row>
    <row r="32" spans="1:9" ht="15.75">
      <c r="A32" s="1371" t="s">
        <v>696</v>
      </c>
      <c r="B32" s="1373"/>
      <c r="C32" s="1373"/>
      <c r="D32" s="1373"/>
      <c r="E32" s="816">
        <v>-74517</v>
      </c>
      <c r="F32" s="1374"/>
      <c r="H32" s="909"/>
      <c r="I32" s="910"/>
    </row>
    <row r="33" spans="1:9" ht="15.75">
      <c r="A33" s="1371" t="s">
        <v>697</v>
      </c>
      <c r="B33" s="1373"/>
      <c r="C33" s="1373"/>
      <c r="D33" s="1373"/>
      <c r="E33" s="816">
        <v>-144238</v>
      </c>
      <c r="F33" s="1374"/>
      <c r="H33" s="909"/>
      <c r="I33" s="910"/>
    </row>
    <row r="34" spans="1:9" ht="15.75">
      <c r="A34" s="1371" t="s">
        <v>698</v>
      </c>
      <c r="B34" s="1373"/>
      <c r="C34" s="1373"/>
      <c r="D34" s="1373"/>
      <c r="E34" s="816">
        <v>-160320</v>
      </c>
      <c r="F34" s="1374"/>
      <c r="H34" s="909"/>
      <c r="I34" s="910"/>
    </row>
    <row r="35" spans="1:9" ht="15.75">
      <c r="A35" s="1371" t="s">
        <v>699</v>
      </c>
      <c r="B35" s="1373"/>
      <c r="C35" s="1373"/>
      <c r="D35" s="1373"/>
      <c r="E35" s="816">
        <v>-132654</v>
      </c>
      <c r="F35" s="1374"/>
      <c r="H35" s="909"/>
      <c r="I35" s="910"/>
    </row>
    <row r="36" spans="1:9" ht="15.75">
      <c r="A36" s="1371" t="s">
        <v>700</v>
      </c>
      <c r="B36" s="1373"/>
      <c r="C36" s="1373"/>
      <c r="D36" s="1373"/>
      <c r="E36" s="816">
        <v>-74574</v>
      </c>
      <c r="F36" s="1374"/>
      <c r="H36" s="909"/>
      <c r="I36" s="910"/>
    </row>
    <row r="37" spans="1:9" ht="15.75">
      <c r="A37" s="1371" t="s">
        <v>723</v>
      </c>
      <c r="B37" s="1373"/>
      <c r="C37" s="1373"/>
      <c r="D37" s="1373"/>
      <c r="E37" s="816">
        <v>-11288</v>
      </c>
      <c r="F37" s="1374"/>
      <c r="H37" s="909"/>
      <c r="I37" s="910"/>
    </row>
    <row r="38" spans="1:9" ht="15.75">
      <c r="A38" s="1371" t="s">
        <v>736</v>
      </c>
      <c r="B38" s="1373"/>
      <c r="C38" s="1373"/>
      <c r="D38" s="1373"/>
      <c r="E38" s="816">
        <v>-11718</v>
      </c>
      <c r="F38" s="1374"/>
      <c r="H38" s="909"/>
      <c r="I38" s="910"/>
    </row>
    <row r="39" spans="1:9" ht="15.75">
      <c r="A39" s="1371" t="s">
        <v>749</v>
      </c>
      <c r="B39" s="1373"/>
      <c r="C39" s="1373"/>
      <c r="D39" s="1373"/>
      <c r="E39" s="816">
        <v>-11340</v>
      </c>
      <c r="F39" s="1374"/>
      <c r="H39" s="909"/>
      <c r="I39" s="910"/>
    </row>
    <row r="40" spans="1:9" ht="15.75">
      <c r="A40" s="1371" t="s">
        <v>801</v>
      </c>
      <c r="B40" s="1373"/>
      <c r="C40" s="1373"/>
      <c r="D40" s="1373"/>
      <c r="E40" s="816">
        <v>-2658</v>
      </c>
      <c r="F40" s="1374"/>
      <c r="H40" s="909"/>
      <c r="I40" s="910"/>
    </row>
    <row r="41" spans="1:9" ht="15.75">
      <c r="A41" s="1371" t="s">
        <v>701</v>
      </c>
      <c r="B41" s="1373"/>
      <c r="C41" s="1373"/>
      <c r="D41" s="1373"/>
      <c r="E41" s="816">
        <v>-17.18</v>
      </c>
      <c r="F41" s="1374"/>
      <c r="H41" s="909"/>
      <c r="I41" s="910"/>
    </row>
    <row r="42" spans="1:9" ht="15.75">
      <c r="A42" s="1371" t="s">
        <v>702</v>
      </c>
      <c r="B42" s="1373"/>
      <c r="C42" s="1373"/>
      <c r="D42" s="1373"/>
      <c r="E42" s="816">
        <v>-4428351.72</v>
      </c>
      <c r="F42" s="1374"/>
      <c r="G42" s="1108">
        <f>+SUM(E41:E50)</f>
        <v>-112002296.42000002</v>
      </c>
      <c r="H42" s="909"/>
      <c r="I42" s="910"/>
    </row>
    <row r="43" spans="1:9" ht="15.75">
      <c r="A43" s="1371" t="s">
        <v>703</v>
      </c>
      <c r="B43" s="1373"/>
      <c r="C43" s="1373"/>
      <c r="D43" s="1373"/>
      <c r="E43" s="816">
        <v>-381.92</v>
      </c>
      <c r="F43" s="1374"/>
      <c r="H43" s="909"/>
      <c r="I43" s="910"/>
    </row>
    <row r="44" spans="1:9" ht="15.75">
      <c r="A44" s="1371" t="s">
        <v>704</v>
      </c>
      <c r="B44" s="1373"/>
      <c r="C44" s="1373"/>
      <c r="D44" s="1373"/>
      <c r="E44" s="816">
        <v>-389.93</v>
      </c>
      <c r="F44" s="1374"/>
      <c r="H44" s="909"/>
      <c r="I44" s="910"/>
    </row>
    <row r="45" spans="1:9" ht="15.75">
      <c r="A45" s="1371" t="s">
        <v>705</v>
      </c>
      <c r="B45" s="1373"/>
      <c r="C45" s="1373"/>
      <c r="D45" s="1373"/>
      <c r="E45" s="816">
        <v>-48957458.189999998</v>
      </c>
      <c r="F45" s="1374"/>
      <c r="H45" s="909"/>
      <c r="I45" s="910"/>
    </row>
    <row r="46" spans="1:9" ht="15.75">
      <c r="A46" s="1371" t="s">
        <v>706</v>
      </c>
      <c r="B46" s="1373"/>
      <c r="C46" s="1373"/>
      <c r="D46" s="1373"/>
      <c r="E46" s="816">
        <v>-640279.06999999995</v>
      </c>
      <c r="F46" s="1374"/>
      <c r="H46" s="909"/>
      <c r="I46" s="910"/>
    </row>
    <row r="47" spans="1:9" ht="15.75">
      <c r="A47" s="1371" t="s">
        <v>707</v>
      </c>
      <c r="B47" s="1373"/>
      <c r="C47" s="1373"/>
      <c r="D47" s="1373"/>
      <c r="E47" s="816">
        <v>-298.05</v>
      </c>
      <c r="F47" s="1374"/>
      <c r="H47" s="909"/>
      <c r="I47" s="910"/>
    </row>
    <row r="48" spans="1:9" ht="15.75">
      <c r="A48" s="1371" t="s">
        <v>708</v>
      </c>
      <c r="B48" s="1373"/>
      <c r="C48" s="1373"/>
      <c r="D48" s="1373"/>
      <c r="E48" s="816">
        <v>-42308664.969999999</v>
      </c>
      <c r="F48" s="1374"/>
      <c r="H48" s="909"/>
      <c r="I48" s="910"/>
    </row>
    <row r="49" spans="1:9" ht="15.75">
      <c r="A49" s="1371" t="s">
        <v>709</v>
      </c>
      <c r="B49" s="1373"/>
      <c r="C49" s="1373"/>
      <c r="D49" s="1373"/>
      <c r="E49" s="816">
        <v>-15665924.710000001</v>
      </c>
      <c r="F49" s="1374"/>
      <c r="H49" s="909"/>
      <c r="I49" s="910"/>
    </row>
    <row r="50" spans="1:9" ht="15.75">
      <c r="A50" s="1371" t="s">
        <v>710</v>
      </c>
      <c r="B50" s="1373"/>
      <c r="C50" s="1373"/>
      <c r="D50" s="1373"/>
      <c r="E50" s="816">
        <v>-530.67999999999995</v>
      </c>
      <c r="F50" s="1374"/>
      <c r="H50" s="909"/>
      <c r="I50" s="910"/>
    </row>
    <row r="51" spans="1:9" ht="15.75">
      <c r="A51" s="1371" t="s">
        <v>711</v>
      </c>
      <c r="B51" s="1373"/>
      <c r="C51" s="1373"/>
      <c r="D51" s="1373"/>
      <c r="E51" s="816">
        <v>-42454482.990000002</v>
      </c>
      <c r="F51" s="1374"/>
      <c r="H51" s="909"/>
      <c r="I51" s="910"/>
    </row>
    <row r="52" spans="1:9" ht="15.75">
      <c r="A52" s="1371" t="s">
        <v>724</v>
      </c>
      <c r="B52" s="1373"/>
      <c r="C52" s="1373"/>
      <c r="D52" s="1373"/>
      <c r="E52" s="816">
        <v>-1035901.7</v>
      </c>
      <c r="F52" s="1374"/>
      <c r="G52" s="1108">
        <f>+SUM(E51:E55)</f>
        <v>-46020367.910000004</v>
      </c>
      <c r="H52" s="909"/>
      <c r="I52" s="910"/>
    </row>
    <row r="53" spans="1:9" ht="15.75">
      <c r="A53" s="1371" t="s">
        <v>737</v>
      </c>
      <c r="B53" s="1373"/>
      <c r="C53" s="1373"/>
      <c r="D53" s="1373"/>
      <c r="E53" s="816">
        <v>-46.809999999999995</v>
      </c>
      <c r="F53" s="1374"/>
      <c r="H53" s="909"/>
      <c r="I53" s="910"/>
    </row>
    <row r="54" spans="1:9" ht="15.75">
      <c r="A54" s="1371" t="s">
        <v>750</v>
      </c>
      <c r="B54" s="1373"/>
      <c r="C54" s="1373"/>
      <c r="D54" s="1373"/>
      <c r="E54" s="816">
        <v>-45.300000000000004</v>
      </c>
      <c r="F54" s="1374"/>
      <c r="H54" s="909"/>
      <c r="I54" s="910"/>
    </row>
    <row r="55" spans="1:9" ht="15.75">
      <c r="A55" s="1376" t="s">
        <v>802</v>
      </c>
      <c r="B55" s="1377"/>
      <c r="C55" s="1377"/>
      <c r="D55" s="1377"/>
      <c r="E55" s="1378">
        <v>-2529891.11</v>
      </c>
      <c r="F55" s="1379"/>
      <c r="H55" s="909"/>
      <c r="I55" s="910"/>
    </row>
    <row r="56" spans="1:9" ht="19.5" thickBot="1">
      <c r="A56" s="817"/>
      <c r="B56" s="818"/>
      <c r="C56" s="818"/>
      <c r="D56" s="818"/>
      <c r="E56" s="819"/>
      <c r="F56" s="820">
        <f>SUM(E8:E55)</f>
        <v>-143856292.18000004</v>
      </c>
      <c r="H56" s="909"/>
      <c r="I56" s="910"/>
    </row>
    <row r="57" spans="1:9" ht="15.75">
      <c r="A57" s="815"/>
      <c r="B57" s="815"/>
      <c r="C57" s="821"/>
      <c r="D57" s="822"/>
      <c r="E57" s="823"/>
      <c r="H57" s="909"/>
      <c r="I57" s="910"/>
    </row>
    <row r="58" spans="1:9" ht="15.75">
      <c r="A58" s="815"/>
      <c r="B58" s="815"/>
      <c r="C58" s="821"/>
      <c r="D58" s="822"/>
      <c r="E58" s="823"/>
      <c r="F58" s="815"/>
    </row>
    <row r="59" spans="1:9" ht="16.5" thickBot="1">
      <c r="A59" s="824"/>
      <c r="B59" s="825"/>
      <c r="C59" s="822"/>
      <c r="D59" s="826"/>
      <c r="E59" s="827"/>
      <c r="F59" s="815"/>
    </row>
    <row r="60" spans="1:9" ht="15.75">
      <c r="A60" s="1326" t="s">
        <v>135</v>
      </c>
      <c r="B60" s="1326"/>
      <c r="C60" s="828"/>
      <c r="D60" s="1326" t="s">
        <v>576</v>
      </c>
      <c r="E60" s="1326"/>
      <c r="F60" s="815"/>
    </row>
    <row r="61" spans="1:9" ht="15.75">
      <c r="A61" s="1328" t="s">
        <v>145</v>
      </c>
      <c r="B61" s="1328"/>
      <c r="C61" s="829"/>
      <c r="D61" s="1328" t="s">
        <v>519</v>
      </c>
      <c r="E61" s="1328"/>
      <c r="F61" s="815"/>
    </row>
    <row r="62" spans="1:9" ht="15.75">
      <c r="A62" s="1328" t="s">
        <v>48</v>
      </c>
      <c r="B62" s="1328"/>
      <c r="C62" s="829"/>
      <c r="D62" s="1328" t="s">
        <v>48</v>
      </c>
      <c r="E62" s="1328"/>
      <c r="F62" s="815"/>
    </row>
    <row r="63" spans="1:9" ht="15.75">
      <c r="A63" s="815"/>
      <c r="B63" s="815"/>
      <c r="C63" s="821"/>
      <c r="D63" s="1328" t="s">
        <v>518</v>
      </c>
      <c r="E63" s="1328"/>
      <c r="F63" s="815"/>
    </row>
    <row r="64" spans="1:9" ht="15.75">
      <c r="F64" s="815"/>
    </row>
  </sheetData>
  <mergeCells count="12">
    <mergeCell ref="A61:B61"/>
    <mergeCell ref="D61:E61"/>
    <mergeCell ref="A62:B62"/>
    <mergeCell ref="D62:E62"/>
    <mergeCell ref="D63:E63"/>
    <mergeCell ref="A60:B60"/>
    <mergeCell ref="D60:E60"/>
    <mergeCell ref="A1:F3"/>
    <mergeCell ref="A4:F4"/>
    <mergeCell ref="A5:F5"/>
    <mergeCell ref="A6:E6"/>
    <mergeCell ref="A8:D8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8" scale="71" fitToWidth="0" orientation="landscape" horizontalDpi="1200" verticalDpi="120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Hoja10">
    <tabColor rgb="FF92D050"/>
  </sheetPr>
  <dimension ref="A2:J95"/>
  <sheetViews>
    <sheetView showGridLines="0" topLeftCell="A73" workbookViewId="0">
      <selection activeCell="B87" sqref="B87"/>
    </sheetView>
  </sheetViews>
  <sheetFormatPr baseColWidth="10" defaultRowHeight="12.75"/>
  <cols>
    <col min="1" max="1" width="48.7109375" style="28" customWidth="1"/>
    <col min="2" max="2" width="21.28515625" style="29" bestFit="1" customWidth="1"/>
    <col min="3" max="3" width="14.140625" style="28" bestFit="1" customWidth="1"/>
    <col min="4" max="4" width="4.7109375" style="28" customWidth="1"/>
    <col min="5" max="5" width="7.140625" style="28" customWidth="1"/>
    <col min="6" max="6" width="13.28515625" style="28" bestFit="1" customWidth="1"/>
    <col min="7" max="7" width="15.140625" style="28" customWidth="1"/>
    <col min="8" max="8" width="17.5703125" style="28" customWidth="1"/>
    <col min="9" max="16384" width="11.42578125" style="28"/>
  </cols>
  <sheetData>
    <row r="2" spans="1:10">
      <c r="A2" s="73" t="s">
        <v>128</v>
      </c>
    </row>
    <row r="5" spans="1:10">
      <c r="A5" s="28" t="s">
        <v>129</v>
      </c>
      <c r="B5" s="181">
        <f>+'Conciliación Quipu'!C44</f>
        <v>6515404944.9879999</v>
      </c>
      <c r="F5" s="29"/>
    </row>
    <row r="6" spans="1:10">
      <c r="B6" s="181"/>
    </row>
    <row r="7" spans="1:10">
      <c r="A7" s="28" t="s">
        <v>148</v>
      </c>
      <c r="B7" s="181">
        <f>+'Conciliación Quipu'!D9</f>
        <v>176664303</v>
      </c>
    </row>
    <row r="8" spans="1:10">
      <c r="B8" s="181"/>
    </row>
    <row r="9" spans="1:10" ht="15">
      <c r="A9" s="29" t="s">
        <v>130</v>
      </c>
      <c r="B9" s="182">
        <f>+(B5-B7)/1.004</f>
        <v>6313486695.2071714</v>
      </c>
      <c r="C9" s="93"/>
    </row>
    <row r="10" spans="1:10">
      <c r="B10" s="181"/>
      <c r="C10" s="94"/>
    </row>
    <row r="11" spans="1:10">
      <c r="A11" s="95" t="s">
        <v>131</v>
      </c>
      <c r="B11" s="965">
        <f>ROUND((B9*0.004),0)</f>
        <v>25253947</v>
      </c>
      <c r="C11" s="44"/>
      <c r="D11" s="44"/>
      <c r="E11" s="44"/>
      <c r="F11" s="44"/>
      <c r="G11" s="44"/>
      <c r="H11" s="44"/>
      <c r="J11" s="229"/>
    </row>
    <row r="12" spans="1:10">
      <c r="J12" s="29"/>
    </row>
    <row r="13" spans="1:10">
      <c r="A13" s="73" t="s">
        <v>136</v>
      </c>
    </row>
    <row r="14" spans="1:10">
      <c r="A14" s="97" t="s">
        <v>132</v>
      </c>
      <c r="B14" s="98" t="s">
        <v>133</v>
      </c>
      <c r="C14" s="1329" t="s">
        <v>134</v>
      </c>
      <c r="D14" s="1329"/>
      <c r="E14" s="1329"/>
    </row>
    <row r="15" spans="1:10" ht="34.5" customHeight="1">
      <c r="A15" s="99">
        <v>44075</v>
      </c>
      <c r="C15" s="100"/>
    </row>
    <row r="16" spans="1:10">
      <c r="A16" s="99"/>
      <c r="C16" s="100"/>
      <c r="G16" s="99"/>
    </row>
    <row r="17" spans="1:7">
      <c r="A17" s="99">
        <v>44105</v>
      </c>
      <c r="B17" s="360">
        <v>-614085</v>
      </c>
      <c r="C17" s="100">
        <v>902</v>
      </c>
      <c r="D17" s="28">
        <v>202</v>
      </c>
      <c r="E17" s="28">
        <v>13808</v>
      </c>
      <c r="F17" s="28" t="s">
        <v>173</v>
      </c>
      <c r="G17" s="99"/>
    </row>
    <row r="18" spans="1:7">
      <c r="A18" s="99"/>
      <c r="B18" s="360"/>
      <c r="C18" s="100"/>
      <c r="G18" s="99"/>
    </row>
    <row r="19" spans="1:7">
      <c r="A19" s="99">
        <v>44136</v>
      </c>
      <c r="B19" s="360"/>
      <c r="C19" s="100"/>
      <c r="G19" s="99"/>
    </row>
    <row r="20" spans="1:7">
      <c r="B20" s="360"/>
      <c r="C20" s="100"/>
      <c r="G20" s="99"/>
    </row>
    <row r="21" spans="1:7">
      <c r="A21" s="99">
        <v>44166</v>
      </c>
      <c r="B21" s="360"/>
      <c r="C21" s="100"/>
      <c r="G21" s="99"/>
    </row>
    <row r="22" spans="1:7">
      <c r="A22" s="99"/>
      <c r="B22" s="360"/>
      <c r="C22" s="100"/>
      <c r="G22" s="99"/>
    </row>
    <row r="23" spans="1:7" ht="15">
      <c r="A23" s="99">
        <v>44197</v>
      </c>
      <c r="B23" s="360">
        <v>-3776916</v>
      </c>
      <c r="C23" s="233">
        <v>902</v>
      </c>
      <c r="D23" s="233">
        <v>202</v>
      </c>
      <c r="E23" s="233">
        <v>188</v>
      </c>
      <c r="F23" s="28" t="s">
        <v>215</v>
      </c>
    </row>
    <row r="24" spans="1:7">
      <c r="B24" s="360"/>
      <c r="C24" s="100"/>
    </row>
    <row r="25" spans="1:7" ht="15">
      <c r="A25" s="99">
        <v>44228</v>
      </c>
      <c r="B25" s="360">
        <v>-243429</v>
      </c>
      <c r="C25">
        <v>902</v>
      </c>
      <c r="D25">
        <v>202</v>
      </c>
      <c r="E25">
        <v>1855</v>
      </c>
      <c r="F25" s="28" t="s">
        <v>224</v>
      </c>
    </row>
    <row r="26" spans="1:7">
      <c r="B26" s="360"/>
      <c r="C26" s="100"/>
    </row>
    <row r="27" spans="1:7" ht="15">
      <c r="A27" s="99">
        <v>44256</v>
      </c>
      <c r="B27" s="360">
        <v>-101716</v>
      </c>
      <c r="C27">
        <v>902</v>
      </c>
      <c r="D27">
        <v>202</v>
      </c>
      <c r="E27">
        <v>3180</v>
      </c>
      <c r="F27" s="28" t="s">
        <v>230</v>
      </c>
    </row>
    <row r="28" spans="1:7">
      <c r="B28" s="360"/>
      <c r="C28" s="100"/>
    </row>
    <row r="29" spans="1:7" ht="15">
      <c r="A29" s="99">
        <v>44287</v>
      </c>
      <c r="B29" s="360">
        <v>-496864</v>
      </c>
      <c r="C29">
        <v>902</v>
      </c>
      <c r="D29">
        <v>202</v>
      </c>
      <c r="E29">
        <v>4495</v>
      </c>
      <c r="F29" s="28" t="s">
        <v>242</v>
      </c>
    </row>
    <row r="30" spans="1:7">
      <c r="B30" s="360"/>
      <c r="C30" s="100"/>
    </row>
    <row r="31" spans="1:7" ht="15">
      <c r="A31" s="99">
        <v>44317</v>
      </c>
      <c r="B31" s="360">
        <v>-345463</v>
      </c>
      <c r="C31" s="289">
        <v>902</v>
      </c>
      <c r="D31" s="289">
        <v>202</v>
      </c>
      <c r="E31" s="289">
        <v>5618</v>
      </c>
      <c r="F31" s="28" t="s">
        <v>260</v>
      </c>
    </row>
    <row r="32" spans="1:7" ht="15">
      <c r="A32" s="99">
        <v>44317</v>
      </c>
      <c r="B32" s="360">
        <v>-47453.760000000002</v>
      </c>
      <c r="C32" s="289">
        <v>914</v>
      </c>
      <c r="D32" s="294">
        <v>140</v>
      </c>
      <c r="E32" s="289">
        <v>3</v>
      </c>
      <c r="F32" s="28" t="s">
        <v>261</v>
      </c>
    </row>
    <row r="33" spans="1:8" ht="15">
      <c r="A33" s="99"/>
      <c r="B33" s="360"/>
      <c r="C33" s="289"/>
      <c r="D33" s="294"/>
      <c r="E33" s="289"/>
    </row>
    <row r="34" spans="1:8" ht="15">
      <c r="A34" s="99">
        <v>44348</v>
      </c>
      <c r="B34" s="360">
        <v>-354496</v>
      </c>
      <c r="C34" s="289">
        <v>902</v>
      </c>
      <c r="D34" s="294">
        <v>202</v>
      </c>
      <c r="E34" s="289">
        <v>6830</v>
      </c>
      <c r="F34" s="28" t="s">
        <v>279</v>
      </c>
    </row>
    <row r="35" spans="1:8" ht="15">
      <c r="A35" s="99"/>
      <c r="B35" s="360"/>
      <c r="C35" s="289"/>
      <c r="D35" s="294"/>
      <c r="E35" s="289"/>
    </row>
    <row r="36" spans="1:8" ht="15">
      <c r="A36" s="99">
        <v>44378</v>
      </c>
      <c r="B36" s="360">
        <v>-1088245</v>
      </c>
      <c r="C36" s="289">
        <v>902</v>
      </c>
      <c r="D36" s="294">
        <v>202</v>
      </c>
      <c r="E36" s="289">
        <v>7828</v>
      </c>
      <c r="F36" s="28" t="s">
        <v>289</v>
      </c>
    </row>
    <row r="37" spans="1:8">
      <c r="B37" s="360"/>
      <c r="C37" s="100"/>
    </row>
    <row r="38" spans="1:8" ht="15">
      <c r="A38" s="99">
        <v>44409</v>
      </c>
      <c r="B38" s="360">
        <v>-127281</v>
      </c>
      <c r="C38" s="289">
        <v>902</v>
      </c>
      <c r="D38" s="294">
        <v>202</v>
      </c>
      <c r="E38" s="289">
        <v>9652</v>
      </c>
      <c r="F38" s="28" t="s">
        <v>302</v>
      </c>
    </row>
    <row r="39" spans="1:8" ht="15">
      <c r="A39" s="99"/>
      <c r="B39" s="360"/>
      <c r="C39" s="289"/>
      <c r="D39" s="294"/>
      <c r="E39" s="289"/>
    </row>
    <row r="40" spans="1:8" ht="15">
      <c r="A40" s="99">
        <v>44440</v>
      </c>
      <c r="B40" s="360">
        <v>-183424</v>
      </c>
      <c r="C40" s="289">
        <v>902</v>
      </c>
      <c r="D40" s="294">
        <v>202</v>
      </c>
      <c r="E40" s="289">
        <v>11272</v>
      </c>
      <c r="F40" s="28" t="s">
        <v>382</v>
      </c>
    </row>
    <row r="41" spans="1:8" ht="15">
      <c r="A41" s="99"/>
      <c r="B41" s="360"/>
      <c r="C41" s="289"/>
      <c r="D41" s="294"/>
      <c r="E41" s="289"/>
    </row>
    <row r="42" spans="1:8" ht="15">
      <c r="A42" s="99">
        <v>44470</v>
      </c>
      <c r="B42" s="360">
        <v>-321209</v>
      </c>
      <c r="C42" s="289">
        <v>902</v>
      </c>
      <c r="D42" s="294">
        <v>202</v>
      </c>
      <c r="E42" s="289">
        <v>12867</v>
      </c>
      <c r="F42" s="28" t="s">
        <v>440</v>
      </c>
    </row>
    <row r="43" spans="1:8" ht="15">
      <c r="A43" s="99"/>
      <c r="B43" s="360"/>
      <c r="C43" s="656"/>
      <c r="D43" s="294"/>
      <c r="E43" s="656"/>
    </row>
    <row r="44" spans="1:8" ht="15">
      <c r="A44" s="99">
        <v>44501</v>
      </c>
      <c r="B44" s="360">
        <v>-1293161</v>
      </c>
      <c r="C44" s="656">
        <v>902</v>
      </c>
      <c r="D44" s="294">
        <v>202</v>
      </c>
      <c r="E44" s="656">
        <v>14208</v>
      </c>
      <c r="F44" s="28" t="s">
        <v>467</v>
      </c>
    </row>
    <row r="45" spans="1:8" ht="15">
      <c r="A45" s="99"/>
      <c r="B45" s="360"/>
      <c r="C45" s="656"/>
      <c r="D45" s="294"/>
      <c r="E45" s="656"/>
    </row>
    <row r="46" spans="1:8" ht="15">
      <c r="A46" s="99">
        <v>44531</v>
      </c>
      <c r="B46" s="360">
        <v>-62787</v>
      </c>
      <c r="C46" s="656">
        <v>902</v>
      </c>
      <c r="D46" s="294">
        <v>202</v>
      </c>
      <c r="E46" s="656">
        <v>62787</v>
      </c>
      <c r="F46" s="28" t="s">
        <v>484</v>
      </c>
      <c r="H46" s="698"/>
    </row>
    <row r="47" spans="1:8" ht="15">
      <c r="A47" s="99"/>
      <c r="B47" s="360"/>
      <c r="C47" s="656"/>
      <c r="D47" s="294"/>
      <c r="E47" s="656"/>
      <c r="H47" s="699"/>
    </row>
    <row r="48" spans="1:8" ht="15">
      <c r="A48" s="99">
        <v>44562</v>
      </c>
      <c r="B48" s="360">
        <v>-2193412</v>
      </c>
      <c r="C48" s="656">
        <v>902</v>
      </c>
      <c r="D48" s="294">
        <v>202</v>
      </c>
      <c r="E48" s="656">
        <v>80</v>
      </c>
      <c r="F48" s="28" t="s">
        <v>502</v>
      </c>
    </row>
    <row r="49" spans="1:6" ht="15">
      <c r="B49" s="360"/>
      <c r="C49" s="656"/>
      <c r="D49" s="294"/>
      <c r="E49" s="656"/>
    </row>
    <row r="50" spans="1:6" ht="15">
      <c r="A50" s="99">
        <v>44593</v>
      </c>
      <c r="B50" s="360">
        <v>-3698182</v>
      </c>
      <c r="C50" s="656">
        <v>902</v>
      </c>
      <c r="D50" s="294">
        <v>202</v>
      </c>
      <c r="E50" s="656">
        <v>2610</v>
      </c>
      <c r="F50" s="28" t="s">
        <v>531</v>
      </c>
    </row>
    <row r="51" spans="1:6" ht="15">
      <c r="A51" s="99"/>
      <c r="B51" s="360"/>
      <c r="C51" s="656"/>
      <c r="D51" s="294"/>
      <c r="E51" s="656"/>
    </row>
    <row r="52" spans="1:6" ht="15">
      <c r="A52" s="99">
        <v>44621</v>
      </c>
      <c r="B52" s="360">
        <v>-131760</v>
      </c>
      <c r="C52" s="656">
        <v>902</v>
      </c>
      <c r="D52" s="294">
        <v>202</v>
      </c>
      <c r="E52" s="656">
        <v>3536</v>
      </c>
      <c r="F52" s="28" t="s">
        <v>545</v>
      </c>
    </row>
    <row r="53" spans="1:6" ht="15">
      <c r="B53" s="360"/>
      <c r="C53" s="656"/>
      <c r="D53" s="294"/>
      <c r="E53" s="656"/>
    </row>
    <row r="54" spans="1:6" ht="15">
      <c r="A54" s="99">
        <v>44652</v>
      </c>
      <c r="B54" s="360">
        <v>-1527591</v>
      </c>
      <c r="C54" s="656">
        <v>902</v>
      </c>
      <c r="D54" s="294">
        <v>202</v>
      </c>
      <c r="E54" s="656">
        <v>4768</v>
      </c>
      <c r="F54" s="28" t="s">
        <v>260</v>
      </c>
    </row>
    <row r="55" spans="1:6" ht="15">
      <c r="A55" s="99"/>
      <c r="B55" s="360"/>
      <c r="C55" s="656"/>
      <c r="D55" s="294"/>
      <c r="E55" s="656"/>
    </row>
    <row r="56" spans="1:6" ht="15">
      <c r="A56" s="99">
        <v>44682</v>
      </c>
      <c r="B56" s="360">
        <v>-259616</v>
      </c>
      <c r="C56" s="656">
        <v>902</v>
      </c>
      <c r="D56" s="294">
        <v>202</v>
      </c>
      <c r="E56" s="656">
        <v>5894</v>
      </c>
      <c r="F56" s="28" t="s">
        <v>279</v>
      </c>
    </row>
    <row r="57" spans="1:6" ht="15">
      <c r="A57" s="99"/>
      <c r="B57" s="360"/>
      <c r="C57" s="656"/>
      <c r="D57" s="294"/>
      <c r="E57" s="656"/>
    </row>
    <row r="58" spans="1:6" ht="15">
      <c r="A58" s="99">
        <v>44713</v>
      </c>
      <c r="B58" s="360">
        <v>-2123977</v>
      </c>
      <c r="C58" s="656">
        <v>902</v>
      </c>
      <c r="D58" s="294">
        <v>202</v>
      </c>
      <c r="E58" s="656">
        <v>7052</v>
      </c>
      <c r="F58" s="28" t="s">
        <v>289</v>
      </c>
    </row>
    <row r="59" spans="1:6" ht="15">
      <c r="A59" s="99"/>
      <c r="B59" s="360"/>
      <c r="C59" s="656"/>
      <c r="D59" s="294"/>
      <c r="E59" s="656"/>
    </row>
    <row r="60" spans="1:6" ht="15">
      <c r="A60" s="99">
        <v>44743</v>
      </c>
      <c r="B60" s="360">
        <v>-3076501.08</v>
      </c>
      <c r="C60" s="656">
        <v>902</v>
      </c>
      <c r="D60" s="294">
        <v>202</v>
      </c>
      <c r="E60" s="656">
        <v>8368</v>
      </c>
      <c r="F60" s="28" t="s">
        <v>302</v>
      </c>
    </row>
    <row r="61" spans="1:6" ht="15">
      <c r="A61" s="99"/>
      <c r="B61" s="360"/>
      <c r="C61" s="656"/>
      <c r="D61" s="294"/>
      <c r="E61" s="656"/>
    </row>
    <row r="62" spans="1:6" ht="15">
      <c r="A62" s="99">
        <v>44774</v>
      </c>
      <c r="B62" s="360">
        <v>-2543477</v>
      </c>
      <c r="C62" s="656">
        <v>902</v>
      </c>
      <c r="D62" s="294">
        <v>202</v>
      </c>
      <c r="E62" s="656">
        <v>10006</v>
      </c>
      <c r="F62" s="28" t="s">
        <v>382</v>
      </c>
    </row>
    <row r="63" spans="1:6" ht="15">
      <c r="A63" s="99"/>
      <c r="B63" s="360"/>
      <c r="C63" s="656"/>
      <c r="D63" s="294"/>
      <c r="E63" s="656"/>
    </row>
    <row r="64" spans="1:6" ht="15">
      <c r="A64" s="99">
        <v>44805</v>
      </c>
      <c r="B64" s="360">
        <v>-43606</v>
      </c>
      <c r="C64" s="656">
        <v>902</v>
      </c>
      <c r="D64" s="294">
        <v>202</v>
      </c>
      <c r="E64" s="656">
        <v>11504</v>
      </c>
      <c r="F64" s="28" t="s">
        <v>440</v>
      </c>
    </row>
    <row r="65" spans="1:7" ht="15">
      <c r="A65" s="99"/>
      <c r="B65" s="360"/>
      <c r="C65" s="656"/>
      <c r="D65" s="294"/>
      <c r="E65" s="656"/>
    </row>
    <row r="66" spans="1:7" ht="15">
      <c r="A66" s="99">
        <v>44835</v>
      </c>
      <c r="B66" s="360">
        <v>0</v>
      </c>
      <c r="C66" s="656"/>
      <c r="D66" s="294"/>
      <c r="E66" s="656"/>
    </row>
    <row r="67" spans="1:7" ht="15">
      <c r="A67" s="99"/>
      <c r="B67" s="360"/>
      <c r="C67" s="656"/>
      <c r="D67" s="294"/>
      <c r="E67" s="656"/>
    </row>
    <row r="68" spans="1:7" ht="15">
      <c r="A68" s="99">
        <v>44866</v>
      </c>
      <c r="B68" s="360">
        <v>-280939</v>
      </c>
      <c r="C68" s="656">
        <v>902</v>
      </c>
      <c r="D68" s="656">
        <v>202</v>
      </c>
      <c r="E68" s="656">
        <v>15696</v>
      </c>
      <c r="F68" s="28" t="s">
        <v>467</v>
      </c>
    </row>
    <row r="69" spans="1:7" ht="15">
      <c r="A69" s="99"/>
      <c r="B69" s="360"/>
      <c r="C69" s="656">
        <v>902</v>
      </c>
      <c r="D69" s="656">
        <v>202</v>
      </c>
      <c r="E69" s="656">
        <v>15698</v>
      </c>
      <c r="F69" s="28" t="s">
        <v>484</v>
      </c>
    </row>
    <row r="70" spans="1:7" ht="15">
      <c r="A70" s="99">
        <v>44896</v>
      </c>
      <c r="B70" s="360">
        <v>-638755</v>
      </c>
      <c r="C70" s="656">
        <v>902</v>
      </c>
      <c r="D70" s="656">
        <v>202</v>
      </c>
      <c r="E70" s="656">
        <v>413</v>
      </c>
      <c r="F70" s="28" t="s">
        <v>502</v>
      </c>
    </row>
    <row r="71" spans="1:7" ht="15">
      <c r="A71" s="99"/>
      <c r="B71" s="360"/>
      <c r="C71" s="656"/>
      <c r="D71" s="656"/>
      <c r="E71" s="656"/>
    </row>
    <row r="72" spans="1:7" ht="15">
      <c r="A72" s="1021">
        <v>44927</v>
      </c>
      <c r="B72" s="360">
        <v>-26266</v>
      </c>
      <c r="C72" s="662">
        <v>902</v>
      </c>
      <c r="D72" s="662">
        <v>202</v>
      </c>
      <c r="E72" s="662">
        <v>1619</v>
      </c>
      <c r="F72" s="662" t="s">
        <v>719</v>
      </c>
      <c r="G72" s="72"/>
    </row>
    <row r="73" spans="1:7" ht="15">
      <c r="A73" s="99"/>
      <c r="B73" s="360"/>
      <c r="C73" s="656"/>
      <c r="D73" s="656"/>
      <c r="E73" s="656"/>
    </row>
    <row r="74" spans="1:7" ht="15">
      <c r="A74" s="1021">
        <v>44958</v>
      </c>
      <c r="B74" s="360">
        <v>-2830730</v>
      </c>
      <c r="C74" s="656">
        <v>902</v>
      </c>
      <c r="D74" s="656">
        <v>202</v>
      </c>
      <c r="E74" s="656">
        <v>2740</v>
      </c>
      <c r="F74" s="28" t="s">
        <v>732</v>
      </c>
    </row>
    <row r="75" spans="1:7" ht="15">
      <c r="A75" s="1021"/>
      <c r="B75" s="360"/>
      <c r="C75" s="656"/>
      <c r="D75" s="656"/>
      <c r="E75" s="656"/>
    </row>
    <row r="76" spans="1:7" ht="15">
      <c r="A76" s="1021">
        <v>44986</v>
      </c>
      <c r="B76" s="360">
        <v>-2421319</v>
      </c>
      <c r="C76" s="656">
        <v>902</v>
      </c>
      <c r="D76" s="656">
        <v>202</v>
      </c>
      <c r="E76" s="656">
        <v>3706</v>
      </c>
      <c r="F76" s="656" t="s">
        <v>745</v>
      </c>
    </row>
    <row r="77" spans="1:7" ht="15">
      <c r="A77" s="99"/>
      <c r="B77" s="360"/>
      <c r="C77" s="656"/>
      <c r="D77" s="656"/>
      <c r="E77" s="656"/>
    </row>
    <row r="78" spans="1:7" ht="15">
      <c r="A78" s="1021">
        <v>45017</v>
      </c>
      <c r="B78" s="360">
        <v>-4411</v>
      </c>
      <c r="C78" s="656">
        <v>902</v>
      </c>
      <c r="D78" s="656">
        <v>202</v>
      </c>
      <c r="E78" s="656">
        <v>5061</v>
      </c>
      <c r="F78" s="656" t="s">
        <v>787</v>
      </c>
    </row>
    <row r="79" spans="1:7" ht="15">
      <c r="A79" s="99"/>
      <c r="B79" s="360"/>
      <c r="C79" s="656"/>
      <c r="D79" s="656"/>
      <c r="E79" s="656"/>
    </row>
    <row r="80" spans="1:7" ht="15">
      <c r="A80" s="1021">
        <v>45047</v>
      </c>
      <c r="B80" s="360">
        <v>-1197136</v>
      </c>
      <c r="C80" s="656">
        <v>902</v>
      </c>
      <c r="D80" s="656">
        <v>202</v>
      </c>
      <c r="E80" s="656">
        <v>6539</v>
      </c>
      <c r="F80" s="656" t="s">
        <v>808</v>
      </c>
    </row>
    <row r="81" spans="1:10" ht="15">
      <c r="A81" s="99"/>
      <c r="B81" s="360"/>
      <c r="C81" s="656"/>
      <c r="D81" s="656"/>
      <c r="E81" s="656"/>
    </row>
    <row r="82" spans="1:10" ht="15">
      <c r="A82" s="1021">
        <v>45078</v>
      </c>
      <c r="B82" s="360">
        <f>-'Cta 11100613'!G13</f>
        <v>-828876</v>
      </c>
      <c r="C82" s="656">
        <f>+'Cta 11100613'!A13</f>
        <v>902</v>
      </c>
      <c r="D82" s="656">
        <f>+'Cta 11100613'!B13</f>
        <v>202</v>
      </c>
      <c r="E82" s="656">
        <f>+'Cta 11100613'!C13</f>
        <v>8042</v>
      </c>
      <c r="F82" s="656" t="str">
        <f>+'Cta 11100613'!D13</f>
        <v>.  GMF BBVA 797 MES DE JUNIO 2023</v>
      </c>
    </row>
    <row r="83" spans="1:10" ht="15">
      <c r="A83" s="99"/>
      <c r="B83" s="360"/>
      <c r="C83" s="656"/>
      <c r="D83" s="656"/>
      <c r="E83" s="656"/>
    </row>
    <row r="84" spans="1:10">
      <c r="A84" s="101" t="s">
        <v>1086</v>
      </c>
      <c r="B84" s="96">
        <f>SUM(B15:B82)</f>
        <v>-32883083.839999996</v>
      </c>
    </row>
    <row r="87" spans="1:10" ht="12.75" customHeight="1">
      <c r="A87" s="102" t="s">
        <v>178</v>
      </c>
      <c r="B87" s="102">
        <f>+B11+B84</f>
        <v>-7629136.8399999961</v>
      </c>
      <c r="C87" s="315"/>
      <c r="D87" s="714" t="s">
        <v>503</v>
      </c>
      <c r="E87" s="715"/>
      <c r="F87" s="715"/>
      <c r="G87" s="715"/>
      <c r="H87" s="715"/>
      <c r="I87" s="44"/>
      <c r="J87" s="44"/>
    </row>
    <row r="88" spans="1:10" ht="18" customHeight="1">
      <c r="A88" s="85"/>
      <c r="E88" s="44"/>
      <c r="F88" s="44"/>
      <c r="G88" s="44"/>
      <c r="H88" s="44"/>
      <c r="I88" s="44"/>
      <c r="J88" s="44"/>
    </row>
    <row r="89" spans="1:10" ht="21.75" customHeight="1">
      <c r="A89" s="85"/>
      <c r="E89" s="44"/>
      <c r="F89" s="44"/>
      <c r="G89" s="44"/>
      <c r="H89" s="44"/>
      <c r="I89" s="44"/>
      <c r="J89" s="44"/>
    </row>
    <row r="90" spans="1:10">
      <c r="B90" s="181"/>
      <c r="C90" s="29"/>
    </row>
    <row r="91" spans="1:10">
      <c r="A91" s="181"/>
      <c r="B91" s="280"/>
      <c r="F91" s="1270"/>
      <c r="G91" s="1270"/>
      <c r="H91" s="1270"/>
      <c r="I91" s="30"/>
    </row>
    <row r="92" spans="1:10">
      <c r="A92" s="181"/>
      <c r="B92" s="181"/>
      <c r="C92" s="228"/>
      <c r="F92" s="40"/>
      <c r="G92" s="30"/>
      <c r="H92" s="30"/>
      <c r="I92" s="30"/>
    </row>
    <row r="95" spans="1:10">
      <c r="B95" s="30"/>
    </row>
  </sheetData>
  <mergeCells count="2">
    <mergeCell ref="C14:E14"/>
    <mergeCell ref="F91:H91"/>
  </mergeCells>
  <pageMargins left="0.7" right="0.7" top="0.75" bottom="0.75" header="0.3" footer="0.3"/>
  <pageSetup paperSize="9" orientation="portrait" r:id="rId1"/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Hoja11">
    <tabColor rgb="FF92D050"/>
  </sheetPr>
  <dimension ref="A1:I77"/>
  <sheetViews>
    <sheetView showGridLines="0" topLeftCell="A59" zoomScaleNormal="100" workbookViewId="0">
      <selection activeCell="D78" sqref="D78"/>
    </sheetView>
  </sheetViews>
  <sheetFormatPr baseColWidth="10" defaultRowHeight="12.75"/>
  <cols>
    <col min="1" max="1" width="40.28515625" style="92" customWidth="1"/>
    <col min="2" max="2" width="16.5703125" style="28" bestFit="1" customWidth="1"/>
    <col min="3" max="3" width="33" style="28" bestFit="1" customWidth="1"/>
    <col min="4" max="4" width="12.85546875" style="28" bestFit="1" customWidth="1"/>
    <col min="5" max="5" width="10" style="28" bestFit="1" customWidth="1"/>
    <col min="6" max="6" width="20.140625" style="28" bestFit="1" customWidth="1"/>
    <col min="7" max="7" width="45.28515625" style="56" customWidth="1"/>
    <col min="8" max="8" width="20.140625" style="28" bestFit="1" customWidth="1"/>
    <col min="9" max="16384" width="11.42578125" style="28"/>
  </cols>
  <sheetData>
    <row r="1" spans="1:9">
      <c r="A1" s="76" t="s">
        <v>121</v>
      </c>
    </row>
    <row r="2" spans="1:9" s="73" customFormat="1">
      <c r="A2" s="77" t="s">
        <v>122</v>
      </c>
      <c r="G2" s="71"/>
    </row>
    <row r="3" spans="1:9" s="73" customFormat="1" ht="13.5" thickBot="1">
      <c r="A3" s="76"/>
      <c r="G3" s="71"/>
    </row>
    <row r="4" spans="1:9" s="73" customFormat="1" ht="36" customHeight="1">
      <c r="A4" s="78" t="s">
        <v>76</v>
      </c>
      <c r="B4" s="79" t="s">
        <v>123</v>
      </c>
      <c r="C4" s="80" t="s">
        <v>124</v>
      </c>
      <c r="D4" s="1330" t="s">
        <v>75</v>
      </c>
      <c r="E4" s="1330"/>
      <c r="F4" s="1330"/>
      <c r="G4" s="1330"/>
      <c r="H4" s="1330"/>
    </row>
    <row r="5" spans="1:9">
      <c r="A5" s="81">
        <v>44013</v>
      </c>
      <c r="B5" s="736">
        <v>0</v>
      </c>
      <c r="C5" s="972"/>
    </row>
    <row r="6" spans="1:9" ht="15">
      <c r="A6" s="81">
        <v>44044</v>
      </c>
      <c r="B6" s="736">
        <v>0</v>
      </c>
      <c r="C6" s="972"/>
      <c r="G6" s="83"/>
      <c r="H6" s="84"/>
      <c r="I6" s="85"/>
    </row>
    <row r="7" spans="1:9">
      <c r="A7" s="81">
        <v>44075</v>
      </c>
      <c r="B7" s="737">
        <v>35321400</v>
      </c>
      <c r="C7" s="972"/>
      <c r="D7" s="275" t="s">
        <v>175</v>
      </c>
    </row>
    <row r="8" spans="1:9">
      <c r="A8" s="81">
        <v>44105</v>
      </c>
      <c r="B8" s="737">
        <v>21832230</v>
      </c>
      <c r="C8" s="972"/>
      <c r="D8" s="275" t="s">
        <v>174</v>
      </c>
    </row>
    <row r="9" spans="1:9">
      <c r="A9" s="81">
        <v>44136</v>
      </c>
      <c r="B9" s="737">
        <v>0</v>
      </c>
      <c r="C9" s="972"/>
      <c r="D9" s="275"/>
    </row>
    <row r="10" spans="1:9">
      <c r="A10" s="81">
        <v>44166</v>
      </c>
      <c r="B10" s="737">
        <v>17799963</v>
      </c>
      <c r="C10" s="972"/>
      <c r="D10" s="275" t="s">
        <v>176</v>
      </c>
    </row>
    <row r="11" spans="1:9">
      <c r="A11" s="81">
        <v>44197</v>
      </c>
      <c r="B11" s="738">
        <f>31393+8161253</f>
        <v>8192646</v>
      </c>
      <c r="C11" s="972"/>
      <c r="D11" s="275" t="s">
        <v>214</v>
      </c>
      <c r="H11" s="257"/>
    </row>
    <row r="12" spans="1:9">
      <c r="A12" s="81">
        <v>44228</v>
      </c>
      <c r="B12" s="738">
        <v>0</v>
      </c>
      <c r="C12" s="972"/>
      <c r="D12" s="272"/>
      <c r="H12" s="257"/>
    </row>
    <row r="13" spans="1:9">
      <c r="A13" s="81">
        <v>44256</v>
      </c>
      <c r="B13" s="738">
        <v>265650</v>
      </c>
      <c r="C13" s="972"/>
      <c r="D13" s="28" t="s">
        <v>232</v>
      </c>
      <c r="H13" s="257"/>
    </row>
    <row r="14" spans="1:9">
      <c r="A14" s="81">
        <v>44287</v>
      </c>
      <c r="B14" s="738">
        <v>11034285</v>
      </c>
      <c r="C14" s="972"/>
      <c r="D14" s="28" t="s">
        <v>241</v>
      </c>
      <c r="G14" s="279"/>
      <c r="H14" s="257"/>
    </row>
    <row r="15" spans="1:9">
      <c r="A15" s="81">
        <v>44317</v>
      </c>
      <c r="B15" s="738">
        <v>10916115</v>
      </c>
      <c r="C15" s="972"/>
      <c r="D15" s="28" t="s">
        <v>262</v>
      </c>
      <c r="G15" s="279"/>
      <c r="H15" s="257"/>
    </row>
    <row r="16" spans="1:9">
      <c r="A16" s="81">
        <v>44348</v>
      </c>
      <c r="B16" s="738">
        <v>17082762</v>
      </c>
      <c r="C16" s="972"/>
      <c r="D16" s="28" t="s">
        <v>241</v>
      </c>
      <c r="G16" s="279"/>
      <c r="H16" s="257"/>
    </row>
    <row r="17" spans="1:8">
      <c r="A17" s="81">
        <v>44378</v>
      </c>
      <c r="B17" s="762">
        <v>72450</v>
      </c>
      <c r="C17" s="972"/>
      <c r="D17" s="28" t="s">
        <v>291</v>
      </c>
      <c r="G17" s="279"/>
      <c r="H17" s="257"/>
    </row>
    <row r="18" spans="1:8">
      <c r="A18" s="81">
        <v>44409</v>
      </c>
      <c r="B18" s="738">
        <v>5586526</v>
      </c>
      <c r="C18" s="972"/>
      <c r="D18" s="28" t="s">
        <v>291</v>
      </c>
      <c r="F18" s="181"/>
      <c r="G18" s="279"/>
      <c r="H18" s="257"/>
    </row>
    <row r="19" spans="1:8">
      <c r="A19" s="81">
        <v>44440</v>
      </c>
      <c r="B19" s="738">
        <v>8729709</v>
      </c>
      <c r="C19" s="972"/>
      <c r="D19" s="28" t="s">
        <v>380</v>
      </c>
      <c r="F19" s="181"/>
      <c r="G19" s="279"/>
      <c r="H19" s="257"/>
    </row>
    <row r="20" spans="1:8">
      <c r="A20" s="81">
        <v>44470</v>
      </c>
      <c r="B20" s="738">
        <v>8755214</v>
      </c>
      <c r="C20" s="972"/>
      <c r="D20" s="28" t="s">
        <v>438</v>
      </c>
      <c r="F20" s="181"/>
      <c r="G20" s="279"/>
      <c r="H20" s="257"/>
    </row>
    <row r="21" spans="1:8">
      <c r="A21" s="81">
        <v>44501</v>
      </c>
      <c r="B21" s="738">
        <v>48300</v>
      </c>
      <c r="C21" s="972"/>
      <c r="F21" s="181"/>
      <c r="G21" s="279"/>
      <c r="H21" s="257"/>
    </row>
    <row r="22" spans="1:8">
      <c r="A22" s="81">
        <v>44531</v>
      </c>
      <c r="B22" s="738">
        <v>6569739</v>
      </c>
      <c r="C22" s="972"/>
      <c r="D22" s="28" t="s">
        <v>241</v>
      </c>
      <c r="F22" s="181"/>
      <c r="G22" s="279"/>
      <c r="H22" s="257"/>
    </row>
    <row r="23" spans="1:8" ht="14.25" customHeight="1">
      <c r="A23" s="81">
        <v>44593</v>
      </c>
      <c r="B23" s="738">
        <v>3265093</v>
      </c>
      <c r="C23" s="972"/>
      <c r="F23" s="181"/>
      <c r="G23" s="279"/>
      <c r="H23" s="257"/>
    </row>
    <row r="24" spans="1:8" ht="14.25" customHeight="1">
      <c r="A24" s="81">
        <v>44621</v>
      </c>
      <c r="B24" s="738">
        <v>630614</v>
      </c>
      <c r="C24" s="972"/>
      <c r="D24" s="29" t="s">
        <v>534</v>
      </c>
      <c r="F24" s="181"/>
      <c r="G24" s="279"/>
      <c r="H24" s="257"/>
    </row>
    <row r="25" spans="1:8" ht="14.25" customHeight="1">
      <c r="A25" s="81">
        <v>44652</v>
      </c>
      <c r="B25" s="738">
        <v>45548</v>
      </c>
      <c r="C25" s="972"/>
      <c r="D25" s="28" t="s">
        <v>291</v>
      </c>
      <c r="F25" s="181"/>
      <c r="G25" s="279"/>
      <c r="H25" s="257"/>
    </row>
    <row r="26" spans="1:8" ht="14.25" customHeight="1">
      <c r="A26" s="81">
        <v>44682</v>
      </c>
      <c r="B26" s="738">
        <v>5261002</v>
      </c>
      <c r="C26" s="972"/>
      <c r="D26" s="28" t="s">
        <v>566</v>
      </c>
      <c r="F26" s="181"/>
      <c r="G26" s="279"/>
      <c r="H26" s="257"/>
    </row>
    <row r="27" spans="1:8" ht="14.25" customHeight="1">
      <c r="A27" s="81">
        <v>44713</v>
      </c>
      <c r="B27" s="738">
        <v>19150</v>
      </c>
      <c r="C27" s="972"/>
      <c r="D27" s="28" t="s">
        <v>581</v>
      </c>
      <c r="F27" s="181"/>
      <c r="G27" s="279"/>
      <c r="H27" s="257"/>
    </row>
    <row r="28" spans="1:8" ht="14.25" customHeight="1">
      <c r="A28" s="81">
        <v>44743</v>
      </c>
      <c r="B28" s="738">
        <v>1691717</v>
      </c>
      <c r="C28" s="972"/>
      <c r="D28" s="28" t="s">
        <v>629</v>
      </c>
      <c r="F28" s="181"/>
      <c r="G28" s="279"/>
      <c r="H28" s="257"/>
    </row>
    <row r="29" spans="1:8" ht="14.25" customHeight="1">
      <c r="A29" s="81">
        <v>44774</v>
      </c>
      <c r="B29" s="738">
        <v>3366467</v>
      </c>
      <c r="C29" s="972"/>
      <c r="D29" s="28" t="s">
        <v>640</v>
      </c>
      <c r="F29" s="181"/>
      <c r="G29" s="279"/>
      <c r="H29" s="257"/>
    </row>
    <row r="30" spans="1:8" ht="14.25" customHeight="1">
      <c r="A30" s="81">
        <v>44805</v>
      </c>
      <c r="B30" s="738">
        <v>0</v>
      </c>
      <c r="C30" s="972"/>
      <c r="F30" s="181"/>
      <c r="G30" s="279"/>
      <c r="H30" s="257"/>
    </row>
    <row r="31" spans="1:8" ht="14.25" customHeight="1">
      <c r="A31" s="81">
        <v>44835</v>
      </c>
      <c r="B31" s="926">
        <v>1312500</v>
      </c>
      <c r="C31" s="972"/>
      <c r="D31" s="28" t="s">
        <v>666</v>
      </c>
      <c r="F31" s="181"/>
      <c r="G31" s="279"/>
      <c r="H31" s="257"/>
    </row>
    <row r="32" spans="1:8" ht="14.25" customHeight="1">
      <c r="A32" s="81">
        <v>44866</v>
      </c>
      <c r="B32" s="926">
        <v>7191654</v>
      </c>
      <c r="C32" s="972"/>
      <c r="D32" s="28" t="s">
        <v>667</v>
      </c>
      <c r="F32" s="181"/>
      <c r="G32" s="279"/>
      <c r="H32" s="257"/>
    </row>
    <row r="33" spans="1:8" ht="14.25" customHeight="1">
      <c r="A33" s="81">
        <v>44896</v>
      </c>
      <c r="B33" s="926">
        <v>7852728</v>
      </c>
      <c r="C33" s="972"/>
      <c r="D33" s="28" t="s">
        <v>680</v>
      </c>
      <c r="F33" s="181"/>
      <c r="G33" s="279"/>
      <c r="H33" s="257"/>
    </row>
    <row r="34" spans="1:8" ht="14.25" customHeight="1">
      <c r="A34" s="81">
        <v>44927</v>
      </c>
      <c r="B34" s="991">
        <v>0</v>
      </c>
      <c r="C34" s="992"/>
      <c r="F34" s="181"/>
      <c r="G34" s="279"/>
      <c r="H34" s="257"/>
    </row>
    <row r="35" spans="1:8" ht="14.25" customHeight="1">
      <c r="A35" s="81">
        <v>44958</v>
      </c>
      <c r="B35" s="991">
        <v>852950</v>
      </c>
      <c r="C35" s="992"/>
      <c r="D35" s="28" t="s">
        <v>734</v>
      </c>
      <c r="F35" s="181"/>
      <c r="G35" s="279"/>
      <c r="H35" s="257"/>
    </row>
    <row r="36" spans="1:8" ht="14.25" customHeight="1">
      <c r="A36" s="81">
        <v>44986</v>
      </c>
      <c r="B36" s="991">
        <v>0</v>
      </c>
      <c r="C36" s="992"/>
      <c r="F36" s="181"/>
      <c r="G36" s="279"/>
      <c r="H36" s="257"/>
    </row>
    <row r="37" spans="1:8" ht="14.25" customHeight="1">
      <c r="A37" s="81">
        <v>45017</v>
      </c>
      <c r="B37" s="991">
        <v>72235</v>
      </c>
      <c r="C37" s="992"/>
      <c r="D37" s="28" t="s">
        <v>747</v>
      </c>
      <c r="F37" s="181"/>
      <c r="G37" s="279"/>
      <c r="H37" s="257"/>
    </row>
    <row r="38" spans="1:8" ht="14.25" customHeight="1">
      <c r="A38" s="81">
        <v>45047</v>
      </c>
      <c r="B38" s="991">
        <f>+[11]Egresos!$K$148+[11]Egresos!$K$149+[11]Egresos!$K$150</f>
        <v>302469</v>
      </c>
      <c r="C38" s="992"/>
      <c r="D38" s="28" t="s">
        <v>788</v>
      </c>
      <c r="F38" s="181"/>
      <c r="G38" s="279"/>
      <c r="H38" s="257"/>
    </row>
    <row r="39" spans="1:8" ht="14.25" customHeight="1">
      <c r="A39" s="81">
        <v>45108</v>
      </c>
      <c r="B39" s="991">
        <f>+[11]Egresos!$K$156</f>
        <v>2528</v>
      </c>
      <c r="C39" s="992"/>
      <c r="F39" s="181"/>
      <c r="G39" s="279"/>
      <c r="H39" s="257"/>
    </row>
    <row r="40" spans="1:8" ht="13.5" thickBot="1">
      <c r="A40" s="973" t="s">
        <v>125</v>
      </c>
      <c r="B40" s="974">
        <f>SUM(B5:B39)</f>
        <v>184073644</v>
      </c>
      <c r="C40" s="975"/>
      <c r="E40" s="28" t="s">
        <v>106</v>
      </c>
      <c r="F40" s="394"/>
      <c r="G40" s="386"/>
    </row>
    <row r="41" spans="1:8">
      <c r="B41" s="72"/>
      <c r="F41" s="315"/>
    </row>
    <row r="42" spans="1:8">
      <c r="A42" s="76" t="s">
        <v>126</v>
      </c>
      <c r="B42" s="72"/>
      <c r="G42" s="763"/>
    </row>
    <row r="43" spans="1:8" ht="15">
      <c r="A43" s="236">
        <v>44104</v>
      </c>
      <c r="B43" s="661">
        <v>35321400</v>
      </c>
      <c r="C43" s="82">
        <v>0</v>
      </c>
      <c r="D43" s="86">
        <v>914</v>
      </c>
      <c r="E43" s="86">
        <v>140</v>
      </c>
      <c r="F43" s="86">
        <v>32</v>
      </c>
      <c r="G43" s="87" t="s">
        <v>172</v>
      </c>
      <c r="H43" s="272">
        <f>+B7-B43</f>
        <v>0</v>
      </c>
    </row>
    <row r="44" spans="1:8" ht="15">
      <c r="A44" s="236">
        <v>44189</v>
      </c>
      <c r="B44" s="661">
        <v>21832230</v>
      </c>
      <c r="C44" s="82">
        <v>0</v>
      </c>
      <c r="D44" s="86">
        <v>902</v>
      </c>
      <c r="E44" s="86">
        <v>202</v>
      </c>
      <c r="F44" s="86">
        <v>16998</v>
      </c>
      <c r="G44" s="88" t="s">
        <v>177</v>
      </c>
      <c r="H44" s="272">
        <f>+B8-B44</f>
        <v>0</v>
      </c>
    </row>
    <row r="45" spans="1:8" ht="15">
      <c r="A45" s="236">
        <v>44253</v>
      </c>
      <c r="B45" s="661">
        <v>25429102</v>
      </c>
      <c r="C45" s="82">
        <v>0</v>
      </c>
      <c r="D45" s="86">
        <v>902</v>
      </c>
      <c r="E45" s="86">
        <v>202</v>
      </c>
      <c r="F45" s="86">
        <v>2188</v>
      </c>
      <c r="G45" s="88" t="s">
        <v>217</v>
      </c>
      <c r="H45" s="229"/>
    </row>
    <row r="46" spans="1:8" ht="15">
      <c r="A46" s="236">
        <v>44323</v>
      </c>
      <c r="B46" s="661">
        <v>11863440</v>
      </c>
      <c r="C46" s="82">
        <v>0</v>
      </c>
      <c r="D46" s="86">
        <v>914</v>
      </c>
      <c r="E46" s="86">
        <v>140</v>
      </c>
      <c r="F46" s="86">
        <v>3</v>
      </c>
      <c r="G46" s="88" t="s">
        <v>259</v>
      </c>
      <c r="H46" s="229"/>
    </row>
    <row r="47" spans="1:8" ht="15">
      <c r="A47" s="236">
        <v>44371</v>
      </c>
      <c r="B47" s="661">
        <v>10204387</v>
      </c>
      <c r="C47" s="82">
        <v>0</v>
      </c>
      <c r="D47" s="86">
        <v>914</v>
      </c>
      <c r="E47" s="86">
        <v>140</v>
      </c>
      <c r="F47" s="86">
        <v>12</v>
      </c>
      <c r="G47" s="87" t="s">
        <v>280</v>
      </c>
      <c r="H47" s="229"/>
    </row>
    <row r="48" spans="1:8" ht="15">
      <c r="A48" s="236">
        <v>44386</v>
      </c>
      <c r="B48" s="661">
        <v>17746190</v>
      </c>
      <c r="C48" s="82">
        <v>0</v>
      </c>
      <c r="D48" s="86">
        <v>914</v>
      </c>
      <c r="E48" s="86">
        <v>140</v>
      </c>
      <c r="F48" s="86">
        <v>13</v>
      </c>
      <c r="G48" s="87" t="s">
        <v>290</v>
      </c>
      <c r="H48" s="229"/>
    </row>
    <row r="49" spans="1:8" ht="15">
      <c r="A49" s="236">
        <v>44433</v>
      </c>
      <c r="B49" s="661">
        <v>104318</v>
      </c>
      <c r="C49" s="82">
        <v>0</v>
      </c>
      <c r="D49" s="86">
        <v>914</v>
      </c>
      <c r="E49" s="86">
        <v>140</v>
      </c>
      <c r="F49" s="86">
        <v>20</v>
      </c>
      <c r="G49" s="87" t="s">
        <v>315</v>
      </c>
      <c r="H49" s="229"/>
    </row>
    <row r="50" spans="1:8" ht="15">
      <c r="A50" s="236">
        <v>44456</v>
      </c>
      <c r="B50" s="661">
        <v>5554658</v>
      </c>
      <c r="C50" s="82">
        <v>0</v>
      </c>
      <c r="D50" s="86">
        <v>914</v>
      </c>
      <c r="E50" s="86">
        <v>140</v>
      </c>
      <c r="F50" s="86">
        <v>21</v>
      </c>
      <c r="G50" s="87" t="s">
        <v>381</v>
      </c>
      <c r="H50" s="229"/>
    </row>
    <row r="51" spans="1:8" ht="15">
      <c r="A51" s="236">
        <v>44480</v>
      </c>
      <c r="B51" s="661">
        <v>8206933</v>
      </c>
      <c r="C51" s="82">
        <v>0</v>
      </c>
      <c r="D51" s="86">
        <v>914</v>
      </c>
      <c r="E51" s="86">
        <v>140</v>
      </c>
      <c r="F51" s="86">
        <v>28</v>
      </c>
      <c r="G51" s="87" t="s">
        <v>439</v>
      </c>
      <c r="H51" s="229"/>
    </row>
    <row r="52" spans="1:8" ht="15">
      <c r="A52" s="236">
        <v>44509</v>
      </c>
      <c r="B52" s="661">
        <v>9253840</v>
      </c>
      <c r="C52" s="82">
        <v>0</v>
      </c>
      <c r="D52" s="86">
        <v>914</v>
      </c>
      <c r="E52" s="86">
        <v>140</v>
      </c>
      <c r="F52" s="86">
        <v>35</v>
      </c>
      <c r="G52" s="87" t="s">
        <v>468</v>
      </c>
      <c r="H52" s="229"/>
    </row>
    <row r="53" spans="1:8" ht="15">
      <c r="A53" s="236">
        <v>44510</v>
      </c>
      <c r="B53" s="661">
        <v>6618039</v>
      </c>
      <c r="C53" s="82">
        <v>0</v>
      </c>
      <c r="D53" s="86">
        <v>914</v>
      </c>
      <c r="E53" s="86">
        <v>140</v>
      </c>
      <c r="F53" s="86">
        <v>9</v>
      </c>
      <c r="G53" s="728" t="s">
        <v>507</v>
      </c>
      <c r="H53" s="272">
        <f>+B22+B21-B53</f>
        <v>0</v>
      </c>
    </row>
    <row r="54" spans="1:8" ht="15">
      <c r="A54" s="236">
        <v>44638</v>
      </c>
      <c r="B54" s="661">
        <v>3265093</v>
      </c>
      <c r="C54" s="82">
        <v>0</v>
      </c>
      <c r="D54" s="86">
        <v>914</v>
      </c>
      <c r="E54" s="86">
        <v>140</v>
      </c>
      <c r="F54" s="86">
        <v>15</v>
      </c>
      <c r="G54" s="728" t="s">
        <v>529</v>
      </c>
      <c r="H54" s="272">
        <f>+B23-B54</f>
        <v>0</v>
      </c>
    </row>
    <row r="55" spans="1:8" ht="15">
      <c r="A55" s="236">
        <v>44655</v>
      </c>
      <c r="B55" s="661">
        <v>630614</v>
      </c>
      <c r="C55" s="82">
        <v>0</v>
      </c>
      <c r="D55" s="86">
        <v>914</v>
      </c>
      <c r="E55" s="86">
        <v>140</v>
      </c>
      <c r="F55" s="86">
        <v>15</v>
      </c>
      <c r="G55" s="728" t="s">
        <v>580</v>
      </c>
      <c r="H55" s="272">
        <f>+B24-B55</f>
        <v>0</v>
      </c>
    </row>
    <row r="56" spans="1:8" ht="15">
      <c r="A56" s="236">
        <v>44720</v>
      </c>
      <c r="B56" s="661">
        <v>45547</v>
      </c>
      <c r="C56" s="82">
        <v>0</v>
      </c>
      <c r="D56" s="86">
        <v>914</v>
      </c>
      <c r="E56" s="86">
        <v>140</v>
      </c>
      <c r="F56" s="86">
        <v>31</v>
      </c>
      <c r="G56" s="728" t="s">
        <v>572</v>
      </c>
      <c r="H56" s="272"/>
    </row>
    <row r="57" spans="1:8" ht="15">
      <c r="A57" s="236">
        <v>44720</v>
      </c>
      <c r="B57" s="661">
        <v>4687710</v>
      </c>
      <c r="C57" s="82">
        <v>0</v>
      </c>
      <c r="D57" s="86">
        <v>914</v>
      </c>
      <c r="E57" s="86">
        <v>140</v>
      </c>
      <c r="F57" s="86">
        <v>33</v>
      </c>
      <c r="G57" s="728" t="s">
        <v>573</v>
      </c>
      <c r="H57" s="272"/>
    </row>
    <row r="58" spans="1:8" ht="15">
      <c r="A58" s="236">
        <v>44748</v>
      </c>
      <c r="B58" s="661">
        <v>592442</v>
      </c>
      <c r="C58" s="82">
        <v>0</v>
      </c>
      <c r="D58" s="86">
        <v>914</v>
      </c>
      <c r="E58" s="86">
        <v>140</v>
      </c>
      <c r="F58" s="86">
        <v>41</v>
      </c>
      <c r="G58" s="728" t="s">
        <v>628</v>
      </c>
      <c r="H58" s="272"/>
    </row>
    <row r="59" spans="1:8" ht="15">
      <c r="A59" s="236">
        <v>44810</v>
      </c>
      <c r="B59" s="661">
        <v>5058184</v>
      </c>
      <c r="C59" s="82">
        <v>0</v>
      </c>
      <c r="D59" s="86">
        <v>914</v>
      </c>
      <c r="E59" s="86">
        <v>140</v>
      </c>
      <c r="F59" s="86">
        <v>59</v>
      </c>
      <c r="G59" s="728" t="s">
        <v>648</v>
      </c>
      <c r="H59" s="272"/>
    </row>
    <row r="60" spans="1:8" ht="15">
      <c r="A60" s="236">
        <v>44942</v>
      </c>
      <c r="B60" s="661">
        <v>6134735</v>
      </c>
      <c r="C60" s="82">
        <v>0</v>
      </c>
      <c r="D60" s="86">
        <v>902</v>
      </c>
      <c r="E60" s="86">
        <v>202</v>
      </c>
      <c r="F60" s="86">
        <v>6</v>
      </c>
      <c r="G60" s="86" t="s">
        <v>688</v>
      </c>
      <c r="H60" s="272"/>
    </row>
    <row r="61" spans="1:8" ht="15">
      <c r="A61" s="236">
        <v>44946</v>
      </c>
      <c r="B61" s="661">
        <v>431654</v>
      </c>
      <c r="C61" s="82">
        <v>0</v>
      </c>
      <c r="D61" s="86">
        <v>902</v>
      </c>
      <c r="E61" s="86">
        <v>202</v>
      </c>
      <c r="F61" s="86">
        <v>69</v>
      </c>
      <c r="G61" s="86" t="s">
        <v>689</v>
      </c>
      <c r="H61" s="272"/>
    </row>
    <row r="62" spans="1:8" ht="15">
      <c r="A62" s="236">
        <v>45005</v>
      </c>
      <c r="B62" s="661">
        <v>856362</v>
      </c>
      <c r="C62" s="82">
        <v>0</v>
      </c>
      <c r="D62" s="86">
        <v>902</v>
      </c>
      <c r="E62" s="86">
        <v>202</v>
      </c>
      <c r="F62" s="86">
        <v>1997</v>
      </c>
      <c r="G62" s="86" t="s">
        <v>731</v>
      </c>
      <c r="H62" s="272"/>
    </row>
    <row r="63" spans="1:8" ht="15">
      <c r="A63" s="236">
        <v>45054</v>
      </c>
      <c r="B63" s="661">
        <v>62948</v>
      </c>
      <c r="C63" s="82">
        <v>0</v>
      </c>
      <c r="D63" s="86">
        <v>902</v>
      </c>
      <c r="E63" s="86">
        <v>202</v>
      </c>
      <c r="F63" s="86">
        <v>4067</v>
      </c>
      <c r="G63" s="86" t="s">
        <v>785</v>
      </c>
      <c r="H63" s="272"/>
    </row>
    <row r="64" spans="1:8" ht="15">
      <c r="A64" s="236">
        <v>45063</v>
      </c>
      <c r="B64" s="661">
        <v>9576</v>
      </c>
      <c r="C64" s="82">
        <v>0</v>
      </c>
      <c r="D64" s="86">
        <v>902</v>
      </c>
      <c r="E64" s="86">
        <v>202</v>
      </c>
      <c r="F64" s="86">
        <v>4618</v>
      </c>
      <c r="G64" s="86" t="s">
        <v>786</v>
      </c>
      <c r="H64" s="272"/>
    </row>
    <row r="65" spans="1:8" ht="15">
      <c r="A65" s="236">
        <v>45132</v>
      </c>
      <c r="B65" s="661">
        <f>+'Cta 11100613'!G11</f>
        <v>303679</v>
      </c>
      <c r="C65" s="82"/>
      <c r="D65" s="86">
        <f>+'Cta 11100613'!A11</f>
        <v>902</v>
      </c>
      <c r="E65" s="86">
        <f>+'Cta 11100613'!B11</f>
        <v>202</v>
      </c>
      <c r="F65" s="86">
        <f>+'Cta 11100613'!C11</f>
        <v>7556</v>
      </c>
      <c r="G65" s="86" t="str">
        <f>+'Cta 11100613'!D11</f>
        <v>. PAGO RETENCION DE INDUSTRIA Y COMERCIO III BIMESTRE 2023 FACULTAD DE INGENIERIA</v>
      </c>
      <c r="H65" s="272"/>
    </row>
    <row r="66" spans="1:8" s="73" customFormat="1">
      <c r="A66" s="76" t="s">
        <v>127</v>
      </c>
      <c r="B66" s="89">
        <f>SUM(B43:B65)</f>
        <v>174213081</v>
      </c>
      <c r="C66" s="89">
        <f>SUM(C43:C47)</f>
        <v>0</v>
      </c>
      <c r="D66" s="660"/>
      <c r="G66" s="71"/>
    </row>
    <row r="67" spans="1:8" s="73" customFormat="1">
      <c r="A67" s="76"/>
      <c r="D67" s="660"/>
      <c r="G67" s="71"/>
    </row>
    <row r="68" spans="1:8" s="73" customFormat="1">
      <c r="A68" s="76"/>
      <c r="G68" s="71"/>
    </row>
    <row r="69" spans="1:8" s="73" customFormat="1" ht="36.75" customHeight="1">
      <c r="A69" s="90" t="s">
        <v>226</v>
      </c>
      <c r="B69" s="784">
        <f>+B40-B66</f>
        <v>9860563</v>
      </c>
      <c r="C69" s="91"/>
      <c r="D69" s="1331"/>
      <c r="E69" s="1331"/>
      <c r="F69" s="1331"/>
      <c r="G69" s="1331"/>
    </row>
    <row r="70" spans="1:8">
      <c r="B70" s="229"/>
      <c r="C70" s="91"/>
      <c r="D70" s="868">
        <f>+SUM(D71:D74)</f>
        <v>9889104</v>
      </c>
      <c r="E70" s="73" t="s">
        <v>682</v>
      </c>
    </row>
    <row r="71" spans="1:8">
      <c r="B71" s="85">
        <f>+B69-D70</f>
        <v>-28541</v>
      </c>
      <c r="C71" s="866" t="s">
        <v>610</v>
      </c>
      <c r="D71" s="867">
        <v>72450</v>
      </c>
      <c r="E71" s="985">
        <f t="shared" ref="E71:E75" si="0">+D71*0.004</f>
        <v>289.8</v>
      </c>
    </row>
    <row r="72" spans="1:8">
      <c r="C72" s="927" t="s">
        <v>654</v>
      </c>
      <c r="D72" s="928">
        <f>+[11]Egresos!$J$126</f>
        <v>1312500</v>
      </c>
      <c r="E72" s="985">
        <f t="shared" si="0"/>
        <v>5250</v>
      </c>
    </row>
    <row r="73" spans="1:8">
      <c r="C73" s="927" t="s">
        <v>668</v>
      </c>
      <c r="D73" s="928">
        <f>+[11]Egresos!$I$127+[11]Egresos!$J$127+[11]Egresos!$K$127+[11]Egresos!$K$128+[11]Egresos!$I$130+[11]Egresos!$J$130+[11]Egresos!$K$130</f>
        <v>7191654</v>
      </c>
      <c r="E73" s="985">
        <f t="shared" si="0"/>
        <v>28766.616000000002</v>
      </c>
    </row>
    <row r="74" spans="1:8">
      <c r="C74" s="927" t="s">
        <v>681</v>
      </c>
      <c r="D74" s="928">
        <f>+[11]Egresos!$J$136</f>
        <v>1312500</v>
      </c>
      <c r="E74" s="985">
        <f t="shared" si="0"/>
        <v>5250</v>
      </c>
    </row>
    <row r="75" spans="1:8">
      <c r="C75" s="1148" t="s">
        <v>1108</v>
      </c>
      <c r="D75" s="928">
        <f>+[11]Egresos!$K$156</f>
        <v>2528</v>
      </c>
      <c r="E75" s="985">
        <f t="shared" si="0"/>
        <v>10.112</v>
      </c>
    </row>
    <row r="76" spans="1:8">
      <c r="D76" s="868">
        <f>+SUM(D71:D75)</f>
        <v>9891632</v>
      </c>
      <c r="E76" s="868">
        <f>+SUM(E71:E74)</f>
        <v>39556.416000000005</v>
      </c>
      <c r="F76" s="229"/>
    </row>
    <row r="77" spans="1:8">
      <c r="D77" s="699">
        <f>+D76-B69</f>
        <v>31069</v>
      </c>
    </row>
  </sheetData>
  <mergeCells count="2">
    <mergeCell ref="D4:H4"/>
    <mergeCell ref="D69:G69"/>
  </mergeCells>
  <pageMargins left="0.7" right="0.7" top="0.75" bottom="0.75" header="0.3" footer="0.3"/>
  <pageSetup scale="44" orientation="portrait" r:id="rId1"/>
  <ignoredErrors>
    <ignoredError sqref="C66" formulaRange="1"/>
  </ignoredError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Hoja12">
    <tabColor rgb="FF00B0F0"/>
    <pageSetUpPr fitToPage="1"/>
  </sheetPr>
  <dimension ref="A1:AG292"/>
  <sheetViews>
    <sheetView showGridLines="0" topLeftCell="A82" zoomScale="85" zoomScaleNormal="85" workbookViewId="0">
      <selection activeCell="G82" sqref="G82"/>
    </sheetView>
  </sheetViews>
  <sheetFormatPr baseColWidth="10" defaultRowHeight="89.25" customHeight="1"/>
  <cols>
    <col min="1" max="2" width="25.28515625" style="6" customWidth="1"/>
    <col min="3" max="3" width="25.28515625" style="16" customWidth="1"/>
    <col min="4" max="4" width="25.28515625" style="17" customWidth="1"/>
    <col min="5" max="5" width="20" style="6" customWidth="1"/>
    <col min="6" max="6" width="24.5703125" style="19" customWidth="1"/>
    <col min="7" max="7" width="20" style="5" bestFit="1" customWidth="1"/>
    <col min="8" max="8" width="17.85546875" style="5" customWidth="1"/>
    <col min="9" max="10" width="18.7109375" style="5" customWidth="1"/>
    <col min="11" max="25" width="11.42578125" style="5"/>
    <col min="26" max="16384" width="11.42578125" style="6"/>
  </cols>
  <sheetData>
    <row r="1" spans="1:25" s="4" customFormat="1" ht="33.75" customHeight="1">
      <c r="A1" s="1339" t="s">
        <v>1118</v>
      </c>
      <c r="B1" s="1339"/>
      <c r="C1" s="1339"/>
      <c r="D1" s="1339"/>
      <c r="E1" s="1339"/>
      <c r="F1" s="1339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spans="1:25" s="4" customFormat="1" ht="33.75" customHeight="1">
      <c r="A2" s="1339"/>
      <c r="B2" s="1339"/>
      <c r="C2" s="1339"/>
      <c r="D2" s="1339"/>
      <c r="E2" s="1339"/>
      <c r="F2" s="1339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 s="4" customFormat="1" ht="36" customHeight="1">
      <c r="A3" s="1339"/>
      <c r="B3" s="1339"/>
      <c r="C3" s="1339"/>
      <c r="D3" s="1339"/>
      <c r="E3" s="1339"/>
      <c r="F3" s="1339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</row>
    <row r="4" spans="1:25" ht="30" customHeight="1">
      <c r="A4" s="1339" t="s">
        <v>205</v>
      </c>
      <c r="B4" s="1339"/>
      <c r="C4" s="1339"/>
      <c r="D4" s="1339"/>
      <c r="E4" s="1339"/>
      <c r="F4" s="1339"/>
    </row>
    <row r="5" spans="1:25" ht="30" customHeight="1" thickBot="1">
      <c r="A5" s="1339" t="s">
        <v>311</v>
      </c>
      <c r="B5" s="1339"/>
      <c r="C5" s="1339"/>
      <c r="D5" s="1339"/>
      <c r="E5" s="1339"/>
      <c r="F5" s="1339"/>
    </row>
    <row r="6" spans="1:25" ht="30" customHeight="1" thickBot="1">
      <c r="A6" s="1340" t="s">
        <v>1</v>
      </c>
      <c r="B6" s="1341"/>
      <c r="C6" s="1341"/>
      <c r="D6" s="1341"/>
      <c r="E6" s="1341"/>
      <c r="F6" s="347" t="s">
        <v>2</v>
      </c>
    </row>
    <row r="7" spans="1:25" ht="18.600000000000001" customHeight="1">
      <c r="A7" s="348"/>
      <c r="B7" s="349"/>
      <c r="C7" s="349"/>
      <c r="D7" s="349"/>
      <c r="E7" s="350"/>
      <c r="F7" s="351"/>
      <c r="I7" s="12"/>
      <c r="J7" s="12"/>
    </row>
    <row r="8" spans="1:25" ht="18.600000000000001" customHeight="1">
      <c r="A8" s="1342" t="s">
        <v>49</v>
      </c>
      <c r="B8" s="1343"/>
      <c r="C8" s="1343"/>
      <c r="D8" s="1343"/>
      <c r="E8" s="250"/>
      <c r="F8" s="251">
        <f>SUM(E9:E14)</f>
        <v>671153494</v>
      </c>
      <c r="I8" s="13"/>
      <c r="J8" s="12"/>
    </row>
    <row r="9" spans="1:25" ht="18.600000000000001" customHeight="1">
      <c r="A9" s="1333" t="s">
        <v>50</v>
      </c>
      <c r="B9" s="1334"/>
      <c r="C9" s="1334"/>
      <c r="D9" s="1334"/>
      <c r="E9" s="250">
        <v>117983468</v>
      </c>
      <c r="F9" s="251"/>
      <c r="I9" s="12"/>
      <c r="J9" s="12"/>
    </row>
    <row r="10" spans="1:25" ht="18.600000000000001" customHeight="1">
      <c r="A10" s="1333" t="s">
        <v>51</v>
      </c>
      <c r="B10" s="1334"/>
      <c r="C10" s="1334"/>
      <c r="D10" s="1334"/>
      <c r="E10" s="250">
        <v>101676470</v>
      </c>
      <c r="F10" s="251"/>
      <c r="I10" s="12"/>
      <c r="J10" s="12"/>
    </row>
    <row r="11" spans="1:25" ht="18.600000000000001" customHeight="1">
      <c r="A11" s="1333" t="s">
        <v>52</v>
      </c>
      <c r="B11" s="1334"/>
      <c r="C11" s="1334"/>
      <c r="D11" s="1334"/>
      <c r="E11" s="250">
        <v>95549041</v>
      </c>
      <c r="F11" s="253"/>
      <c r="I11" s="13"/>
      <c r="J11" s="13"/>
    </row>
    <row r="12" spans="1:25" ht="18.600000000000001" customHeight="1">
      <c r="A12" s="1333" t="s">
        <v>53</v>
      </c>
      <c r="B12" s="1334"/>
      <c r="C12" s="1334"/>
      <c r="D12" s="1334"/>
      <c r="E12" s="250">
        <v>110217686</v>
      </c>
      <c r="F12" s="253"/>
      <c r="I12" s="12"/>
      <c r="J12" s="12"/>
    </row>
    <row r="13" spans="1:25" ht="18.600000000000001" customHeight="1">
      <c r="A13" s="1333" t="s">
        <v>54</v>
      </c>
      <c r="B13" s="1334"/>
      <c r="C13" s="1334"/>
      <c r="D13" s="1334"/>
      <c r="E13" s="252">
        <v>123927185</v>
      </c>
      <c r="F13" s="253"/>
      <c r="I13" s="12"/>
      <c r="J13" s="12"/>
    </row>
    <row r="14" spans="1:25" ht="18.600000000000001" customHeight="1">
      <c r="A14" s="1333" t="s">
        <v>216</v>
      </c>
      <c r="B14" s="1334"/>
      <c r="C14" s="1334"/>
      <c r="D14" s="1334"/>
      <c r="E14" s="252">
        <v>121799644</v>
      </c>
      <c r="F14" s="253"/>
    </row>
    <row r="15" spans="1:25" ht="18.600000000000001" customHeight="1">
      <c r="A15" s="342"/>
      <c r="B15" s="343"/>
      <c r="C15" s="343"/>
      <c r="D15" s="343"/>
      <c r="E15" s="252"/>
      <c r="F15" s="253"/>
    </row>
    <row r="16" spans="1:25" ht="18.600000000000001" customHeight="1">
      <c r="A16" s="268" t="s">
        <v>55</v>
      </c>
      <c r="B16" s="343"/>
      <c r="C16" s="343"/>
      <c r="D16" s="343"/>
      <c r="E16" s="252"/>
      <c r="F16" s="255">
        <f>+SUM(E17:E18)</f>
        <v>-671142756</v>
      </c>
    </row>
    <row r="17" spans="1:6" ht="18.600000000000001" customHeight="1">
      <c r="A17" s="342" t="s">
        <v>218</v>
      </c>
      <c r="B17" s="343"/>
      <c r="C17" s="343"/>
      <c r="D17" s="343"/>
      <c r="E17" s="252">
        <v>-668468880</v>
      </c>
      <c r="F17" s="253"/>
    </row>
    <row r="18" spans="1:6" ht="18.600000000000001" customHeight="1">
      <c r="A18" s="342" t="s">
        <v>219</v>
      </c>
      <c r="B18" s="343"/>
      <c r="C18" s="343"/>
      <c r="D18" s="343"/>
      <c r="E18" s="252">
        <v>-2673876</v>
      </c>
      <c r="F18" s="253"/>
    </row>
    <row r="19" spans="1:6" ht="18.600000000000001" customHeight="1">
      <c r="A19" s="342"/>
      <c r="B19" s="343"/>
      <c r="C19" s="343"/>
      <c r="D19" s="343"/>
      <c r="E19" s="252"/>
      <c r="F19" s="253"/>
    </row>
    <row r="20" spans="1:6" ht="17.25" customHeight="1">
      <c r="A20" s="268" t="s">
        <v>56</v>
      </c>
      <c r="B20" s="343"/>
      <c r="C20" s="343"/>
      <c r="D20" s="343"/>
      <c r="E20" s="252"/>
      <c r="F20" s="255">
        <f>SUM(E21:E26)</f>
        <v>643294930</v>
      </c>
    </row>
    <row r="21" spans="1:6" ht="18.600000000000001" customHeight="1">
      <c r="A21" s="1333" t="s">
        <v>140</v>
      </c>
      <c r="B21" s="1334"/>
      <c r="C21" s="1334"/>
      <c r="D21" s="1334"/>
      <c r="E21" s="252">
        <v>131473290</v>
      </c>
      <c r="F21" s="255"/>
    </row>
    <row r="22" spans="1:6" ht="18.600000000000001" customHeight="1">
      <c r="A22" s="1333" t="s">
        <v>189</v>
      </c>
      <c r="B22" s="1334"/>
      <c r="C22" s="1334"/>
      <c r="D22" s="1334"/>
      <c r="E22" s="252">
        <v>124015503</v>
      </c>
      <c r="F22" s="255"/>
    </row>
    <row r="23" spans="1:6" ht="18.600000000000001" customHeight="1">
      <c r="A23" s="1333" t="s">
        <v>190</v>
      </c>
      <c r="B23" s="1334"/>
      <c r="C23" s="1334"/>
      <c r="D23" s="1334"/>
      <c r="E23" s="252">
        <v>99922166</v>
      </c>
      <c r="F23" s="255"/>
    </row>
    <row r="24" spans="1:6" ht="18.600000000000001" customHeight="1">
      <c r="A24" s="1333" t="s">
        <v>137</v>
      </c>
      <c r="B24" s="1334"/>
      <c r="C24" s="1334"/>
      <c r="D24" s="1334"/>
      <c r="E24" s="252">
        <v>96652549</v>
      </c>
      <c r="F24" s="253"/>
    </row>
    <row r="25" spans="1:6" ht="18.600000000000001" customHeight="1">
      <c r="A25" s="1333" t="s">
        <v>138</v>
      </c>
      <c r="B25" s="1334"/>
      <c r="C25" s="1334"/>
      <c r="D25" s="1334"/>
      <c r="E25" s="252">
        <v>96608034</v>
      </c>
      <c r="F25" s="253"/>
    </row>
    <row r="26" spans="1:6" ht="18.600000000000001" customHeight="1">
      <c r="A26" s="1333" t="s">
        <v>139</v>
      </c>
      <c r="B26" s="1334"/>
      <c r="C26" s="1334"/>
      <c r="D26" s="1334"/>
      <c r="E26" s="252">
        <v>94623388</v>
      </c>
      <c r="F26" s="253"/>
    </row>
    <row r="27" spans="1:6" ht="18.600000000000001" customHeight="1">
      <c r="A27" s="362"/>
      <c r="B27" s="363"/>
      <c r="C27" s="363"/>
      <c r="D27" s="363"/>
      <c r="E27" s="252"/>
      <c r="F27" s="253"/>
    </row>
    <row r="28" spans="1:6" ht="18.600000000000001" customHeight="1">
      <c r="A28" s="268" t="s">
        <v>55</v>
      </c>
      <c r="B28" s="363"/>
      <c r="C28" s="363"/>
      <c r="D28" s="363"/>
      <c r="E28" s="252"/>
      <c r="F28" s="255">
        <f>+SUM(E29:E30)</f>
        <v>-596913138</v>
      </c>
    </row>
    <row r="29" spans="1:6" ht="18.600000000000001" customHeight="1">
      <c r="A29" s="362" t="s">
        <v>305</v>
      </c>
      <c r="B29" s="363"/>
      <c r="C29" s="363"/>
      <c r="D29" s="363"/>
      <c r="E29" s="252">
        <v>-594534998</v>
      </c>
      <c r="F29" s="253"/>
    </row>
    <row r="30" spans="1:6" ht="18.600000000000001" customHeight="1">
      <c r="A30" s="362" t="s">
        <v>306</v>
      </c>
      <c r="B30" s="363"/>
      <c r="C30" s="363"/>
      <c r="D30" s="363"/>
      <c r="E30" s="252">
        <v>-2378140</v>
      </c>
      <c r="F30" s="253"/>
    </row>
    <row r="31" spans="1:6" ht="18.600000000000001" customHeight="1">
      <c r="A31" s="362"/>
      <c r="B31" s="363"/>
      <c r="C31" s="363"/>
      <c r="D31" s="363"/>
      <c r="E31" s="252"/>
      <c r="F31" s="253"/>
    </row>
    <row r="32" spans="1:6" ht="18.600000000000001" customHeight="1">
      <c r="A32" s="268" t="s">
        <v>304</v>
      </c>
      <c r="B32" s="363"/>
      <c r="C32" s="363"/>
      <c r="D32" s="363"/>
      <c r="E32" s="252"/>
      <c r="F32" s="255">
        <f>SUM(E33:E38)</f>
        <v>492611171</v>
      </c>
    </row>
    <row r="33" spans="1:8" ht="18.600000000000001" customHeight="1">
      <c r="A33" s="1333" t="s">
        <v>292</v>
      </c>
      <c r="B33" s="1334"/>
      <c r="C33" s="1334"/>
      <c r="D33" s="1334"/>
      <c r="E33" s="252">
        <v>90886008</v>
      </c>
      <c r="F33" s="253"/>
    </row>
    <row r="34" spans="1:8" ht="18.600000000000001" customHeight="1">
      <c r="A34" s="1333" t="s">
        <v>303</v>
      </c>
      <c r="B34" s="1334"/>
      <c r="C34" s="1334"/>
      <c r="D34" s="1334"/>
      <c r="E34" s="252">
        <v>85679484</v>
      </c>
      <c r="F34" s="253"/>
    </row>
    <row r="35" spans="1:8" ht="18.600000000000001" customHeight="1">
      <c r="A35" s="1333" t="s">
        <v>364</v>
      </c>
      <c r="B35" s="1334"/>
      <c r="C35" s="1334"/>
      <c r="D35" s="1334"/>
      <c r="E35" s="252">
        <v>83577159</v>
      </c>
      <c r="F35" s="253"/>
    </row>
    <row r="36" spans="1:8" ht="18.600000000000001" customHeight="1">
      <c r="A36" s="1333" t="s">
        <v>429</v>
      </c>
      <c r="B36" s="1334"/>
      <c r="C36" s="1334"/>
      <c r="D36" s="1334"/>
      <c r="E36" s="252">
        <v>79954983</v>
      </c>
      <c r="F36" s="253"/>
    </row>
    <row r="37" spans="1:8" ht="18.600000000000001" customHeight="1">
      <c r="A37" s="1333" t="s">
        <v>466</v>
      </c>
      <c r="B37" s="1334"/>
      <c r="C37" s="1334"/>
      <c r="D37" s="1334"/>
      <c r="E37" s="252">
        <v>77190055</v>
      </c>
      <c r="F37" s="253"/>
    </row>
    <row r="38" spans="1:8" ht="18.600000000000001" customHeight="1">
      <c r="A38" s="1333" t="s">
        <v>482</v>
      </c>
      <c r="B38" s="1334"/>
      <c r="C38" s="1334"/>
      <c r="D38" s="1334"/>
      <c r="E38" s="252">
        <v>75323482</v>
      </c>
      <c r="F38" s="253"/>
    </row>
    <row r="39" spans="1:8" ht="18.600000000000001" customHeight="1">
      <c r="A39" s="716"/>
      <c r="B39" s="717"/>
      <c r="C39" s="717"/>
      <c r="D39" s="717"/>
      <c r="E39" s="252"/>
      <c r="F39" s="253"/>
    </row>
    <row r="40" spans="1:8" ht="18.600000000000001" customHeight="1">
      <c r="A40" s="268" t="s">
        <v>55</v>
      </c>
      <c r="B40" s="717"/>
      <c r="C40" s="717"/>
      <c r="D40" s="717"/>
      <c r="E40" s="252"/>
      <c r="F40" s="255">
        <f>+SUM(E41:E42)</f>
        <v>-488427905</v>
      </c>
    </row>
    <row r="41" spans="1:8" ht="18.600000000000001" customHeight="1">
      <c r="A41" s="716" t="s">
        <v>504</v>
      </c>
      <c r="B41" s="717"/>
      <c r="C41" s="717"/>
      <c r="D41" s="717"/>
      <c r="E41" s="252">
        <v>-486481977</v>
      </c>
      <c r="F41" s="253"/>
    </row>
    <row r="42" spans="1:8" ht="18.600000000000001" customHeight="1">
      <c r="A42" s="716" t="s">
        <v>505</v>
      </c>
      <c r="B42" s="717"/>
      <c r="C42" s="717"/>
      <c r="D42" s="717"/>
      <c r="E42" s="252">
        <v>-1945928</v>
      </c>
      <c r="F42" s="253"/>
    </row>
    <row r="43" spans="1:8" ht="18.600000000000001" customHeight="1">
      <c r="A43" s="689"/>
      <c r="B43" s="690"/>
      <c r="C43" s="690"/>
      <c r="D43" s="690"/>
      <c r="E43" s="252"/>
      <c r="F43" s="253"/>
      <c r="G43" s="5">
        <f>+G54-G53</f>
        <v>0</v>
      </c>
      <c r="H43" s="5">
        <f>+H54*0.004</f>
        <v>0</v>
      </c>
    </row>
    <row r="44" spans="1:8" ht="17.25" customHeight="1">
      <c r="A44" s="268" t="s">
        <v>498</v>
      </c>
      <c r="B44" s="690"/>
      <c r="C44" s="690"/>
      <c r="D44" s="690"/>
      <c r="E44" s="252"/>
      <c r="F44" s="805">
        <f>SUM(E45:E50)</f>
        <v>733145390</v>
      </c>
      <c r="G44" s="12"/>
    </row>
    <row r="45" spans="1:8" ht="18.600000000000001" customHeight="1">
      <c r="A45" s="1333" t="s">
        <v>497</v>
      </c>
      <c r="B45" s="1334"/>
      <c r="C45" s="1334"/>
      <c r="D45" s="1334"/>
      <c r="E45" s="252">
        <v>79669910</v>
      </c>
      <c r="F45" s="253"/>
    </row>
    <row r="46" spans="1:8" ht="18.600000000000001" customHeight="1">
      <c r="A46" s="1333" t="s">
        <v>508</v>
      </c>
      <c r="B46" s="1334"/>
      <c r="C46" s="1334"/>
      <c r="D46" s="1334"/>
      <c r="E46" s="252">
        <v>141928058</v>
      </c>
      <c r="F46" s="253"/>
    </row>
    <row r="47" spans="1:8" ht="18.600000000000001" customHeight="1">
      <c r="A47" s="1333" t="s">
        <v>530</v>
      </c>
      <c r="B47" s="1334"/>
      <c r="C47" s="1334"/>
      <c r="D47" s="1334"/>
      <c r="E47" s="252">
        <v>148673744</v>
      </c>
      <c r="F47" s="253"/>
    </row>
    <row r="48" spans="1:8" ht="18.600000000000001" customHeight="1">
      <c r="A48" s="1333" t="s">
        <v>542</v>
      </c>
      <c r="B48" s="1334"/>
      <c r="C48" s="1334"/>
      <c r="D48" s="1334"/>
      <c r="E48" s="252">
        <v>121721771</v>
      </c>
      <c r="F48" s="253"/>
    </row>
    <row r="49" spans="1:7" ht="18.600000000000001" customHeight="1">
      <c r="A49" s="1333" t="s">
        <v>558</v>
      </c>
      <c r="B49" s="1334"/>
      <c r="C49" s="1334"/>
      <c r="D49" s="1334"/>
      <c r="E49" s="252">
        <v>121638500</v>
      </c>
      <c r="F49" s="253"/>
    </row>
    <row r="50" spans="1:7" ht="18.600000000000001" customHeight="1">
      <c r="A50" s="874" t="s">
        <v>578</v>
      </c>
      <c r="B50" s="875"/>
      <c r="C50" s="875"/>
      <c r="D50" s="875"/>
      <c r="E50" s="252">
        <v>119513407</v>
      </c>
      <c r="F50" s="253"/>
    </row>
    <row r="51" spans="1:7" ht="18.600000000000001" customHeight="1">
      <c r="A51" s="879"/>
      <c r="B51" s="880"/>
      <c r="C51" s="880"/>
      <c r="D51" s="880"/>
      <c r="E51" s="252"/>
      <c r="F51" s="253"/>
    </row>
    <row r="52" spans="1:7" ht="18.600000000000001" customHeight="1">
      <c r="A52" s="268" t="s">
        <v>55</v>
      </c>
      <c r="B52" s="880"/>
      <c r="C52" s="880"/>
      <c r="D52" s="880"/>
      <c r="E52" s="252"/>
      <c r="F52" s="805">
        <f>SUM(E53:E54)</f>
        <v>-733145390</v>
      </c>
    </row>
    <row r="53" spans="1:7" ht="18.600000000000001" customHeight="1">
      <c r="A53" s="874" t="s">
        <v>630</v>
      </c>
      <c r="B53" s="875"/>
      <c r="C53" s="875"/>
      <c r="D53" s="875"/>
      <c r="E53" s="252">
        <v>-730224492</v>
      </c>
      <c r="F53" s="253"/>
    </row>
    <row r="54" spans="1:7" ht="18.600000000000001" customHeight="1">
      <c r="A54" s="874" t="s">
        <v>631</v>
      </c>
      <c r="B54" s="875"/>
      <c r="C54" s="875"/>
      <c r="D54" s="875"/>
      <c r="E54" s="252">
        <v>-2920898</v>
      </c>
      <c r="F54" s="253"/>
    </row>
    <row r="55" spans="1:7" ht="18.600000000000001" customHeight="1">
      <c r="A55" s="879"/>
      <c r="B55" s="880"/>
      <c r="C55" s="880"/>
      <c r="D55" s="880"/>
      <c r="E55" s="252"/>
      <c r="F55" s="253"/>
    </row>
    <row r="56" spans="1:7" ht="18.600000000000001" customHeight="1">
      <c r="A56" s="268" t="s">
        <v>632</v>
      </c>
      <c r="B56" s="880"/>
      <c r="C56" s="880"/>
      <c r="D56" s="880"/>
      <c r="E56" s="252"/>
      <c r="F56" s="255">
        <f>+SUM(E57:E62)</f>
        <v>686902180</v>
      </c>
    </row>
    <row r="57" spans="1:7" ht="18.600000000000001" customHeight="1">
      <c r="A57" s="874" t="s">
        <v>627</v>
      </c>
      <c r="B57" s="875"/>
      <c r="C57" s="875"/>
      <c r="D57" s="875"/>
      <c r="E57" s="250">
        <v>145425468</v>
      </c>
      <c r="F57" s="253"/>
    </row>
    <row r="58" spans="1:7" ht="18.600000000000001" customHeight="1">
      <c r="A58" s="895" t="s">
        <v>639</v>
      </c>
      <c r="B58" s="896"/>
      <c r="C58" s="896"/>
      <c r="D58" s="896"/>
      <c r="E58" s="252">
        <v>175718319</v>
      </c>
      <c r="F58" s="253"/>
      <c r="G58" s="26"/>
    </row>
    <row r="59" spans="1:7" ht="18.600000000000001" customHeight="1">
      <c r="A59" s="904" t="s">
        <v>646</v>
      </c>
      <c r="B59" s="905"/>
      <c r="C59" s="905"/>
      <c r="D59" s="905"/>
      <c r="E59" s="252">
        <v>96722419</v>
      </c>
      <c r="F59" s="253"/>
    </row>
    <row r="60" spans="1:7" ht="18.600000000000001" customHeight="1">
      <c r="A60" s="922" t="s">
        <v>653</v>
      </c>
      <c r="B60" s="923"/>
      <c r="C60" s="923"/>
      <c r="D60" s="923"/>
      <c r="E60" s="252">
        <v>84307762</v>
      </c>
      <c r="F60" s="253"/>
    </row>
    <row r="61" spans="1:7" ht="18.600000000000001" customHeight="1">
      <c r="A61" s="936" t="s">
        <v>664</v>
      </c>
      <c r="B61" s="937"/>
      <c r="C61" s="937"/>
      <c r="D61" s="937"/>
      <c r="E61" s="252">
        <v>89493531</v>
      </c>
      <c r="F61" s="253"/>
    </row>
    <row r="62" spans="1:7" ht="18.600000000000001" customHeight="1">
      <c r="A62" s="969" t="s">
        <v>678</v>
      </c>
      <c r="B62" s="970"/>
      <c r="C62" s="970"/>
      <c r="D62" s="970"/>
      <c r="E62" s="252">
        <v>95234681</v>
      </c>
      <c r="F62" s="253"/>
    </row>
    <row r="63" spans="1:7" ht="18.600000000000001" customHeight="1">
      <c r="A63" s="1007"/>
      <c r="B63" s="1008"/>
      <c r="C63" s="1008"/>
      <c r="D63" s="1008"/>
      <c r="E63" s="252"/>
      <c r="F63" s="253"/>
    </row>
    <row r="64" spans="1:7" ht="18.600000000000001" customHeight="1">
      <c r="A64" s="268" t="s">
        <v>55</v>
      </c>
      <c r="B64" s="1008"/>
      <c r="C64" s="1008"/>
      <c r="D64" s="1008"/>
      <c r="E64" s="252"/>
      <c r="F64" s="805">
        <f>+SUM(E65:E66)</f>
        <v>-686902180</v>
      </c>
    </row>
    <row r="65" spans="1:6" ht="18.600000000000001" customHeight="1">
      <c r="A65" s="1007" t="s">
        <v>721</v>
      </c>
      <c r="B65" s="1008"/>
      <c r="C65" s="1008"/>
      <c r="D65" s="1008"/>
      <c r="E65" s="252">
        <v>-684165517</v>
      </c>
      <c r="F65" s="253"/>
    </row>
    <row r="66" spans="1:6" ht="18.600000000000001" customHeight="1">
      <c r="A66" s="1007" t="s">
        <v>505</v>
      </c>
      <c r="B66" s="1008"/>
      <c r="C66" s="1008"/>
      <c r="D66" s="1008"/>
      <c r="E66" s="261">
        <v>-2736663</v>
      </c>
      <c r="F66" s="253"/>
    </row>
    <row r="67" spans="1:6" ht="18.600000000000001" customHeight="1">
      <c r="A67" s="986"/>
      <c r="B67" s="987"/>
      <c r="C67" s="987"/>
      <c r="D67" s="987"/>
      <c r="E67" s="252"/>
      <c r="F67" s="253"/>
    </row>
    <row r="68" spans="1:6" ht="18.600000000000001" customHeight="1">
      <c r="A68" s="268" t="s">
        <v>685</v>
      </c>
      <c r="B68" s="987"/>
      <c r="C68" s="987"/>
      <c r="D68" s="987"/>
      <c r="F68" s="255">
        <f>+E69+E70+E71+E72+E73+E74</f>
        <v>533060100</v>
      </c>
    </row>
    <row r="69" spans="1:6" ht="18.600000000000001" customHeight="1">
      <c r="A69" s="986" t="s">
        <v>686</v>
      </c>
      <c r="B69" s="880"/>
      <c r="C69" s="880"/>
      <c r="D69" s="880"/>
      <c r="E69" s="252">
        <v>95396395</v>
      </c>
      <c r="F69" s="253"/>
    </row>
    <row r="70" spans="1:6" ht="18.600000000000001" customHeight="1">
      <c r="A70" s="1000" t="s">
        <v>718</v>
      </c>
      <c r="B70" s="1001"/>
      <c r="C70" s="1001"/>
      <c r="D70" s="1001"/>
      <c r="E70" s="252">
        <v>94442394</v>
      </c>
      <c r="F70" s="253"/>
    </row>
    <row r="71" spans="1:6" ht="18.600000000000001" customHeight="1">
      <c r="A71" s="1032" t="s">
        <v>728</v>
      </c>
      <c r="B71" s="1033"/>
      <c r="C71" s="1033"/>
      <c r="D71" s="1033"/>
      <c r="E71" s="252">
        <v>88822727</v>
      </c>
      <c r="F71" s="253"/>
    </row>
    <row r="72" spans="1:6" ht="18.600000000000001" customHeight="1">
      <c r="A72" s="1069" t="s">
        <v>744</v>
      </c>
      <c r="B72" s="1070"/>
      <c r="C72" s="1070"/>
      <c r="D72" s="1070"/>
      <c r="E72" s="252">
        <v>85756410</v>
      </c>
      <c r="F72" s="253"/>
    </row>
    <row r="73" spans="1:6" ht="18.600000000000001" customHeight="1">
      <c r="A73" s="1092" t="s">
        <v>778</v>
      </c>
      <c r="B73" s="1093"/>
      <c r="C73" s="1093"/>
      <c r="D73" s="1093"/>
      <c r="E73" s="252">
        <v>84494352</v>
      </c>
      <c r="F73" s="253"/>
    </row>
    <row r="74" spans="1:6" ht="18.600000000000001" customHeight="1">
      <c r="A74" s="1100" t="s">
        <v>809</v>
      </c>
      <c r="B74" s="1101"/>
      <c r="C74" s="1101"/>
      <c r="D74" s="1101"/>
      <c r="E74" s="252">
        <v>84147822</v>
      </c>
      <c r="F74" s="253"/>
    </row>
    <row r="75" spans="1:6" ht="18.600000000000001" customHeight="1">
      <c r="A75" s="1130"/>
      <c r="B75" s="1131"/>
      <c r="C75" s="1131"/>
      <c r="D75" s="1131"/>
      <c r="E75" s="252"/>
      <c r="F75" s="253"/>
    </row>
    <row r="76" spans="1:6" ht="18.600000000000001" customHeight="1">
      <c r="A76" s="268" t="s">
        <v>55</v>
      </c>
      <c r="B76" s="1131"/>
      <c r="C76" s="1131"/>
      <c r="D76" s="1131"/>
      <c r="E76" s="252"/>
      <c r="F76" s="805">
        <f>+SUM(E77:E78)</f>
        <v>-533060100</v>
      </c>
    </row>
    <row r="77" spans="1:6" ht="18.600000000000001" customHeight="1">
      <c r="A77" s="1130" t="s">
        <v>1079</v>
      </c>
      <c r="B77" s="1131"/>
      <c r="C77" s="1131"/>
      <c r="D77" s="1131"/>
      <c r="E77" s="252">
        <v>-530936354</v>
      </c>
      <c r="F77" s="253"/>
    </row>
    <row r="78" spans="1:6" ht="18.600000000000001" customHeight="1">
      <c r="A78" s="1130" t="s">
        <v>1080</v>
      </c>
      <c r="B78" s="1131"/>
      <c r="C78" s="1131"/>
      <c r="D78" s="1131"/>
      <c r="E78" s="252">
        <v>-2123746</v>
      </c>
      <c r="F78" s="253"/>
    </row>
    <row r="79" spans="1:6" ht="18.600000000000001" customHeight="1">
      <c r="A79" s="1130"/>
      <c r="B79" s="1131"/>
      <c r="C79" s="1131"/>
      <c r="D79" s="1131"/>
      <c r="E79" s="252"/>
      <c r="F79" s="253"/>
    </row>
    <row r="80" spans="1:6" ht="18.600000000000001" customHeight="1">
      <c r="A80" s="1130"/>
      <c r="B80" s="1131"/>
      <c r="C80" s="1131"/>
      <c r="D80" s="1131"/>
      <c r="E80" s="252"/>
      <c r="F80" s="253"/>
    </row>
    <row r="81" spans="1:33" ht="18.600000000000001" customHeight="1">
      <c r="A81" s="268" t="s">
        <v>1081</v>
      </c>
      <c r="B81" s="1131"/>
      <c r="C81" s="1131"/>
      <c r="D81" s="1131"/>
      <c r="E81" s="252"/>
      <c r="F81" s="253">
        <f>+E82</f>
        <v>83373155</v>
      </c>
    </row>
    <row r="82" spans="1:33" ht="18.600000000000001" customHeight="1">
      <c r="A82" s="1128" t="s">
        <v>1006</v>
      </c>
      <c r="B82" s="1129"/>
      <c r="C82" s="1129"/>
      <c r="D82" s="1129"/>
      <c r="E82" s="252">
        <f>+'Mov Cta BBVA'!H5</f>
        <v>83373155</v>
      </c>
      <c r="F82" s="253"/>
    </row>
    <row r="83" spans="1:33" ht="18.600000000000001" customHeight="1">
      <c r="A83" s="986"/>
      <c r="B83" s="987"/>
      <c r="C83" s="987"/>
      <c r="D83" s="987"/>
      <c r="E83" s="250"/>
      <c r="F83" s="253"/>
    </row>
    <row r="84" spans="1:33" s="5" customFormat="1" ht="18.600000000000001" customHeight="1">
      <c r="A84" s="1342" t="s">
        <v>55</v>
      </c>
      <c r="B84" s="1343"/>
      <c r="C84" s="1343"/>
      <c r="D84" s="1343"/>
      <c r="E84" s="250"/>
      <c r="F84" s="255">
        <f>SUM(E85:E86)</f>
        <v>-50575796</v>
      </c>
      <c r="Z84" s="6"/>
      <c r="AA84" s="6"/>
      <c r="AB84" s="6"/>
      <c r="AC84" s="6"/>
      <c r="AD84" s="6"/>
      <c r="AE84" s="6"/>
      <c r="AF84" s="6"/>
      <c r="AG84" s="6"/>
    </row>
    <row r="85" spans="1:33" s="5" customFormat="1" ht="18.600000000000001" customHeight="1">
      <c r="A85" s="1337" t="s">
        <v>286</v>
      </c>
      <c r="B85" s="1338"/>
      <c r="C85" s="1338"/>
      <c r="D85" s="1338"/>
      <c r="E85" s="250">
        <v>-46392530</v>
      </c>
      <c r="F85" s="253"/>
      <c r="H85" s="5">
        <f>+ROUNDDOWN((F88/1.004),0)</f>
        <v>83040991</v>
      </c>
      <c r="Z85" s="6"/>
      <c r="AA85" s="6"/>
      <c r="AB85" s="6"/>
      <c r="AC85" s="6"/>
      <c r="AD85" s="6"/>
      <c r="AE85" s="6"/>
      <c r="AF85" s="6"/>
      <c r="AG85" s="6"/>
    </row>
    <row r="86" spans="1:33" s="5" customFormat="1" ht="18.600000000000001" customHeight="1">
      <c r="A86" s="1337" t="s">
        <v>286</v>
      </c>
      <c r="B86" s="1338"/>
      <c r="C86" s="1338"/>
      <c r="D86" s="1338"/>
      <c r="E86" s="250">
        <v>-4183266</v>
      </c>
      <c r="F86" s="253"/>
      <c r="H86" s="5">
        <f>+F88-H85</f>
        <v>332164</v>
      </c>
      <c r="Z86" s="6"/>
      <c r="AA86" s="6"/>
      <c r="AB86" s="6"/>
      <c r="AC86" s="6"/>
      <c r="AD86" s="6"/>
      <c r="AE86" s="6"/>
      <c r="AF86" s="6"/>
      <c r="AG86" s="6"/>
    </row>
    <row r="87" spans="1:33" s="5" customFormat="1" ht="18.600000000000001" customHeight="1">
      <c r="A87" s="268"/>
      <c r="B87" s="269"/>
      <c r="C87" s="269"/>
      <c r="D87" s="269"/>
      <c r="E87" s="254"/>
      <c r="F87" s="255"/>
      <c r="Z87" s="6"/>
      <c r="AA87" s="6"/>
      <c r="AB87" s="6"/>
      <c r="AC87" s="6"/>
      <c r="AD87" s="6"/>
      <c r="AE87" s="6"/>
      <c r="AF87" s="6"/>
      <c r="AG87" s="6"/>
    </row>
    <row r="88" spans="1:33" s="5" customFormat="1" ht="24.75" customHeight="1">
      <c r="A88" s="352" t="s">
        <v>868</v>
      </c>
      <c r="B88" s="345"/>
      <c r="C88" s="345"/>
      <c r="D88" s="345"/>
      <c r="E88" s="346"/>
      <c r="F88" s="964">
        <f>SUM(F8:F84)</f>
        <v>83373155</v>
      </c>
      <c r="G88" s="5">
        <f>+F88-F68</f>
        <v>-449686945</v>
      </c>
      <c r="H88" s="740">
        <f>+E82</f>
        <v>83373155</v>
      </c>
      <c r="I88" s="740"/>
      <c r="Z88" s="6"/>
      <c r="AA88" s="6"/>
      <c r="AB88" s="6"/>
      <c r="AC88" s="6"/>
      <c r="AD88" s="6"/>
      <c r="AE88" s="6"/>
      <c r="AF88" s="6"/>
      <c r="AG88" s="6"/>
    </row>
    <row r="89" spans="1:33" s="5" customFormat="1" ht="18.600000000000001" customHeight="1">
      <c r="A89" s="1337" t="s">
        <v>288</v>
      </c>
      <c r="B89" s="1338"/>
      <c r="C89" s="1338"/>
      <c r="D89" s="1338"/>
      <c r="E89" s="250">
        <v>7108192</v>
      </c>
      <c r="F89" s="253"/>
      <c r="H89" s="740">
        <f>+'Cta 29020103 rend'!G26</f>
        <v>2319274</v>
      </c>
      <c r="I89" s="740"/>
      <c r="Z89" s="6"/>
      <c r="AA89" s="6"/>
      <c r="AB89" s="6"/>
      <c r="AC89" s="6"/>
      <c r="AD89" s="6"/>
      <c r="AE89" s="6"/>
      <c r="AF89" s="6"/>
      <c r="AG89" s="6"/>
    </row>
    <row r="90" spans="1:33" s="5" customFormat="1" ht="18.600000000000001" customHeight="1">
      <c r="A90" s="1337" t="s">
        <v>369</v>
      </c>
      <c r="B90" s="1338"/>
      <c r="C90" s="1338"/>
      <c r="D90" s="1338"/>
      <c r="E90" s="250">
        <v>8358283</v>
      </c>
      <c r="F90" s="253"/>
      <c r="H90" s="740">
        <f>+H89-H88</f>
        <v>-81053881</v>
      </c>
      <c r="I90" s="740" t="s">
        <v>811</v>
      </c>
      <c r="Z90" s="6"/>
      <c r="AA90" s="6"/>
      <c r="AB90" s="6"/>
      <c r="AC90" s="6"/>
      <c r="AD90" s="6"/>
      <c r="AE90" s="6"/>
      <c r="AF90" s="6"/>
      <c r="AG90" s="6"/>
    </row>
    <row r="91" spans="1:33" s="5" customFormat="1" ht="18.600000000000001" customHeight="1">
      <c r="A91" s="1337" t="s">
        <v>430</v>
      </c>
      <c r="B91" s="1338"/>
      <c r="C91" s="1338"/>
      <c r="D91" s="1338"/>
      <c r="E91" s="250">
        <v>11344980</v>
      </c>
      <c r="F91" s="253"/>
      <c r="Z91" s="6"/>
      <c r="AA91" s="6"/>
      <c r="AB91" s="6"/>
      <c r="AC91" s="6"/>
      <c r="AD91" s="6"/>
      <c r="AE91" s="6"/>
      <c r="AF91" s="6"/>
      <c r="AG91" s="6"/>
    </row>
    <row r="92" spans="1:33" s="5" customFormat="1" ht="18.600000000000001" customHeight="1">
      <c r="A92" s="1337" t="s">
        <v>483</v>
      </c>
      <c r="B92" s="1338"/>
      <c r="C92" s="1338"/>
      <c r="D92" s="1338"/>
      <c r="E92" s="250">
        <v>8082867</v>
      </c>
      <c r="F92" s="253"/>
      <c r="Z92" s="6"/>
      <c r="AA92" s="6"/>
      <c r="AB92" s="6"/>
      <c r="AC92" s="6"/>
      <c r="AD92" s="6"/>
      <c r="AE92" s="6"/>
      <c r="AF92" s="6"/>
      <c r="AG92" s="6"/>
    </row>
    <row r="93" spans="1:33" s="5" customFormat="1" ht="18.600000000000001" customHeight="1">
      <c r="A93" s="1337" t="s">
        <v>523</v>
      </c>
      <c r="B93" s="1338"/>
      <c r="C93" s="1338"/>
      <c r="D93" s="1338"/>
      <c r="E93" s="250">
        <v>9154452</v>
      </c>
      <c r="F93" s="253"/>
      <c r="Z93" s="6"/>
      <c r="AA93" s="6"/>
      <c r="AB93" s="6"/>
      <c r="AC93" s="6"/>
      <c r="AD93" s="6"/>
      <c r="AE93" s="6"/>
      <c r="AF93" s="6"/>
      <c r="AG93" s="6"/>
    </row>
    <row r="94" spans="1:33" s="5" customFormat="1" ht="18.600000000000001" customHeight="1">
      <c r="A94" s="1337" t="s">
        <v>541</v>
      </c>
      <c r="B94" s="1338"/>
      <c r="C94" s="1338"/>
      <c r="D94" s="1338"/>
      <c r="E94" s="252">
        <v>2334847</v>
      </c>
      <c r="F94" s="253"/>
      <c r="Z94" s="6"/>
      <c r="AA94" s="6"/>
      <c r="AB94" s="6"/>
      <c r="AC94" s="6"/>
      <c r="AD94" s="6"/>
      <c r="AE94" s="6"/>
      <c r="AF94" s="6"/>
      <c r="AG94" s="6"/>
    </row>
    <row r="95" spans="1:33" s="5" customFormat="1" ht="18.600000000000001" customHeight="1">
      <c r="A95" s="1337" t="s">
        <v>658</v>
      </c>
      <c r="B95" s="1338"/>
      <c r="C95" s="1338"/>
      <c r="D95" s="1338"/>
      <c r="E95" s="250">
        <f>299106+11166</f>
        <v>310272</v>
      </c>
      <c r="F95" s="253"/>
      <c r="Z95" s="6"/>
      <c r="AA95" s="6"/>
      <c r="AB95" s="6"/>
      <c r="AC95" s="6"/>
      <c r="AD95" s="6"/>
      <c r="AE95" s="6"/>
      <c r="AF95" s="6"/>
      <c r="AG95" s="6"/>
    </row>
    <row r="96" spans="1:33" s="5" customFormat="1" ht="18.600000000000001" customHeight="1">
      <c r="A96" s="1337" t="s">
        <v>730</v>
      </c>
      <c r="B96" s="1338"/>
      <c r="C96" s="1338"/>
      <c r="D96" s="1338"/>
      <c r="E96" s="250">
        <f>+'[12]TD_GRUPO 11 y 12 (VF)'!$O$24</f>
        <v>1594349.952</v>
      </c>
      <c r="F96" s="253"/>
      <c r="Z96" s="6"/>
      <c r="AA96" s="6"/>
      <c r="AB96" s="6"/>
      <c r="AC96" s="6"/>
      <c r="AD96" s="6"/>
      <c r="AE96" s="6"/>
      <c r="AF96" s="6"/>
      <c r="AG96" s="6"/>
    </row>
    <row r="97" spans="1:33" s="5" customFormat="1" ht="18.600000000000001" customHeight="1">
      <c r="A97" s="1337" t="s">
        <v>810</v>
      </c>
      <c r="B97" s="1338"/>
      <c r="C97" s="1338"/>
      <c r="D97" s="1338"/>
      <c r="E97" s="250">
        <f>+'[3]EJEMPLO BLOQUE 13'!$L$2</f>
        <v>128000</v>
      </c>
      <c r="F97" s="253"/>
      <c r="Z97" s="6"/>
      <c r="AA97" s="6"/>
      <c r="AB97" s="6"/>
      <c r="AC97" s="6"/>
      <c r="AD97" s="6"/>
      <c r="AE97" s="6"/>
      <c r="AF97" s="6"/>
      <c r="AG97" s="6"/>
    </row>
    <row r="98" spans="1:33" s="5" customFormat="1" ht="18.600000000000001" customHeight="1">
      <c r="A98" s="1337" t="s">
        <v>1116</v>
      </c>
      <c r="B98" s="1338"/>
      <c r="C98" s="1338"/>
      <c r="D98" s="1338"/>
      <c r="E98" s="250">
        <v>-159720</v>
      </c>
      <c r="F98" s="253"/>
      <c r="Z98" s="6"/>
      <c r="AA98" s="6"/>
      <c r="AB98" s="6"/>
      <c r="AC98" s="6"/>
      <c r="AD98" s="6"/>
      <c r="AE98" s="6"/>
      <c r="AF98" s="6"/>
      <c r="AG98" s="6"/>
    </row>
    <row r="99" spans="1:33" s="20" customFormat="1" ht="16.5" thickBot="1">
      <c r="A99" s="353" t="s">
        <v>287</v>
      </c>
      <c r="B99" s="354"/>
      <c r="C99" s="355"/>
      <c r="D99" s="131"/>
      <c r="E99" s="1360">
        <f>SUM(E89:E98)</f>
        <v>48256522.952</v>
      </c>
      <c r="F99" s="963">
        <f>-E85-E86-E89-E92-E90-E91-E93-E94-E95-E96-E97-E98</f>
        <v>2319273.048</v>
      </c>
      <c r="G99" s="5">
        <f>+E85+E86</f>
        <v>-50575796</v>
      </c>
      <c r="H99" s="5">
        <f>+G99*-1</f>
        <v>50575796</v>
      </c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</row>
    <row r="100" spans="1:33" s="20" customFormat="1" ht="15.75">
      <c r="A100" s="6"/>
      <c r="B100" s="6"/>
      <c r="C100" s="16"/>
      <c r="D100" s="17"/>
      <c r="E100" s="21"/>
      <c r="F100" s="19"/>
      <c r="G100" s="5"/>
      <c r="H100" s="5">
        <f>+SUM(E89:E97)</f>
        <v>48416242.952</v>
      </c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</row>
    <row r="101" spans="1:33" s="20" customFormat="1" ht="15.75">
      <c r="A101" s="6"/>
      <c r="B101" s="6"/>
      <c r="C101" s="16"/>
      <c r="D101" s="17"/>
      <c r="E101" s="22"/>
      <c r="F101" s="19"/>
      <c r="G101" s="5"/>
      <c r="H101" s="5">
        <f>+H99-H100</f>
        <v>2159553.0480000004</v>
      </c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</row>
    <row r="102" spans="1:33" s="20" customFormat="1" ht="15.75">
      <c r="A102" s="6"/>
      <c r="B102" s="6"/>
      <c r="C102" s="16"/>
      <c r="D102" s="17"/>
      <c r="E102" s="22"/>
      <c r="F102" s="19"/>
      <c r="G102" s="5"/>
      <c r="H102" s="5">
        <v>159720</v>
      </c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</row>
    <row r="103" spans="1:33" s="5" customFormat="1" ht="16.5" thickBot="1">
      <c r="A103" s="23"/>
      <c r="B103" s="24"/>
      <c r="C103" s="25"/>
      <c r="D103" s="131"/>
      <c r="E103" s="132"/>
      <c r="F103" s="133"/>
      <c r="H103" s="5">
        <f>+H101+H102</f>
        <v>2319273.0480000004</v>
      </c>
    </row>
    <row r="104" spans="1:33" s="5" customFormat="1" ht="15" customHeight="1">
      <c r="A104" s="1336" t="s">
        <v>135</v>
      </c>
      <c r="B104" s="1336"/>
      <c r="C104" s="1"/>
      <c r="D104" s="1336" t="s">
        <v>517</v>
      </c>
      <c r="E104" s="1336"/>
      <c r="F104" s="129"/>
    </row>
    <row r="105" spans="1:33" s="5" customFormat="1" ht="14.45" customHeight="1">
      <c r="A105" s="1332" t="s">
        <v>145</v>
      </c>
      <c r="B105" s="1332"/>
      <c r="C105" s="2"/>
      <c r="D105" s="1332" t="s">
        <v>519</v>
      </c>
      <c r="E105" s="1332"/>
      <c r="F105" s="130"/>
    </row>
    <row r="106" spans="1:33" s="5" customFormat="1" ht="15.75" customHeight="1">
      <c r="A106" s="1332" t="s">
        <v>48</v>
      </c>
      <c r="B106" s="1332"/>
      <c r="C106" s="2"/>
      <c r="D106" s="1332" t="s">
        <v>48</v>
      </c>
      <c r="E106" s="1332"/>
      <c r="F106" s="130"/>
    </row>
    <row r="107" spans="1:33" s="20" customFormat="1" ht="15.75" customHeight="1">
      <c r="A107" s="6"/>
      <c r="B107" s="6"/>
      <c r="C107" s="16"/>
      <c r="D107" s="1335" t="s">
        <v>518</v>
      </c>
      <c r="E107" s="1335"/>
      <c r="F107" s="130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</row>
    <row r="108" spans="1:33" s="20" customFormat="1" ht="15.75">
      <c r="A108" s="6"/>
      <c r="B108" s="6"/>
      <c r="C108" s="16"/>
      <c r="D108" s="17"/>
      <c r="E108" s="22"/>
      <c r="F108" s="19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</row>
    <row r="109" spans="1:33" s="20" customFormat="1" ht="15.75">
      <c r="A109" s="6"/>
      <c r="B109" s="6"/>
      <c r="C109" s="16"/>
      <c r="D109" s="17"/>
      <c r="E109" s="22"/>
      <c r="F109" s="19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</row>
    <row r="110" spans="1:33" s="20" customFormat="1" ht="15.75">
      <c r="A110" s="27"/>
      <c r="B110" s="27"/>
      <c r="C110" s="27"/>
      <c r="D110" s="27"/>
      <c r="E110" s="27"/>
      <c r="F110" s="19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</row>
    <row r="111" spans="1:33" s="5" customFormat="1" ht="15.75">
      <c r="A111" s="27"/>
      <c r="B111" s="27"/>
      <c r="C111" s="27"/>
      <c r="D111" s="27"/>
      <c r="E111" s="27"/>
      <c r="F111" s="26"/>
    </row>
    <row r="112" spans="1:33" s="5" customFormat="1" ht="15" customHeight="1">
      <c r="A112" s="27"/>
      <c r="B112" s="27"/>
      <c r="C112" s="27"/>
      <c r="D112" s="27"/>
      <c r="E112" s="27"/>
      <c r="F112" s="26"/>
    </row>
    <row r="113" spans="1:25" s="5" customFormat="1" ht="14.45" customHeight="1">
      <c r="A113" s="27"/>
      <c r="B113" s="27"/>
      <c r="C113" s="27"/>
      <c r="D113" s="27"/>
      <c r="E113" s="27"/>
      <c r="F113" s="26"/>
    </row>
    <row r="114" spans="1:25" s="5" customFormat="1" ht="14.45" customHeight="1">
      <c r="A114" s="27"/>
      <c r="B114" s="27"/>
      <c r="C114" s="27"/>
      <c r="D114" s="27"/>
      <c r="E114" s="27"/>
      <c r="F114" s="26"/>
    </row>
    <row r="115" spans="1:25" s="20" customFormat="1" ht="15.75">
      <c r="A115" s="27"/>
      <c r="B115" s="27"/>
      <c r="C115" s="27"/>
      <c r="D115" s="27"/>
      <c r="E115" s="27"/>
      <c r="F115" s="19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</row>
    <row r="116" spans="1:25" s="20" customFormat="1" ht="15.75">
      <c r="A116" s="6"/>
      <c r="B116" s="6"/>
      <c r="C116" s="16"/>
      <c r="D116" s="17"/>
      <c r="E116" s="6"/>
      <c r="F116" s="19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</row>
    <row r="117" spans="1:25" s="20" customFormat="1" ht="15.75">
      <c r="A117" s="6"/>
      <c r="B117" s="6"/>
      <c r="C117" s="16"/>
      <c r="D117" s="17"/>
      <c r="E117" s="6"/>
      <c r="F117" s="19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</row>
    <row r="118" spans="1:25" s="20" customFormat="1" ht="15.75">
      <c r="A118" s="6"/>
      <c r="B118" s="6"/>
      <c r="C118" s="16"/>
      <c r="D118" s="17"/>
      <c r="E118" s="6"/>
      <c r="F118" s="19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</row>
    <row r="119" spans="1:25" s="20" customFormat="1" ht="15.75">
      <c r="A119" s="6"/>
      <c r="B119" s="6"/>
      <c r="C119" s="16"/>
      <c r="D119" s="17"/>
      <c r="E119" s="6"/>
      <c r="F119" s="19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</row>
    <row r="120" spans="1:25" s="20" customFormat="1" ht="15.75">
      <c r="A120" s="6"/>
      <c r="B120" s="6"/>
      <c r="C120" s="16"/>
      <c r="D120" s="17"/>
      <c r="E120" s="6"/>
      <c r="F120" s="19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</row>
    <row r="121" spans="1:25" s="20" customFormat="1" ht="15.75">
      <c r="A121" s="6"/>
      <c r="B121" s="6"/>
      <c r="C121" s="16"/>
      <c r="D121" s="17"/>
      <c r="E121" s="6"/>
      <c r="F121" s="19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</row>
    <row r="122" spans="1:25" s="20" customFormat="1" ht="15.75">
      <c r="A122" s="6"/>
      <c r="B122" s="6"/>
      <c r="C122" s="16"/>
      <c r="D122" s="17"/>
      <c r="E122" s="6"/>
      <c r="F122" s="19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</row>
    <row r="123" spans="1:25" s="20" customFormat="1" ht="15.75">
      <c r="A123" s="6"/>
      <c r="B123" s="6"/>
      <c r="C123" s="16"/>
      <c r="D123" s="17"/>
      <c r="E123" s="6"/>
      <c r="F123" s="19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</row>
    <row r="124" spans="1:25" s="20" customFormat="1" ht="15.75">
      <c r="A124" s="6"/>
      <c r="B124" s="6"/>
      <c r="C124" s="16"/>
      <c r="D124" s="17"/>
      <c r="E124" s="6"/>
      <c r="F124" s="19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</row>
    <row r="125" spans="1:25" s="20" customFormat="1" ht="15.75">
      <c r="A125" s="6"/>
      <c r="B125" s="6"/>
      <c r="C125" s="16"/>
      <c r="D125" s="17"/>
      <c r="E125" s="6"/>
      <c r="F125" s="19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</row>
    <row r="126" spans="1:25" s="20" customFormat="1" ht="15.75">
      <c r="A126" s="6"/>
      <c r="B126" s="6"/>
      <c r="C126" s="16"/>
      <c r="D126" s="17"/>
      <c r="E126" s="6"/>
      <c r="F126" s="19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</row>
    <row r="127" spans="1:25" s="20" customFormat="1" ht="15.75">
      <c r="A127" s="6"/>
      <c r="B127" s="6"/>
      <c r="C127" s="16"/>
      <c r="D127" s="17"/>
      <c r="E127" s="6"/>
      <c r="F127" s="19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</row>
    <row r="128" spans="1:25" s="20" customFormat="1" ht="15.75">
      <c r="A128" s="6"/>
      <c r="B128" s="6"/>
      <c r="C128" s="16"/>
      <c r="D128" s="17"/>
      <c r="E128" s="6"/>
      <c r="F128" s="19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</row>
    <row r="129" spans="1:25" s="20" customFormat="1" ht="15.75">
      <c r="A129" s="6"/>
      <c r="B129" s="6"/>
      <c r="C129" s="16"/>
      <c r="D129" s="17"/>
      <c r="E129" s="6"/>
      <c r="F129" s="19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</row>
    <row r="130" spans="1:25" s="20" customFormat="1" ht="15.75">
      <c r="A130" s="6"/>
      <c r="B130" s="6"/>
      <c r="C130" s="16"/>
      <c r="D130" s="17"/>
      <c r="E130" s="6"/>
      <c r="F130" s="19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</row>
    <row r="131" spans="1:25" s="20" customFormat="1" ht="15.75">
      <c r="A131" s="6"/>
      <c r="B131" s="6"/>
      <c r="C131" s="16"/>
      <c r="D131" s="17"/>
      <c r="E131" s="6"/>
      <c r="F131" s="19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</row>
    <row r="132" spans="1:25" s="20" customFormat="1" ht="15.75">
      <c r="A132" s="6"/>
      <c r="B132" s="6"/>
      <c r="C132" s="16"/>
      <c r="D132" s="17"/>
      <c r="E132" s="6"/>
      <c r="F132" s="19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</row>
    <row r="133" spans="1:25" s="20" customFormat="1" ht="15.75">
      <c r="A133" s="6"/>
      <c r="B133" s="6"/>
      <c r="C133" s="16"/>
      <c r="D133" s="17"/>
      <c r="E133" s="6"/>
      <c r="F133" s="19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</row>
    <row r="134" spans="1:25" s="20" customFormat="1" ht="15.75">
      <c r="A134" s="6"/>
      <c r="B134" s="6"/>
      <c r="C134" s="16"/>
      <c r="D134" s="17"/>
      <c r="E134" s="6"/>
      <c r="F134" s="19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</row>
    <row r="135" spans="1:25" s="20" customFormat="1" ht="89.25" customHeight="1">
      <c r="A135" s="6"/>
      <c r="B135" s="6"/>
      <c r="C135" s="16"/>
      <c r="D135" s="17"/>
      <c r="E135" s="6"/>
      <c r="F135" s="19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</row>
    <row r="136" spans="1:25" s="20" customFormat="1" ht="89.25" customHeight="1">
      <c r="A136" s="6"/>
      <c r="B136" s="6"/>
      <c r="C136" s="16"/>
      <c r="D136" s="17"/>
      <c r="E136" s="6"/>
      <c r="F136" s="19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</row>
    <row r="137" spans="1:25" s="20" customFormat="1" ht="89.25" customHeight="1">
      <c r="A137" s="6"/>
      <c r="B137" s="6"/>
      <c r="C137" s="16"/>
      <c r="D137" s="17"/>
      <c r="E137" s="6"/>
      <c r="F137" s="19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</row>
    <row r="138" spans="1:25" s="20" customFormat="1" ht="89.25" customHeight="1">
      <c r="A138" s="6"/>
      <c r="B138" s="6"/>
      <c r="C138" s="16"/>
      <c r="D138" s="17"/>
      <c r="E138" s="6"/>
      <c r="F138" s="19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</row>
    <row r="139" spans="1:25" s="20" customFormat="1" ht="89.25" customHeight="1">
      <c r="A139" s="6"/>
      <c r="B139" s="6"/>
      <c r="C139" s="16"/>
      <c r="D139" s="17"/>
      <c r="E139" s="6"/>
      <c r="F139" s="19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</row>
    <row r="140" spans="1:25" s="20" customFormat="1" ht="89.25" customHeight="1">
      <c r="A140" s="6"/>
      <c r="B140" s="6"/>
      <c r="C140" s="16"/>
      <c r="D140" s="17"/>
      <c r="E140" s="6"/>
      <c r="F140" s="19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</row>
    <row r="141" spans="1:25" s="20" customFormat="1" ht="89.25" customHeight="1">
      <c r="A141" s="6"/>
      <c r="B141" s="6"/>
      <c r="C141" s="16"/>
      <c r="D141" s="17"/>
      <c r="E141" s="6"/>
      <c r="F141" s="19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</row>
    <row r="142" spans="1:25" s="20" customFormat="1" ht="89.25" customHeight="1">
      <c r="A142" s="6"/>
      <c r="B142" s="6"/>
      <c r="C142" s="16"/>
      <c r="D142" s="17"/>
      <c r="E142" s="6"/>
      <c r="F142" s="19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</row>
    <row r="143" spans="1:25" s="20" customFormat="1" ht="89.25" customHeight="1">
      <c r="A143" s="6"/>
      <c r="B143" s="6"/>
      <c r="C143" s="16"/>
      <c r="D143" s="17"/>
      <c r="E143" s="6"/>
      <c r="F143" s="19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</row>
    <row r="144" spans="1:25" s="20" customFormat="1" ht="89.25" customHeight="1">
      <c r="A144" s="6"/>
      <c r="B144" s="6"/>
      <c r="C144" s="16"/>
      <c r="D144" s="17"/>
      <c r="E144" s="6"/>
      <c r="F144" s="19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</row>
    <row r="145" spans="1:25" s="20" customFormat="1" ht="89.25" customHeight="1">
      <c r="A145" s="6"/>
      <c r="B145" s="6"/>
      <c r="C145" s="16"/>
      <c r="D145" s="17"/>
      <c r="E145" s="6"/>
      <c r="F145" s="19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</row>
    <row r="146" spans="1:25" s="20" customFormat="1" ht="89.25" customHeight="1">
      <c r="A146" s="6"/>
      <c r="B146" s="6"/>
      <c r="C146" s="16"/>
      <c r="D146" s="17"/>
      <c r="E146" s="6"/>
      <c r="F146" s="19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</row>
    <row r="147" spans="1:25" s="20" customFormat="1" ht="89.25" customHeight="1">
      <c r="A147" s="6"/>
      <c r="B147" s="6"/>
      <c r="C147" s="16"/>
      <c r="D147" s="17"/>
      <c r="E147" s="6"/>
      <c r="F147" s="19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</row>
    <row r="148" spans="1:25" s="20" customFormat="1" ht="89.25" customHeight="1">
      <c r="A148" s="6"/>
      <c r="B148" s="6"/>
      <c r="C148" s="16"/>
      <c r="D148" s="17"/>
      <c r="E148" s="6"/>
      <c r="F148" s="19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</row>
    <row r="149" spans="1:25" s="20" customFormat="1" ht="89.25" customHeight="1">
      <c r="A149" s="6"/>
      <c r="B149" s="6"/>
      <c r="C149" s="16"/>
      <c r="D149" s="17"/>
      <c r="E149" s="6"/>
      <c r="F149" s="19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</row>
    <row r="150" spans="1:25" s="20" customFormat="1" ht="89.25" customHeight="1">
      <c r="A150" s="6"/>
      <c r="B150" s="6"/>
      <c r="C150" s="16"/>
      <c r="D150" s="17"/>
      <c r="E150" s="6"/>
      <c r="F150" s="19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</row>
    <row r="151" spans="1:25" s="20" customFormat="1" ht="89.25" customHeight="1">
      <c r="A151" s="6"/>
      <c r="B151" s="6"/>
      <c r="C151" s="16"/>
      <c r="D151" s="17"/>
      <c r="E151" s="6"/>
      <c r="F151" s="19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</row>
    <row r="152" spans="1:25" s="20" customFormat="1" ht="89.25" customHeight="1">
      <c r="A152" s="6"/>
      <c r="B152" s="6"/>
      <c r="C152" s="16"/>
      <c r="D152" s="17"/>
      <c r="E152" s="6"/>
      <c r="F152" s="19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</row>
    <row r="153" spans="1:25" s="20" customFormat="1" ht="89.25" customHeight="1">
      <c r="A153" s="6"/>
      <c r="B153" s="6"/>
      <c r="C153" s="16"/>
      <c r="D153" s="17"/>
      <c r="E153" s="6"/>
      <c r="F153" s="19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</row>
    <row r="154" spans="1:25" s="20" customFormat="1" ht="89.25" customHeight="1">
      <c r="A154" s="6"/>
      <c r="B154" s="6"/>
      <c r="C154" s="16"/>
      <c r="D154" s="17"/>
      <c r="E154" s="6"/>
      <c r="F154" s="19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</row>
    <row r="155" spans="1:25" s="20" customFormat="1" ht="89.25" customHeight="1">
      <c r="A155" s="6"/>
      <c r="B155" s="6"/>
      <c r="C155" s="16"/>
      <c r="D155" s="17"/>
      <c r="E155" s="6"/>
      <c r="F155" s="19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</row>
    <row r="156" spans="1:25" s="20" customFormat="1" ht="89.25" customHeight="1">
      <c r="A156" s="6"/>
      <c r="B156" s="6"/>
      <c r="C156" s="16"/>
      <c r="D156" s="17"/>
      <c r="E156" s="6"/>
      <c r="F156" s="19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</row>
    <row r="157" spans="1:25" s="20" customFormat="1" ht="89.25" customHeight="1">
      <c r="A157" s="6"/>
      <c r="B157" s="6"/>
      <c r="C157" s="16"/>
      <c r="D157" s="17"/>
      <c r="E157" s="6"/>
      <c r="F157" s="19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</row>
    <row r="158" spans="1:25" s="20" customFormat="1" ht="89.25" customHeight="1">
      <c r="A158" s="6"/>
      <c r="B158" s="6"/>
      <c r="C158" s="16"/>
      <c r="D158" s="17"/>
      <c r="E158" s="6"/>
      <c r="F158" s="19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</row>
    <row r="159" spans="1:25" s="20" customFormat="1" ht="89.25" customHeight="1">
      <c r="A159" s="6"/>
      <c r="B159" s="6"/>
      <c r="C159" s="16"/>
      <c r="D159" s="17"/>
      <c r="E159" s="6"/>
      <c r="F159" s="19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</row>
    <row r="160" spans="1:25" s="20" customFormat="1" ht="89.25" customHeight="1">
      <c r="A160" s="6"/>
      <c r="B160" s="6"/>
      <c r="C160" s="16"/>
      <c r="D160" s="17"/>
      <c r="E160" s="6"/>
      <c r="F160" s="19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</row>
    <row r="161" spans="1:25" s="20" customFormat="1" ht="89.25" customHeight="1">
      <c r="A161" s="6"/>
      <c r="B161" s="6"/>
      <c r="C161" s="16"/>
      <c r="D161" s="17"/>
      <c r="E161" s="6"/>
      <c r="F161" s="19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</row>
    <row r="162" spans="1:25" s="20" customFormat="1" ht="89.25" customHeight="1">
      <c r="A162" s="6"/>
      <c r="B162" s="6"/>
      <c r="C162" s="16"/>
      <c r="D162" s="17"/>
      <c r="E162" s="6"/>
      <c r="F162" s="19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</row>
    <row r="163" spans="1:25" s="20" customFormat="1" ht="89.25" customHeight="1">
      <c r="A163" s="6"/>
      <c r="B163" s="6"/>
      <c r="C163" s="16"/>
      <c r="D163" s="17"/>
      <c r="E163" s="6"/>
      <c r="F163" s="19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</row>
    <row r="164" spans="1:25" s="20" customFormat="1" ht="89.25" customHeight="1">
      <c r="A164" s="6"/>
      <c r="B164" s="6"/>
      <c r="C164" s="16"/>
      <c r="D164" s="17"/>
      <c r="E164" s="6"/>
      <c r="F164" s="19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</row>
    <row r="165" spans="1:25" s="20" customFormat="1" ht="89.25" customHeight="1">
      <c r="A165" s="6"/>
      <c r="B165" s="6"/>
      <c r="C165" s="16"/>
      <c r="D165" s="17"/>
      <c r="E165" s="6"/>
      <c r="F165" s="19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</row>
    <row r="166" spans="1:25" s="20" customFormat="1" ht="89.25" customHeight="1">
      <c r="A166" s="6"/>
      <c r="B166" s="6"/>
      <c r="C166" s="16"/>
      <c r="D166" s="17"/>
      <c r="E166" s="6"/>
      <c r="F166" s="19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</row>
    <row r="167" spans="1:25" s="20" customFormat="1" ht="89.25" customHeight="1">
      <c r="A167" s="6"/>
      <c r="B167" s="6"/>
      <c r="C167" s="16"/>
      <c r="D167" s="17"/>
      <c r="E167" s="6"/>
      <c r="F167" s="19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</row>
    <row r="168" spans="1:25" s="20" customFormat="1" ht="89.25" customHeight="1">
      <c r="A168" s="6"/>
      <c r="B168" s="6"/>
      <c r="C168" s="16"/>
      <c r="D168" s="17"/>
      <c r="E168" s="6"/>
      <c r="F168" s="19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</row>
    <row r="169" spans="1:25" s="20" customFormat="1" ht="89.25" customHeight="1">
      <c r="A169" s="6"/>
      <c r="B169" s="6"/>
      <c r="C169" s="16"/>
      <c r="D169" s="17"/>
      <c r="E169" s="6"/>
      <c r="F169" s="19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</row>
    <row r="170" spans="1:25" s="20" customFormat="1" ht="89.25" customHeight="1">
      <c r="A170" s="6"/>
      <c r="B170" s="6"/>
      <c r="C170" s="16"/>
      <c r="D170" s="17"/>
      <c r="E170" s="6"/>
      <c r="F170" s="19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</row>
    <row r="171" spans="1:25" s="20" customFormat="1" ht="89.25" customHeight="1">
      <c r="A171" s="6"/>
      <c r="B171" s="6"/>
      <c r="C171" s="16"/>
      <c r="D171" s="17"/>
      <c r="E171" s="6"/>
      <c r="F171" s="19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</row>
    <row r="172" spans="1:25" s="20" customFormat="1" ht="89.25" customHeight="1">
      <c r="A172" s="6"/>
      <c r="B172" s="6"/>
      <c r="C172" s="16"/>
      <c r="D172" s="17"/>
      <c r="E172" s="6"/>
      <c r="F172" s="19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</row>
    <row r="173" spans="1:25" s="20" customFormat="1" ht="89.25" customHeight="1">
      <c r="A173" s="6"/>
      <c r="B173" s="6"/>
      <c r="C173" s="16"/>
      <c r="D173" s="17"/>
      <c r="E173" s="6"/>
      <c r="F173" s="19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</row>
    <row r="174" spans="1:25" s="20" customFormat="1" ht="89.25" customHeight="1">
      <c r="A174" s="6"/>
      <c r="B174" s="6"/>
      <c r="C174" s="16"/>
      <c r="D174" s="17"/>
      <c r="E174" s="6"/>
      <c r="F174" s="19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</row>
    <row r="175" spans="1:25" s="20" customFormat="1" ht="89.25" customHeight="1">
      <c r="A175" s="6"/>
      <c r="B175" s="6"/>
      <c r="C175" s="16"/>
      <c r="D175" s="17"/>
      <c r="E175" s="6"/>
      <c r="F175" s="19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</row>
    <row r="176" spans="1:25" s="20" customFormat="1" ht="89.25" customHeight="1">
      <c r="A176" s="6"/>
      <c r="B176" s="6"/>
      <c r="C176" s="16"/>
      <c r="D176" s="17"/>
      <c r="E176" s="6"/>
      <c r="F176" s="19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</row>
    <row r="177" spans="1:25" s="20" customFormat="1" ht="89.25" customHeight="1">
      <c r="A177" s="6"/>
      <c r="B177" s="6"/>
      <c r="C177" s="16"/>
      <c r="D177" s="17"/>
      <c r="E177" s="6"/>
      <c r="F177" s="19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</row>
    <row r="178" spans="1:25" s="20" customFormat="1" ht="89.25" customHeight="1">
      <c r="A178" s="6"/>
      <c r="B178" s="6"/>
      <c r="C178" s="16"/>
      <c r="D178" s="17"/>
      <c r="E178" s="6"/>
      <c r="F178" s="19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</row>
    <row r="179" spans="1:25" s="20" customFormat="1" ht="89.25" customHeight="1">
      <c r="A179" s="6"/>
      <c r="B179" s="6"/>
      <c r="C179" s="16"/>
      <c r="D179" s="17"/>
      <c r="E179" s="6"/>
      <c r="F179" s="19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</row>
    <row r="180" spans="1:25" s="20" customFormat="1" ht="89.25" customHeight="1">
      <c r="A180" s="6"/>
      <c r="B180" s="6"/>
      <c r="C180" s="16"/>
      <c r="D180" s="17"/>
      <c r="E180" s="6"/>
      <c r="F180" s="19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</row>
    <row r="181" spans="1:25" s="20" customFormat="1" ht="89.25" customHeight="1">
      <c r="A181" s="6"/>
      <c r="B181" s="6"/>
      <c r="C181" s="16"/>
      <c r="D181" s="17"/>
      <c r="E181" s="6"/>
      <c r="F181" s="19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</row>
    <row r="182" spans="1:25" s="20" customFormat="1" ht="89.25" customHeight="1">
      <c r="A182" s="6"/>
      <c r="B182" s="6"/>
      <c r="C182" s="16"/>
      <c r="D182" s="17"/>
      <c r="E182" s="6"/>
      <c r="F182" s="19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</row>
    <row r="183" spans="1:25" s="20" customFormat="1" ht="89.25" customHeight="1">
      <c r="A183" s="6"/>
      <c r="B183" s="6"/>
      <c r="C183" s="16"/>
      <c r="D183" s="17"/>
      <c r="E183" s="6"/>
      <c r="F183" s="19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</row>
    <row r="184" spans="1:25" s="20" customFormat="1" ht="89.25" customHeight="1">
      <c r="A184" s="6"/>
      <c r="B184" s="6"/>
      <c r="C184" s="16"/>
      <c r="D184" s="17"/>
      <c r="E184" s="6"/>
      <c r="F184" s="19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</row>
    <row r="185" spans="1:25" s="20" customFormat="1" ht="89.25" customHeight="1">
      <c r="A185" s="6"/>
      <c r="B185" s="6"/>
      <c r="C185" s="16"/>
      <c r="D185" s="17"/>
      <c r="E185" s="6"/>
      <c r="F185" s="19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</row>
    <row r="186" spans="1:25" s="20" customFormat="1" ht="89.25" customHeight="1">
      <c r="A186" s="6"/>
      <c r="B186" s="6"/>
      <c r="C186" s="16"/>
      <c r="D186" s="17"/>
      <c r="E186" s="6"/>
      <c r="F186" s="19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</row>
    <row r="187" spans="1:25" s="20" customFormat="1" ht="89.25" customHeight="1">
      <c r="A187" s="6"/>
      <c r="B187" s="6"/>
      <c r="C187" s="16"/>
      <c r="D187" s="17"/>
      <c r="E187" s="6"/>
      <c r="F187" s="19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</row>
    <row r="188" spans="1:25" s="20" customFormat="1" ht="89.25" customHeight="1">
      <c r="A188" s="6"/>
      <c r="B188" s="6"/>
      <c r="C188" s="16"/>
      <c r="D188" s="17"/>
      <c r="E188" s="6"/>
      <c r="F188" s="19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</row>
    <row r="189" spans="1:25" s="20" customFormat="1" ht="89.25" customHeight="1">
      <c r="A189" s="6"/>
      <c r="B189" s="6"/>
      <c r="C189" s="16"/>
      <c r="D189" s="17"/>
      <c r="E189" s="6"/>
      <c r="F189" s="19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</row>
    <row r="190" spans="1:25" s="20" customFormat="1" ht="89.25" customHeight="1">
      <c r="A190" s="6"/>
      <c r="B190" s="6"/>
      <c r="C190" s="16"/>
      <c r="D190" s="17"/>
      <c r="E190" s="6"/>
      <c r="F190" s="19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</row>
    <row r="191" spans="1:25" s="20" customFormat="1" ht="89.25" customHeight="1">
      <c r="A191" s="6"/>
      <c r="B191" s="6"/>
      <c r="C191" s="16"/>
      <c r="D191" s="17"/>
      <c r="E191" s="6"/>
      <c r="F191" s="19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</row>
    <row r="192" spans="1:25" s="20" customFormat="1" ht="89.25" customHeight="1">
      <c r="A192" s="6"/>
      <c r="B192" s="6"/>
      <c r="C192" s="16"/>
      <c r="D192" s="17"/>
      <c r="E192" s="6"/>
      <c r="F192" s="19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</row>
    <row r="193" spans="1:25" s="20" customFormat="1" ht="89.25" customHeight="1">
      <c r="A193" s="6"/>
      <c r="B193" s="6"/>
      <c r="C193" s="16"/>
      <c r="D193" s="17"/>
      <c r="E193" s="6"/>
      <c r="F193" s="19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</row>
    <row r="194" spans="1:25" s="20" customFormat="1" ht="89.25" customHeight="1">
      <c r="A194" s="6"/>
      <c r="B194" s="6"/>
      <c r="C194" s="16"/>
      <c r="D194" s="17"/>
      <c r="E194" s="6"/>
      <c r="F194" s="19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</row>
    <row r="195" spans="1:25" s="20" customFormat="1" ht="89.25" customHeight="1">
      <c r="A195" s="6"/>
      <c r="B195" s="6"/>
      <c r="C195" s="16"/>
      <c r="D195" s="17"/>
      <c r="E195" s="6"/>
      <c r="F195" s="19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</row>
    <row r="196" spans="1:25" s="20" customFormat="1" ht="89.25" customHeight="1">
      <c r="A196" s="6"/>
      <c r="B196" s="6"/>
      <c r="C196" s="16"/>
      <c r="D196" s="17"/>
      <c r="E196" s="6"/>
      <c r="F196" s="19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</row>
    <row r="197" spans="1:25" s="20" customFormat="1" ht="89.25" customHeight="1">
      <c r="A197" s="6"/>
      <c r="B197" s="6"/>
      <c r="C197" s="16"/>
      <c r="D197" s="17"/>
      <c r="E197" s="6"/>
      <c r="F197" s="19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</row>
    <row r="198" spans="1:25" s="20" customFormat="1" ht="89.25" customHeight="1">
      <c r="A198" s="6"/>
      <c r="B198" s="6"/>
      <c r="C198" s="16"/>
      <c r="D198" s="17"/>
      <c r="E198" s="6"/>
      <c r="F198" s="19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</row>
    <row r="199" spans="1:25" s="20" customFormat="1" ht="89.25" customHeight="1">
      <c r="A199" s="6"/>
      <c r="B199" s="6"/>
      <c r="C199" s="16"/>
      <c r="D199" s="17"/>
      <c r="E199" s="6"/>
      <c r="F199" s="19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</row>
    <row r="200" spans="1:25" s="20" customFormat="1" ht="89.25" customHeight="1">
      <c r="A200" s="6"/>
      <c r="B200" s="6"/>
      <c r="C200" s="16"/>
      <c r="D200" s="17"/>
      <c r="E200" s="6"/>
      <c r="F200" s="19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</row>
    <row r="201" spans="1:25" s="20" customFormat="1" ht="89.25" customHeight="1">
      <c r="A201" s="6"/>
      <c r="B201" s="6"/>
      <c r="C201" s="16"/>
      <c r="D201" s="17"/>
      <c r="E201" s="6"/>
      <c r="F201" s="19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</row>
    <row r="202" spans="1:25" s="20" customFormat="1" ht="89.25" customHeight="1">
      <c r="A202" s="6"/>
      <c r="B202" s="6"/>
      <c r="C202" s="16"/>
      <c r="D202" s="17"/>
      <c r="E202" s="6"/>
      <c r="F202" s="19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</row>
    <row r="203" spans="1:25" s="20" customFormat="1" ht="89.25" customHeight="1">
      <c r="A203" s="6"/>
      <c r="B203" s="6"/>
      <c r="C203" s="16"/>
      <c r="D203" s="17"/>
      <c r="E203" s="6"/>
      <c r="F203" s="19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</row>
    <row r="204" spans="1:25" s="20" customFormat="1" ht="89.25" customHeight="1">
      <c r="A204" s="6"/>
      <c r="B204" s="6"/>
      <c r="C204" s="16"/>
      <c r="D204" s="17"/>
      <c r="E204" s="6"/>
      <c r="F204" s="19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</row>
    <row r="205" spans="1:25" s="20" customFormat="1" ht="89.25" customHeight="1">
      <c r="A205" s="6"/>
      <c r="B205" s="6"/>
      <c r="C205" s="16"/>
      <c r="D205" s="17"/>
      <c r="E205" s="6"/>
      <c r="F205" s="19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</row>
    <row r="206" spans="1:25" s="20" customFormat="1" ht="89.25" customHeight="1">
      <c r="A206" s="6"/>
      <c r="B206" s="6"/>
      <c r="C206" s="16"/>
      <c r="D206" s="17"/>
      <c r="E206" s="6"/>
      <c r="F206" s="19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</row>
    <row r="207" spans="1:25" s="20" customFormat="1" ht="89.25" customHeight="1">
      <c r="A207" s="6"/>
      <c r="B207" s="6"/>
      <c r="C207" s="16"/>
      <c r="D207" s="17"/>
      <c r="E207" s="6"/>
      <c r="F207" s="19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</row>
    <row r="208" spans="1:25" s="20" customFormat="1" ht="89.25" customHeight="1">
      <c r="A208" s="6"/>
      <c r="B208" s="6"/>
      <c r="C208" s="16"/>
      <c r="D208" s="17"/>
      <c r="E208" s="6"/>
      <c r="F208" s="19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</row>
    <row r="209" spans="1:25" s="20" customFormat="1" ht="89.25" customHeight="1">
      <c r="A209" s="6"/>
      <c r="B209" s="6"/>
      <c r="C209" s="16"/>
      <c r="D209" s="17"/>
      <c r="E209" s="6"/>
      <c r="F209" s="19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</row>
    <row r="210" spans="1:25" s="20" customFormat="1" ht="89.25" customHeight="1">
      <c r="A210" s="6"/>
      <c r="B210" s="6"/>
      <c r="C210" s="16"/>
      <c r="D210" s="17"/>
      <c r="E210" s="6"/>
      <c r="F210" s="19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</row>
    <row r="211" spans="1:25" s="20" customFormat="1" ht="89.25" customHeight="1">
      <c r="A211" s="6"/>
      <c r="B211" s="6"/>
      <c r="C211" s="16"/>
      <c r="D211" s="17"/>
      <c r="E211" s="6"/>
      <c r="F211" s="19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</row>
    <row r="212" spans="1:25" s="20" customFormat="1" ht="89.25" customHeight="1">
      <c r="A212" s="6"/>
      <c r="B212" s="6"/>
      <c r="C212" s="16"/>
      <c r="D212" s="17"/>
      <c r="E212" s="6"/>
      <c r="F212" s="19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</row>
    <row r="213" spans="1:25" s="20" customFormat="1" ht="89.25" customHeight="1">
      <c r="A213" s="6"/>
      <c r="B213" s="6"/>
      <c r="C213" s="16"/>
      <c r="D213" s="17"/>
      <c r="E213" s="6"/>
      <c r="F213" s="19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</row>
    <row r="214" spans="1:25" s="20" customFormat="1" ht="89.25" customHeight="1">
      <c r="A214" s="6"/>
      <c r="B214" s="6"/>
      <c r="C214" s="16"/>
      <c r="D214" s="17"/>
      <c r="E214" s="6"/>
      <c r="F214" s="19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</row>
    <row r="215" spans="1:25" s="20" customFormat="1" ht="89.25" customHeight="1">
      <c r="A215" s="6"/>
      <c r="B215" s="6"/>
      <c r="C215" s="16"/>
      <c r="D215" s="17"/>
      <c r="E215" s="6"/>
      <c r="F215" s="19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</row>
    <row r="216" spans="1:25" s="20" customFormat="1" ht="89.25" customHeight="1">
      <c r="A216" s="6"/>
      <c r="B216" s="6"/>
      <c r="C216" s="16"/>
      <c r="D216" s="17"/>
      <c r="E216" s="6"/>
      <c r="F216" s="19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</row>
    <row r="217" spans="1:25" s="20" customFormat="1" ht="89.25" customHeight="1">
      <c r="A217" s="6"/>
      <c r="B217" s="6"/>
      <c r="C217" s="16"/>
      <c r="D217" s="17"/>
      <c r="E217" s="6"/>
      <c r="F217" s="19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</row>
    <row r="218" spans="1:25" s="20" customFormat="1" ht="89.25" customHeight="1">
      <c r="A218" s="6"/>
      <c r="B218" s="6"/>
      <c r="C218" s="16"/>
      <c r="D218" s="17"/>
      <c r="E218" s="6"/>
      <c r="F218" s="19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</row>
    <row r="219" spans="1:25" s="20" customFormat="1" ht="89.25" customHeight="1">
      <c r="A219" s="6"/>
      <c r="B219" s="6"/>
      <c r="C219" s="16"/>
      <c r="D219" s="17"/>
      <c r="E219" s="6"/>
      <c r="F219" s="19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</row>
    <row r="220" spans="1:25" s="20" customFormat="1" ht="89.25" customHeight="1">
      <c r="A220" s="6"/>
      <c r="B220" s="6"/>
      <c r="C220" s="16"/>
      <c r="D220" s="17"/>
      <c r="E220" s="6"/>
      <c r="F220" s="19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</row>
    <row r="221" spans="1:25" s="20" customFormat="1" ht="89.25" customHeight="1">
      <c r="A221" s="6"/>
      <c r="B221" s="6"/>
      <c r="C221" s="16"/>
      <c r="D221" s="17"/>
      <c r="E221" s="6"/>
      <c r="F221" s="19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</row>
    <row r="222" spans="1:25" s="20" customFormat="1" ht="89.25" customHeight="1">
      <c r="A222" s="6"/>
      <c r="B222" s="6"/>
      <c r="C222" s="16"/>
      <c r="D222" s="17"/>
      <c r="E222" s="6"/>
      <c r="F222" s="19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</row>
    <row r="223" spans="1:25" s="20" customFormat="1" ht="89.25" customHeight="1">
      <c r="A223" s="6"/>
      <c r="B223" s="6"/>
      <c r="C223" s="16"/>
      <c r="D223" s="17"/>
      <c r="E223" s="6"/>
      <c r="F223" s="19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</row>
    <row r="224" spans="1:25" s="20" customFormat="1" ht="89.25" customHeight="1">
      <c r="A224" s="6"/>
      <c r="B224" s="6"/>
      <c r="C224" s="16"/>
      <c r="D224" s="17"/>
      <c r="E224" s="6"/>
      <c r="F224" s="19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</row>
    <row r="225" spans="1:25" s="20" customFormat="1" ht="89.25" customHeight="1">
      <c r="A225" s="6"/>
      <c r="B225" s="6"/>
      <c r="C225" s="16"/>
      <c r="D225" s="17"/>
      <c r="E225" s="6"/>
      <c r="F225" s="19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</row>
    <row r="226" spans="1:25" s="20" customFormat="1" ht="89.25" customHeight="1">
      <c r="A226" s="6"/>
      <c r="B226" s="6"/>
      <c r="C226" s="16"/>
      <c r="D226" s="17"/>
      <c r="E226" s="6"/>
      <c r="F226" s="19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</row>
    <row r="227" spans="1:25" s="20" customFormat="1" ht="89.25" customHeight="1">
      <c r="A227" s="6"/>
      <c r="B227" s="6"/>
      <c r="C227" s="16"/>
      <c r="D227" s="17"/>
      <c r="E227" s="6"/>
      <c r="F227" s="19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</row>
    <row r="228" spans="1:25" s="20" customFormat="1" ht="89.25" customHeight="1">
      <c r="A228" s="6"/>
      <c r="B228" s="6"/>
      <c r="C228" s="16"/>
      <c r="D228" s="17"/>
      <c r="E228" s="6"/>
      <c r="F228" s="19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</row>
    <row r="229" spans="1:25" s="20" customFormat="1" ht="89.25" customHeight="1">
      <c r="A229" s="6"/>
      <c r="B229" s="6"/>
      <c r="C229" s="16"/>
      <c r="D229" s="17"/>
      <c r="E229" s="6"/>
      <c r="F229" s="19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</row>
    <row r="230" spans="1:25" s="20" customFormat="1" ht="89.25" customHeight="1">
      <c r="A230" s="6"/>
      <c r="B230" s="6"/>
      <c r="C230" s="16"/>
      <c r="D230" s="17"/>
      <c r="E230" s="6"/>
      <c r="F230" s="19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</row>
    <row r="231" spans="1:25" s="20" customFormat="1" ht="89.25" customHeight="1">
      <c r="A231" s="6"/>
      <c r="B231" s="6"/>
      <c r="C231" s="16"/>
      <c r="D231" s="17"/>
      <c r="E231" s="6"/>
      <c r="F231" s="19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</row>
    <row r="232" spans="1:25" s="20" customFormat="1" ht="89.25" customHeight="1">
      <c r="A232" s="6"/>
      <c r="B232" s="6"/>
      <c r="C232" s="16"/>
      <c r="D232" s="17"/>
      <c r="E232" s="6"/>
      <c r="F232" s="19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</row>
    <row r="233" spans="1:25" s="20" customFormat="1" ht="89.25" customHeight="1">
      <c r="A233" s="6"/>
      <c r="B233" s="6"/>
      <c r="C233" s="16"/>
      <c r="D233" s="17"/>
      <c r="E233" s="6"/>
      <c r="F233" s="19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</row>
    <row r="234" spans="1:25" s="20" customFormat="1" ht="89.25" customHeight="1">
      <c r="A234" s="6"/>
      <c r="B234" s="6"/>
      <c r="C234" s="16"/>
      <c r="D234" s="17"/>
      <c r="E234" s="6"/>
      <c r="F234" s="19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</row>
    <row r="235" spans="1:25" s="20" customFormat="1" ht="89.25" customHeight="1">
      <c r="A235" s="6"/>
      <c r="B235" s="6"/>
      <c r="C235" s="16"/>
      <c r="D235" s="17"/>
      <c r="E235" s="6"/>
      <c r="F235" s="19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</row>
    <row r="236" spans="1:25" s="20" customFormat="1" ht="89.25" customHeight="1">
      <c r="A236" s="6"/>
      <c r="B236" s="6"/>
      <c r="C236" s="16"/>
      <c r="D236" s="17"/>
      <c r="E236" s="6"/>
      <c r="F236" s="19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</row>
    <row r="237" spans="1:25" s="20" customFormat="1" ht="89.25" customHeight="1">
      <c r="A237" s="6"/>
      <c r="B237" s="6"/>
      <c r="C237" s="16"/>
      <c r="D237" s="17"/>
      <c r="E237" s="6"/>
      <c r="F237" s="19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</row>
    <row r="238" spans="1:25" s="20" customFormat="1" ht="89.25" customHeight="1">
      <c r="A238" s="6"/>
      <c r="B238" s="6"/>
      <c r="C238" s="16"/>
      <c r="D238" s="17"/>
      <c r="E238" s="6"/>
      <c r="F238" s="19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</row>
    <row r="239" spans="1:25" s="20" customFormat="1" ht="89.25" customHeight="1">
      <c r="A239" s="6"/>
      <c r="B239" s="6"/>
      <c r="C239" s="16"/>
      <c r="D239" s="17"/>
      <c r="E239" s="6"/>
      <c r="F239" s="19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</row>
    <row r="240" spans="1:25" s="20" customFormat="1" ht="89.25" customHeight="1">
      <c r="A240" s="6"/>
      <c r="B240" s="6"/>
      <c r="C240" s="16"/>
      <c r="D240" s="17"/>
      <c r="E240" s="6"/>
      <c r="F240" s="19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</row>
    <row r="241" spans="1:25" s="20" customFormat="1" ht="89.25" customHeight="1">
      <c r="A241" s="6"/>
      <c r="B241" s="6"/>
      <c r="C241" s="16"/>
      <c r="D241" s="17"/>
      <c r="E241" s="6"/>
      <c r="F241" s="19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</row>
    <row r="242" spans="1:25" s="20" customFormat="1" ht="89.25" customHeight="1">
      <c r="A242" s="6"/>
      <c r="B242" s="6"/>
      <c r="C242" s="16"/>
      <c r="D242" s="17"/>
      <c r="E242" s="6"/>
      <c r="F242" s="19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</row>
    <row r="243" spans="1:25" s="20" customFormat="1" ht="89.25" customHeight="1">
      <c r="A243" s="6"/>
      <c r="B243" s="6"/>
      <c r="C243" s="16"/>
      <c r="D243" s="17"/>
      <c r="E243" s="6"/>
      <c r="F243" s="19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</row>
    <row r="244" spans="1:25" s="20" customFormat="1" ht="89.25" customHeight="1">
      <c r="A244" s="6"/>
      <c r="B244" s="6"/>
      <c r="C244" s="16"/>
      <c r="D244" s="17"/>
      <c r="E244" s="6"/>
      <c r="F244" s="19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</row>
    <row r="245" spans="1:25" s="20" customFormat="1" ht="89.25" customHeight="1">
      <c r="A245" s="6"/>
      <c r="B245" s="6"/>
      <c r="C245" s="16"/>
      <c r="D245" s="17"/>
      <c r="E245" s="6"/>
      <c r="F245" s="19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</row>
    <row r="246" spans="1:25" s="20" customFormat="1" ht="89.25" customHeight="1">
      <c r="A246" s="6"/>
      <c r="B246" s="6"/>
      <c r="C246" s="16"/>
      <c r="D246" s="17"/>
      <c r="E246" s="6"/>
      <c r="F246" s="19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</row>
    <row r="247" spans="1:25" s="20" customFormat="1" ht="89.25" customHeight="1">
      <c r="A247" s="6"/>
      <c r="B247" s="6"/>
      <c r="C247" s="16"/>
      <c r="D247" s="17"/>
      <c r="E247" s="6"/>
      <c r="F247" s="19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</row>
    <row r="248" spans="1:25" s="20" customFormat="1" ht="89.25" customHeight="1">
      <c r="A248" s="6"/>
      <c r="B248" s="6"/>
      <c r="C248" s="16"/>
      <c r="D248" s="17"/>
      <c r="E248" s="6"/>
      <c r="F248" s="19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</row>
    <row r="249" spans="1:25" s="20" customFormat="1" ht="89.25" customHeight="1">
      <c r="A249" s="6"/>
      <c r="B249" s="6"/>
      <c r="C249" s="16"/>
      <c r="D249" s="17"/>
      <c r="E249" s="6"/>
      <c r="F249" s="19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</row>
    <row r="250" spans="1:25" s="20" customFormat="1" ht="89.25" customHeight="1">
      <c r="A250" s="6"/>
      <c r="B250" s="6"/>
      <c r="C250" s="16"/>
      <c r="D250" s="17"/>
      <c r="E250" s="6"/>
      <c r="F250" s="19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</row>
    <row r="251" spans="1:25" s="20" customFormat="1" ht="89.25" customHeight="1">
      <c r="A251" s="6"/>
      <c r="B251" s="6"/>
      <c r="C251" s="16"/>
      <c r="D251" s="17"/>
      <c r="E251" s="6"/>
      <c r="F251" s="19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</row>
    <row r="252" spans="1:25" s="20" customFormat="1" ht="89.25" customHeight="1">
      <c r="A252" s="6"/>
      <c r="B252" s="6"/>
      <c r="C252" s="16"/>
      <c r="D252" s="17"/>
      <c r="E252" s="6"/>
      <c r="F252" s="19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</row>
    <row r="253" spans="1:25" s="20" customFormat="1" ht="89.25" customHeight="1">
      <c r="A253" s="6"/>
      <c r="B253" s="6"/>
      <c r="C253" s="16"/>
      <c r="D253" s="17"/>
      <c r="E253" s="6"/>
      <c r="F253" s="19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</row>
    <row r="254" spans="1:25" s="20" customFormat="1" ht="89.25" customHeight="1">
      <c r="A254" s="6"/>
      <c r="B254" s="6"/>
      <c r="C254" s="16"/>
      <c r="D254" s="17"/>
      <c r="E254" s="6"/>
      <c r="F254" s="19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</row>
    <row r="255" spans="1:25" s="20" customFormat="1" ht="89.25" customHeight="1">
      <c r="A255" s="6"/>
      <c r="B255" s="6"/>
      <c r="C255" s="16"/>
      <c r="D255" s="17"/>
      <c r="E255" s="6"/>
      <c r="F255" s="19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</row>
    <row r="256" spans="1:25" s="20" customFormat="1" ht="89.25" customHeight="1">
      <c r="A256" s="6"/>
      <c r="B256" s="6"/>
      <c r="C256" s="16"/>
      <c r="D256" s="17"/>
      <c r="E256" s="6"/>
      <c r="F256" s="19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</row>
    <row r="257" spans="1:25" s="20" customFormat="1" ht="89.25" customHeight="1">
      <c r="A257" s="6"/>
      <c r="B257" s="6"/>
      <c r="C257" s="16"/>
      <c r="D257" s="17"/>
      <c r="E257" s="6"/>
      <c r="F257" s="19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</row>
    <row r="258" spans="1:25" s="20" customFormat="1" ht="89.25" customHeight="1">
      <c r="A258" s="6"/>
      <c r="B258" s="6"/>
      <c r="C258" s="16"/>
      <c r="D258" s="17"/>
      <c r="E258" s="6"/>
      <c r="F258" s="19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</row>
    <row r="259" spans="1:25" s="20" customFormat="1" ht="89.25" customHeight="1">
      <c r="A259" s="6"/>
      <c r="B259" s="6"/>
      <c r="C259" s="16"/>
      <c r="D259" s="17"/>
      <c r="E259" s="6"/>
      <c r="F259" s="19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</row>
    <row r="260" spans="1:25" s="20" customFormat="1" ht="89.25" customHeight="1">
      <c r="A260" s="6"/>
      <c r="B260" s="6"/>
      <c r="C260" s="16"/>
      <c r="D260" s="17"/>
      <c r="E260" s="6"/>
      <c r="F260" s="19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</row>
    <row r="261" spans="1:25" s="20" customFormat="1" ht="89.25" customHeight="1">
      <c r="A261" s="6"/>
      <c r="B261" s="6"/>
      <c r="C261" s="16"/>
      <c r="D261" s="17"/>
      <c r="E261" s="6"/>
      <c r="F261" s="19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</row>
    <row r="262" spans="1:25" s="20" customFormat="1" ht="89.25" customHeight="1">
      <c r="A262" s="6"/>
      <c r="B262" s="6"/>
      <c r="C262" s="16"/>
      <c r="D262" s="17"/>
      <c r="E262" s="6"/>
      <c r="F262" s="19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</row>
    <row r="263" spans="1:25" s="20" customFormat="1" ht="89.25" customHeight="1">
      <c r="A263" s="6"/>
      <c r="B263" s="6"/>
      <c r="C263" s="16"/>
      <c r="D263" s="17"/>
      <c r="E263" s="6"/>
      <c r="F263" s="19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</row>
    <row r="264" spans="1:25" s="20" customFormat="1" ht="89.25" customHeight="1">
      <c r="A264" s="6"/>
      <c r="B264" s="6"/>
      <c r="C264" s="16"/>
      <c r="D264" s="17"/>
      <c r="E264" s="6"/>
      <c r="F264" s="19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</row>
    <row r="265" spans="1:25" s="20" customFormat="1" ht="89.25" customHeight="1">
      <c r="A265" s="6"/>
      <c r="B265" s="6"/>
      <c r="C265" s="16"/>
      <c r="D265" s="17"/>
      <c r="E265" s="6"/>
      <c r="F265" s="19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</row>
    <row r="266" spans="1:25" s="20" customFormat="1" ht="89.25" customHeight="1">
      <c r="A266" s="6"/>
      <c r="B266" s="6"/>
      <c r="C266" s="16"/>
      <c r="D266" s="17"/>
      <c r="E266" s="6"/>
      <c r="F266" s="19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</row>
    <row r="267" spans="1:25" s="20" customFormat="1" ht="89.25" customHeight="1">
      <c r="A267" s="6"/>
      <c r="B267" s="6"/>
      <c r="C267" s="16"/>
      <c r="D267" s="17"/>
      <c r="E267" s="6"/>
      <c r="F267" s="19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</row>
    <row r="268" spans="1:25" s="20" customFormat="1" ht="89.25" customHeight="1">
      <c r="A268" s="6"/>
      <c r="B268" s="6"/>
      <c r="C268" s="16"/>
      <c r="D268" s="17"/>
      <c r="E268" s="6"/>
      <c r="F268" s="19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</row>
    <row r="269" spans="1:25" s="20" customFormat="1" ht="89.25" customHeight="1">
      <c r="A269" s="6"/>
      <c r="B269" s="6"/>
      <c r="C269" s="16"/>
      <c r="D269" s="17"/>
      <c r="E269" s="6"/>
      <c r="F269" s="19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</row>
    <row r="270" spans="1:25" s="20" customFormat="1" ht="89.25" customHeight="1">
      <c r="A270" s="6"/>
      <c r="B270" s="6"/>
      <c r="C270" s="16"/>
      <c r="D270" s="17"/>
      <c r="E270" s="6"/>
      <c r="F270" s="19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</row>
    <row r="271" spans="1:25" s="20" customFormat="1" ht="89.25" customHeight="1">
      <c r="A271" s="6"/>
      <c r="B271" s="6"/>
      <c r="C271" s="16"/>
      <c r="D271" s="17"/>
      <c r="E271" s="6"/>
      <c r="F271" s="19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</row>
    <row r="272" spans="1:25" s="20" customFormat="1" ht="89.25" customHeight="1">
      <c r="A272" s="6"/>
      <c r="B272" s="6"/>
      <c r="C272" s="16"/>
      <c r="D272" s="17"/>
      <c r="E272" s="6"/>
      <c r="F272" s="19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</row>
    <row r="273" spans="1:25" s="20" customFormat="1" ht="89.25" customHeight="1">
      <c r="A273" s="6"/>
      <c r="B273" s="6"/>
      <c r="C273" s="16"/>
      <c r="D273" s="17"/>
      <c r="E273" s="6"/>
      <c r="F273" s="19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</row>
    <row r="274" spans="1:25" s="20" customFormat="1" ht="89.25" customHeight="1">
      <c r="A274" s="6"/>
      <c r="B274" s="6"/>
      <c r="C274" s="16"/>
      <c r="D274" s="17"/>
      <c r="E274" s="6"/>
      <c r="F274" s="19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</row>
    <row r="275" spans="1:25" s="20" customFormat="1" ht="89.25" customHeight="1">
      <c r="A275" s="6"/>
      <c r="B275" s="6"/>
      <c r="C275" s="16"/>
      <c r="D275" s="17"/>
      <c r="E275" s="6"/>
      <c r="F275" s="19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</row>
    <row r="276" spans="1:25" s="20" customFormat="1" ht="89.25" customHeight="1">
      <c r="A276" s="6"/>
      <c r="B276" s="6"/>
      <c r="C276" s="16"/>
      <c r="D276" s="17"/>
      <c r="E276" s="6"/>
      <c r="F276" s="19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</row>
    <row r="277" spans="1:25" s="20" customFormat="1" ht="89.25" customHeight="1">
      <c r="A277" s="6"/>
      <c r="B277" s="6"/>
      <c r="C277" s="16"/>
      <c r="D277" s="17"/>
      <c r="E277" s="6"/>
      <c r="F277" s="19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</row>
    <row r="278" spans="1:25" s="20" customFormat="1" ht="89.25" customHeight="1">
      <c r="A278" s="6"/>
      <c r="B278" s="6"/>
      <c r="C278" s="16"/>
      <c r="D278" s="17"/>
      <c r="E278" s="6"/>
      <c r="F278" s="19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</row>
    <row r="279" spans="1:25" s="20" customFormat="1" ht="89.25" customHeight="1">
      <c r="A279" s="6"/>
      <c r="B279" s="6"/>
      <c r="C279" s="16"/>
      <c r="D279" s="17"/>
      <c r="E279" s="6"/>
      <c r="F279" s="19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</row>
    <row r="280" spans="1:25" s="20" customFormat="1" ht="89.25" customHeight="1">
      <c r="A280" s="6"/>
      <c r="B280" s="6"/>
      <c r="C280" s="16"/>
      <c r="D280" s="17"/>
      <c r="E280" s="6"/>
      <c r="F280" s="19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</row>
    <row r="281" spans="1:25" s="20" customFormat="1" ht="89.25" customHeight="1">
      <c r="A281" s="6"/>
      <c r="B281" s="6"/>
      <c r="C281" s="16"/>
      <c r="D281" s="17"/>
      <c r="E281" s="6"/>
      <c r="F281" s="19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</row>
    <row r="282" spans="1:25" s="20" customFormat="1" ht="89.25" customHeight="1">
      <c r="A282" s="6"/>
      <c r="B282" s="6"/>
      <c r="C282" s="16"/>
      <c r="D282" s="17"/>
      <c r="E282" s="6"/>
      <c r="F282" s="19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</row>
    <row r="283" spans="1:25" s="20" customFormat="1" ht="89.25" customHeight="1">
      <c r="A283" s="6"/>
      <c r="B283" s="6"/>
      <c r="C283" s="16"/>
      <c r="D283" s="17"/>
      <c r="E283" s="6"/>
      <c r="F283" s="19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</row>
    <row r="284" spans="1:25" s="20" customFormat="1" ht="89.25" customHeight="1">
      <c r="A284" s="6"/>
      <c r="B284" s="6"/>
      <c r="C284" s="16"/>
      <c r="D284" s="17"/>
      <c r="E284" s="6"/>
      <c r="F284" s="19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</row>
    <row r="285" spans="1:25" s="20" customFormat="1" ht="89.25" customHeight="1">
      <c r="A285" s="6"/>
      <c r="B285" s="6"/>
      <c r="C285" s="16"/>
      <c r="D285" s="17"/>
      <c r="E285" s="6"/>
      <c r="F285" s="19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</row>
    <row r="286" spans="1:25" s="20" customFormat="1" ht="89.25" customHeight="1">
      <c r="A286" s="6"/>
      <c r="B286" s="6"/>
      <c r="C286" s="16"/>
      <c r="D286" s="17"/>
      <c r="E286" s="6"/>
      <c r="F286" s="19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</row>
    <row r="287" spans="1:25" s="20" customFormat="1" ht="89.25" customHeight="1">
      <c r="A287" s="6"/>
      <c r="B287" s="6"/>
      <c r="C287" s="16"/>
      <c r="D287" s="17"/>
      <c r="E287" s="6"/>
      <c r="F287" s="19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</row>
    <row r="288" spans="1:25" s="20" customFormat="1" ht="89.25" customHeight="1">
      <c r="A288" s="6"/>
      <c r="B288" s="6"/>
      <c r="C288" s="16"/>
      <c r="D288" s="17"/>
      <c r="E288" s="6"/>
      <c r="F288" s="19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</row>
    <row r="289" spans="1:25" s="20" customFormat="1" ht="89.25" customHeight="1">
      <c r="A289" s="6"/>
      <c r="B289" s="6"/>
      <c r="C289" s="16"/>
      <c r="D289" s="17"/>
      <c r="E289" s="6"/>
      <c r="F289" s="19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</row>
    <row r="290" spans="1:25" s="20" customFormat="1" ht="89.25" customHeight="1">
      <c r="A290" s="6"/>
      <c r="B290" s="6"/>
      <c r="C290" s="16"/>
      <c r="D290" s="17"/>
      <c r="E290" s="6"/>
      <c r="F290" s="19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</row>
    <row r="291" spans="1:25" s="20" customFormat="1" ht="89.25" customHeight="1">
      <c r="A291" s="6"/>
      <c r="B291" s="6"/>
      <c r="C291" s="16"/>
      <c r="D291" s="17"/>
      <c r="E291" s="6"/>
      <c r="F291" s="19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</row>
    <row r="292" spans="1:25" s="20" customFormat="1" ht="89.25" customHeight="1">
      <c r="A292" s="6"/>
      <c r="B292" s="6"/>
      <c r="C292" s="16"/>
      <c r="D292" s="17"/>
      <c r="E292" s="6"/>
      <c r="F292" s="19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</row>
  </sheetData>
  <mergeCells count="48">
    <mergeCell ref="A21:D21"/>
    <mergeCell ref="A94:D94"/>
    <mergeCell ref="A36:D36"/>
    <mergeCell ref="A25:D25"/>
    <mergeCell ref="A45:D45"/>
    <mergeCell ref="A47:D47"/>
    <mergeCell ref="A86:D86"/>
    <mergeCell ref="A49:D49"/>
    <mergeCell ref="A90:D90"/>
    <mergeCell ref="A92:D92"/>
    <mergeCell ref="A38:D38"/>
    <mergeCell ref="A33:D33"/>
    <mergeCell ref="A9:D9"/>
    <mergeCell ref="A22:D22"/>
    <mergeCell ref="A23:D23"/>
    <mergeCell ref="A35:D35"/>
    <mergeCell ref="A93:D93"/>
    <mergeCell ref="A84:D84"/>
    <mergeCell ref="A85:D85"/>
    <mergeCell ref="A34:D34"/>
    <mergeCell ref="A48:D48"/>
    <mergeCell ref="A10:D10"/>
    <mergeCell ref="A11:D11"/>
    <mergeCell ref="A12:D12"/>
    <mergeCell ref="A13:D13"/>
    <mergeCell ref="A26:D26"/>
    <mergeCell ref="A14:D14"/>
    <mergeCell ref="A24:D24"/>
    <mergeCell ref="A1:F3"/>
    <mergeCell ref="A4:F4"/>
    <mergeCell ref="A5:F5"/>
    <mergeCell ref="A6:E6"/>
    <mergeCell ref="A8:D8"/>
    <mergeCell ref="D106:E106"/>
    <mergeCell ref="A37:D37"/>
    <mergeCell ref="D107:E107"/>
    <mergeCell ref="A104:B104"/>
    <mergeCell ref="A105:B105"/>
    <mergeCell ref="A106:B106"/>
    <mergeCell ref="D104:E104"/>
    <mergeCell ref="A89:D89"/>
    <mergeCell ref="A91:D91"/>
    <mergeCell ref="D105:E105"/>
    <mergeCell ref="A95:D95"/>
    <mergeCell ref="A46:D46"/>
    <mergeCell ref="A96:D96"/>
    <mergeCell ref="A97:D97"/>
    <mergeCell ref="A98:D98"/>
  </mergeCells>
  <phoneticPr fontId="19" type="noConversion"/>
  <printOptions horizontalCentered="1" verticalCentered="1"/>
  <pageMargins left="0.59055118110236227" right="0.59055118110236227" top="0.59055118110236227" bottom="0.59055118110236227" header="0.31496062992125984" footer="0.31496062992125984"/>
  <pageSetup paperSize="9" scale="36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Hoja13"/>
  <dimension ref="A1:AC600"/>
  <sheetViews>
    <sheetView showGridLines="0" topLeftCell="B1" workbookViewId="0">
      <pane ySplit="2" topLeftCell="A48" activePane="bottomLeft" state="frozen"/>
      <selection pane="bottomLeft" activeCell="E49" sqref="E49"/>
    </sheetView>
  </sheetViews>
  <sheetFormatPr baseColWidth="10" defaultRowHeight="15"/>
  <cols>
    <col min="1" max="1" width="11.85546875" bestFit="1" customWidth="1"/>
    <col min="4" max="4" width="15.5703125" customWidth="1"/>
    <col min="5" max="5" width="12.5703125" customWidth="1"/>
    <col min="6" max="6" width="17.140625" customWidth="1"/>
    <col min="7" max="7" width="12.85546875" customWidth="1"/>
    <col min="8" max="8" width="16.28515625" customWidth="1"/>
    <col min="10" max="10" width="14.140625" bestFit="1" customWidth="1"/>
    <col min="13" max="13" width="15" customWidth="1"/>
    <col min="14" max="14" width="18" style="293" bestFit="1" customWidth="1"/>
    <col min="15" max="15" width="15" style="666" bestFit="1" customWidth="1"/>
    <col min="16" max="16" width="14" style="666" bestFit="1" customWidth="1"/>
    <col min="17" max="17" width="13" style="666" bestFit="1" customWidth="1"/>
    <col min="18" max="18" width="14.42578125" style="666" bestFit="1" customWidth="1"/>
    <col min="19" max="19" width="15.5703125" style="666" bestFit="1" customWidth="1"/>
    <col min="20" max="20" width="15.140625" style="666" bestFit="1" customWidth="1"/>
    <col min="21" max="21" width="11.7109375" bestFit="1" customWidth="1"/>
    <col min="22" max="22" width="14.140625" style="293" bestFit="1" customWidth="1"/>
    <col min="23" max="23" width="14.140625" bestFit="1" customWidth="1"/>
    <col min="24" max="24" width="11.42578125" style="293"/>
    <col min="26" max="26" width="16.7109375" style="664" bestFit="1" customWidth="1"/>
    <col min="27" max="28" width="11.42578125" style="662"/>
    <col min="29" max="29" width="16" style="662" bestFit="1" customWidth="1"/>
    <col min="30" max="16384" width="11.42578125" style="662"/>
  </cols>
  <sheetData>
    <row r="1" spans="1:29" ht="97.5" customHeight="1">
      <c r="A1" s="577"/>
      <c r="B1" s="292"/>
      <c r="C1" s="292"/>
      <c r="D1" s="1344" t="s">
        <v>876</v>
      </c>
      <c r="E1" s="1344"/>
      <c r="F1" s="1344"/>
      <c r="G1" s="1344"/>
      <c r="H1" s="1344"/>
      <c r="I1" s="1344"/>
      <c r="J1" s="1344"/>
      <c r="K1" s="1344"/>
      <c r="L1" s="1344"/>
      <c r="M1" s="1344"/>
      <c r="N1" s="1344"/>
      <c r="O1" s="1344"/>
      <c r="P1" s="1344"/>
      <c r="Q1" s="1344"/>
      <c r="R1" s="1344"/>
      <c r="S1" s="1344"/>
      <c r="T1" s="1344"/>
      <c r="U1" s="1344"/>
      <c r="V1" s="1344"/>
      <c r="W1" s="1344"/>
      <c r="X1" s="665"/>
      <c r="Y1" s="292"/>
    </row>
    <row r="2" spans="1:29" s="663" customFormat="1" ht="60">
      <c r="A2" s="1071" t="s">
        <v>469</v>
      </c>
      <c r="B2" s="1071" t="s">
        <v>470</v>
      </c>
      <c r="C2" s="1071" t="s">
        <v>441</v>
      </c>
      <c r="D2" s="1071" t="s">
        <v>384</v>
      </c>
      <c r="E2" s="1071" t="s">
        <v>571</v>
      </c>
      <c r="F2" s="1071" t="s">
        <v>250</v>
      </c>
      <c r="G2" s="1071" t="s">
        <v>442</v>
      </c>
      <c r="H2" s="1071" t="s">
        <v>443</v>
      </c>
      <c r="I2" s="1071" t="s">
        <v>444</v>
      </c>
      <c r="J2" s="1071" t="s">
        <v>485</v>
      </c>
      <c r="K2" s="1071" t="s">
        <v>445</v>
      </c>
      <c r="L2" s="1072" t="s">
        <v>446</v>
      </c>
      <c r="M2" s="1073" t="s">
        <v>447</v>
      </c>
      <c r="N2" s="1073" t="s">
        <v>253</v>
      </c>
      <c r="O2" s="1073" t="s">
        <v>448</v>
      </c>
      <c r="P2" s="1073" t="s">
        <v>449</v>
      </c>
      <c r="Q2" s="1073" t="s">
        <v>450</v>
      </c>
      <c r="R2" s="1073" t="s">
        <v>451</v>
      </c>
      <c r="S2" s="1071" t="s">
        <v>452</v>
      </c>
      <c r="T2" s="1072" t="s">
        <v>453</v>
      </c>
      <c r="U2" s="1071" t="s">
        <v>31</v>
      </c>
      <c r="V2" s="1071" t="s">
        <v>75</v>
      </c>
      <c r="W2" s="1072" t="s">
        <v>486</v>
      </c>
      <c r="X2" s="1072" t="s">
        <v>487</v>
      </c>
      <c r="Y2" s="1071" t="s">
        <v>454</v>
      </c>
      <c r="Z2" s="1071" t="s">
        <v>252</v>
      </c>
      <c r="AA2" s="1071" t="s">
        <v>488</v>
      </c>
      <c r="AB2" s="1071" t="s">
        <v>489</v>
      </c>
      <c r="AC2" s="1074" t="s">
        <v>455</v>
      </c>
    </row>
    <row r="3" spans="1:29" s="376" customFormat="1">
      <c r="A3" s="1075">
        <v>201</v>
      </c>
      <c r="B3" s="1076">
        <v>1</v>
      </c>
      <c r="C3" s="1076">
        <v>74671</v>
      </c>
      <c r="D3" s="1076">
        <v>177</v>
      </c>
      <c r="E3" s="1076" t="s">
        <v>814</v>
      </c>
      <c r="F3" s="1077" t="s">
        <v>816</v>
      </c>
      <c r="G3" s="1075">
        <v>901694218</v>
      </c>
      <c r="H3" s="1077" t="s">
        <v>816</v>
      </c>
      <c r="I3" s="1075" t="s">
        <v>877</v>
      </c>
      <c r="J3" s="1078" t="s">
        <v>490</v>
      </c>
      <c r="K3" s="1078" t="s">
        <v>841</v>
      </c>
      <c r="L3" s="1076">
        <v>377119</v>
      </c>
      <c r="M3" s="1079">
        <v>45119</v>
      </c>
      <c r="N3" s="1080">
        <v>2029024</v>
      </c>
      <c r="O3" s="1081">
        <v>0</v>
      </c>
      <c r="P3" s="1081">
        <v>0</v>
      </c>
      <c r="Q3" s="1081">
        <v>0</v>
      </c>
      <c r="R3" s="1081">
        <v>0</v>
      </c>
      <c r="S3" s="1082">
        <v>2029024</v>
      </c>
      <c r="T3" s="1076">
        <v>377119</v>
      </c>
      <c r="U3" s="1079">
        <v>45124</v>
      </c>
      <c r="V3" s="1076" t="s">
        <v>258</v>
      </c>
      <c r="W3" s="1077"/>
      <c r="X3" s="1079"/>
      <c r="Y3" s="1079">
        <v>45124</v>
      </c>
      <c r="Z3" s="1076" t="s">
        <v>254</v>
      </c>
      <c r="AA3" s="1076">
        <v>0</v>
      </c>
      <c r="AB3" s="1076">
        <v>0</v>
      </c>
      <c r="AC3" s="1099">
        <v>79980864</v>
      </c>
    </row>
    <row r="4" spans="1:29" s="376" customFormat="1">
      <c r="A4" s="1075">
        <v>201</v>
      </c>
      <c r="B4" s="1076">
        <v>2</v>
      </c>
      <c r="C4" s="1076">
        <v>82195</v>
      </c>
      <c r="D4" s="1076">
        <v>188</v>
      </c>
      <c r="E4" s="1076" t="s">
        <v>833</v>
      </c>
      <c r="F4" s="1077" t="s">
        <v>835</v>
      </c>
      <c r="G4" s="1075">
        <v>901700535</v>
      </c>
      <c r="H4" s="1077" t="s">
        <v>846</v>
      </c>
      <c r="I4" s="1075" t="s">
        <v>878</v>
      </c>
      <c r="J4" s="1078" t="s">
        <v>490</v>
      </c>
      <c r="K4" s="1078" t="s">
        <v>847</v>
      </c>
      <c r="L4" s="1076">
        <v>377410</v>
      </c>
      <c r="M4" s="1079">
        <v>45119</v>
      </c>
      <c r="N4" s="1080">
        <v>3715300</v>
      </c>
      <c r="O4" s="1081">
        <v>0</v>
      </c>
      <c r="P4" s="1081">
        <v>0</v>
      </c>
      <c r="Q4" s="1081">
        <v>0</v>
      </c>
      <c r="R4" s="1081">
        <v>0</v>
      </c>
      <c r="S4" s="1082">
        <v>3715300</v>
      </c>
      <c r="T4" s="1076">
        <v>377410</v>
      </c>
      <c r="U4" s="1079">
        <v>45124</v>
      </c>
      <c r="V4" s="1076" t="s">
        <v>258</v>
      </c>
      <c r="W4" s="1077"/>
      <c r="X4" s="1079"/>
      <c r="Y4" s="1079">
        <v>45124</v>
      </c>
      <c r="Z4" s="1076" t="s">
        <v>255</v>
      </c>
      <c r="AA4" s="1076">
        <v>0</v>
      </c>
      <c r="AB4" s="1076">
        <v>0</v>
      </c>
      <c r="AC4" s="1099">
        <v>79961200</v>
      </c>
    </row>
    <row r="5" spans="1:29" s="376" customFormat="1">
      <c r="A5" s="1075">
        <v>201</v>
      </c>
      <c r="B5" s="1076">
        <v>5</v>
      </c>
      <c r="C5" s="1076">
        <v>77879</v>
      </c>
      <c r="D5" s="1076">
        <v>188</v>
      </c>
      <c r="E5" s="1076" t="s">
        <v>739</v>
      </c>
      <c r="F5" s="1077" t="s">
        <v>740</v>
      </c>
      <c r="G5" s="1075">
        <v>1053807670</v>
      </c>
      <c r="H5" s="1077" t="s">
        <v>793</v>
      </c>
      <c r="I5" s="1075" t="s">
        <v>879</v>
      </c>
      <c r="J5" s="1078" t="s">
        <v>490</v>
      </c>
      <c r="K5" s="1078" t="s">
        <v>794</v>
      </c>
      <c r="L5" s="1076">
        <v>375943</v>
      </c>
      <c r="M5" s="1079">
        <v>45119</v>
      </c>
      <c r="N5" s="1080">
        <v>600000</v>
      </c>
      <c r="O5" s="1081">
        <v>0</v>
      </c>
      <c r="P5" s="1081">
        <v>0</v>
      </c>
      <c r="Q5" s="1081">
        <v>0</v>
      </c>
      <c r="R5" s="1081">
        <v>0</v>
      </c>
      <c r="S5" s="1082">
        <v>600000</v>
      </c>
      <c r="T5" s="1076">
        <v>375943</v>
      </c>
      <c r="U5" s="1079">
        <v>45124</v>
      </c>
      <c r="V5" s="1076" t="s">
        <v>258</v>
      </c>
      <c r="W5" s="1077"/>
      <c r="X5" s="1079"/>
      <c r="Y5" s="1079">
        <v>45124</v>
      </c>
      <c r="Z5" s="1076" t="s">
        <v>255</v>
      </c>
      <c r="AA5" s="1076">
        <v>0</v>
      </c>
      <c r="AB5" s="1076">
        <v>0</v>
      </c>
      <c r="AC5" s="1099">
        <v>79707565</v>
      </c>
    </row>
    <row r="6" spans="1:29" s="376" customFormat="1">
      <c r="A6" s="1075">
        <v>201</v>
      </c>
      <c r="B6" s="1076">
        <v>6</v>
      </c>
      <c r="C6" s="1076">
        <v>80292</v>
      </c>
      <c r="D6" s="1076">
        <v>188</v>
      </c>
      <c r="E6" s="1076" t="s">
        <v>739</v>
      </c>
      <c r="F6" s="1077" t="s">
        <v>780</v>
      </c>
      <c r="G6" s="1075">
        <v>901329963</v>
      </c>
      <c r="H6" s="1077" t="s">
        <v>880</v>
      </c>
      <c r="I6" s="1075" t="s">
        <v>881</v>
      </c>
      <c r="J6" s="1078" t="s">
        <v>493</v>
      </c>
      <c r="K6" s="1078" t="s">
        <v>882</v>
      </c>
      <c r="L6" s="1076">
        <v>376386</v>
      </c>
      <c r="M6" s="1079">
        <v>45119</v>
      </c>
      <c r="N6" s="1080">
        <v>4830210</v>
      </c>
      <c r="O6" s="1081">
        <v>0</v>
      </c>
      <c r="P6" s="1081">
        <v>0</v>
      </c>
      <c r="Q6" s="1081">
        <v>0</v>
      </c>
      <c r="R6" s="1081">
        <v>0</v>
      </c>
      <c r="S6" s="1082">
        <v>4830210</v>
      </c>
      <c r="T6" s="1076">
        <v>376386</v>
      </c>
      <c r="U6" s="1079">
        <v>45124</v>
      </c>
      <c r="V6" s="1076" t="s">
        <v>258</v>
      </c>
      <c r="W6" s="1077"/>
      <c r="X6" s="1079"/>
      <c r="Y6" s="1079">
        <v>45124</v>
      </c>
      <c r="Z6" s="1076" t="s">
        <v>255</v>
      </c>
      <c r="AA6" s="1076">
        <v>0</v>
      </c>
      <c r="AB6" s="1076">
        <v>0</v>
      </c>
      <c r="AC6" s="1099">
        <v>78861179</v>
      </c>
    </row>
    <row r="7" spans="1:29" s="376" customFormat="1">
      <c r="A7" s="1075">
        <v>201</v>
      </c>
      <c r="B7" s="1076">
        <v>7</v>
      </c>
      <c r="C7" s="1076">
        <v>77879</v>
      </c>
      <c r="D7" s="1076">
        <v>188</v>
      </c>
      <c r="E7" s="1076" t="s">
        <v>739</v>
      </c>
      <c r="F7" s="1077" t="s">
        <v>740</v>
      </c>
      <c r="G7" s="1075">
        <v>900367793</v>
      </c>
      <c r="H7" s="1077" t="s">
        <v>883</v>
      </c>
      <c r="I7" s="1075" t="s">
        <v>884</v>
      </c>
      <c r="J7" s="1078" t="s">
        <v>493</v>
      </c>
      <c r="K7" s="1078" t="s">
        <v>885</v>
      </c>
      <c r="L7" s="1076">
        <v>376395</v>
      </c>
      <c r="M7" s="1079">
        <v>45119</v>
      </c>
      <c r="N7" s="1080">
        <v>1157044</v>
      </c>
      <c r="O7" s="1081">
        <v>0</v>
      </c>
      <c r="P7" s="1081">
        <v>0</v>
      </c>
      <c r="Q7" s="1081">
        <v>0</v>
      </c>
      <c r="R7" s="1081">
        <v>0</v>
      </c>
      <c r="S7" s="1082">
        <v>1157044</v>
      </c>
      <c r="T7" s="1076">
        <v>376395</v>
      </c>
      <c r="U7" s="1079">
        <v>45124</v>
      </c>
      <c r="V7" s="1076" t="s">
        <v>258</v>
      </c>
      <c r="W7" s="1077"/>
      <c r="X7" s="1079"/>
      <c r="Y7" s="1079">
        <v>45124</v>
      </c>
      <c r="Z7" s="1076" t="s">
        <v>255</v>
      </c>
      <c r="AA7" s="1076">
        <v>0</v>
      </c>
      <c r="AB7" s="1076">
        <v>0</v>
      </c>
      <c r="AC7" s="1099">
        <v>79707565</v>
      </c>
    </row>
    <row r="8" spans="1:29" s="376" customFormat="1">
      <c r="A8" s="1075">
        <v>201</v>
      </c>
      <c r="B8" s="1076">
        <v>8</v>
      </c>
      <c r="C8" s="1076">
        <v>77879</v>
      </c>
      <c r="D8" s="1076">
        <v>188</v>
      </c>
      <c r="E8" s="1076" t="s">
        <v>739</v>
      </c>
      <c r="F8" s="1077" t="s">
        <v>740</v>
      </c>
      <c r="G8" s="1075">
        <v>539536</v>
      </c>
      <c r="H8" s="1077" t="s">
        <v>886</v>
      </c>
      <c r="I8" s="1075" t="s">
        <v>887</v>
      </c>
      <c r="J8" s="1078" t="s">
        <v>490</v>
      </c>
      <c r="K8" s="1078" t="s">
        <v>888</v>
      </c>
      <c r="L8" s="1076">
        <v>376452</v>
      </c>
      <c r="M8" s="1079">
        <v>45119</v>
      </c>
      <c r="N8" s="1080">
        <v>390000</v>
      </c>
      <c r="O8" s="1081">
        <v>0</v>
      </c>
      <c r="P8" s="1081">
        <v>0</v>
      </c>
      <c r="Q8" s="1081">
        <v>0</v>
      </c>
      <c r="R8" s="1081">
        <v>0</v>
      </c>
      <c r="S8" s="1082">
        <v>390000</v>
      </c>
      <c r="T8" s="1076">
        <v>376452</v>
      </c>
      <c r="U8" s="1079">
        <v>45124</v>
      </c>
      <c r="V8" s="1076" t="s">
        <v>258</v>
      </c>
      <c r="W8" s="1077"/>
      <c r="X8" s="1079"/>
      <c r="Y8" s="1079">
        <v>45124</v>
      </c>
      <c r="Z8" s="1076" t="s">
        <v>255</v>
      </c>
      <c r="AA8" s="1076">
        <v>0</v>
      </c>
      <c r="AB8" s="1076">
        <v>0</v>
      </c>
      <c r="AC8" s="1099">
        <v>79707565</v>
      </c>
    </row>
    <row r="9" spans="1:29" s="376" customFormat="1">
      <c r="A9" s="1075">
        <v>201</v>
      </c>
      <c r="B9" s="1076">
        <v>9</v>
      </c>
      <c r="C9" s="1076">
        <v>83899</v>
      </c>
      <c r="D9" s="1076">
        <v>178</v>
      </c>
      <c r="E9" s="1076" t="s">
        <v>821</v>
      </c>
      <c r="F9" s="1077" t="s">
        <v>825</v>
      </c>
      <c r="G9" s="1075">
        <v>43713211</v>
      </c>
      <c r="H9" s="1077" t="s">
        <v>863</v>
      </c>
      <c r="I9" s="1075" t="s">
        <v>889</v>
      </c>
      <c r="J9" s="1078" t="s">
        <v>490</v>
      </c>
      <c r="K9" s="1078" t="s">
        <v>864</v>
      </c>
      <c r="L9" s="1076">
        <v>376751</v>
      </c>
      <c r="M9" s="1079">
        <v>45119</v>
      </c>
      <c r="N9" s="1080">
        <v>600000</v>
      </c>
      <c r="O9" s="1081">
        <v>0</v>
      </c>
      <c r="P9" s="1081">
        <v>0</v>
      </c>
      <c r="Q9" s="1081">
        <v>0</v>
      </c>
      <c r="R9" s="1081">
        <v>0</v>
      </c>
      <c r="S9" s="1082">
        <v>600000</v>
      </c>
      <c r="T9" s="1076">
        <v>376751</v>
      </c>
      <c r="U9" s="1079">
        <v>45124</v>
      </c>
      <c r="V9" s="1076" t="s">
        <v>258</v>
      </c>
      <c r="W9" s="1077"/>
      <c r="X9" s="1079"/>
      <c r="Y9" s="1079">
        <v>45124</v>
      </c>
      <c r="Z9" s="1076" t="s">
        <v>254</v>
      </c>
      <c r="AA9" s="1076">
        <v>0</v>
      </c>
      <c r="AB9" s="1076">
        <v>0</v>
      </c>
      <c r="AC9" s="1099">
        <v>99827618</v>
      </c>
    </row>
    <row r="10" spans="1:29" s="376" customFormat="1">
      <c r="A10" s="1075">
        <v>201</v>
      </c>
      <c r="B10" s="1076">
        <v>10</v>
      </c>
      <c r="C10" s="1076">
        <v>83899</v>
      </c>
      <c r="D10" s="1076">
        <v>178</v>
      </c>
      <c r="E10" s="1076" t="s">
        <v>821</v>
      </c>
      <c r="F10" s="1077" t="s">
        <v>825</v>
      </c>
      <c r="G10" s="1075">
        <v>901703940</v>
      </c>
      <c r="H10" s="1077" t="s">
        <v>861</v>
      </c>
      <c r="I10" s="1075" t="s">
        <v>890</v>
      </c>
      <c r="J10" s="1078" t="s">
        <v>490</v>
      </c>
      <c r="K10" s="1078" t="s">
        <v>862</v>
      </c>
      <c r="L10" s="1076">
        <v>376764</v>
      </c>
      <c r="M10" s="1079">
        <v>45119</v>
      </c>
      <c r="N10" s="1080">
        <v>1659161</v>
      </c>
      <c r="O10" s="1081">
        <v>0</v>
      </c>
      <c r="P10" s="1081">
        <v>0</v>
      </c>
      <c r="Q10" s="1081">
        <v>0</v>
      </c>
      <c r="R10" s="1081">
        <v>0</v>
      </c>
      <c r="S10" s="1082">
        <v>1659161</v>
      </c>
      <c r="T10" s="1076">
        <v>376764</v>
      </c>
      <c r="U10" s="1079">
        <v>45124</v>
      </c>
      <c r="V10" s="1076" t="s">
        <v>258</v>
      </c>
      <c r="W10" s="1077"/>
      <c r="X10" s="1079"/>
      <c r="Y10" s="1079">
        <v>45124</v>
      </c>
      <c r="Z10" s="1076" t="s">
        <v>254</v>
      </c>
      <c r="AA10" s="1076">
        <v>0</v>
      </c>
      <c r="AB10" s="1076">
        <v>0</v>
      </c>
      <c r="AC10" s="1099">
        <v>99827618</v>
      </c>
    </row>
    <row r="11" spans="1:29" s="376" customFormat="1">
      <c r="A11" s="1075">
        <v>201</v>
      </c>
      <c r="B11" s="1076">
        <v>11</v>
      </c>
      <c r="C11" s="1076">
        <v>77879</v>
      </c>
      <c r="D11" s="1076">
        <v>188</v>
      </c>
      <c r="E11" s="1076" t="s">
        <v>739</v>
      </c>
      <c r="F11" s="1077" t="s">
        <v>740</v>
      </c>
      <c r="G11" s="1075">
        <v>901690161</v>
      </c>
      <c r="H11" s="1077" t="s">
        <v>855</v>
      </c>
      <c r="I11" s="1075" t="s">
        <v>891</v>
      </c>
      <c r="J11" s="1078" t="s">
        <v>493</v>
      </c>
      <c r="K11" s="1078" t="s">
        <v>856</v>
      </c>
      <c r="L11" s="1076">
        <v>376796</v>
      </c>
      <c r="M11" s="1079">
        <v>45119</v>
      </c>
      <c r="N11" s="1080">
        <v>1949310</v>
      </c>
      <c r="O11" s="1081">
        <v>0</v>
      </c>
      <c r="P11" s="1081">
        <v>0</v>
      </c>
      <c r="Q11" s="1081">
        <v>0</v>
      </c>
      <c r="R11" s="1081">
        <v>0</v>
      </c>
      <c r="S11" s="1082">
        <v>1949310</v>
      </c>
      <c r="T11" s="1076">
        <v>376796</v>
      </c>
      <c r="U11" s="1079">
        <v>45124</v>
      </c>
      <c r="V11" s="1076" t="s">
        <v>258</v>
      </c>
      <c r="W11" s="1077"/>
      <c r="X11" s="1079"/>
      <c r="Y11" s="1079">
        <v>45124</v>
      </c>
      <c r="Z11" s="1076" t="s">
        <v>255</v>
      </c>
      <c r="AA11" s="1076">
        <v>0</v>
      </c>
      <c r="AB11" s="1076">
        <v>0</v>
      </c>
      <c r="AC11" s="1099">
        <v>79707565</v>
      </c>
    </row>
    <row r="12" spans="1:29" s="376" customFormat="1">
      <c r="A12" s="1075">
        <v>201</v>
      </c>
      <c r="B12" s="1076">
        <v>12</v>
      </c>
      <c r="C12" s="1076">
        <v>77879</v>
      </c>
      <c r="D12" s="1076">
        <v>188</v>
      </c>
      <c r="E12" s="1076" t="s">
        <v>739</v>
      </c>
      <c r="F12" s="1077" t="s">
        <v>740</v>
      </c>
      <c r="G12" s="1075">
        <v>75077453</v>
      </c>
      <c r="H12" s="1077" t="s">
        <v>791</v>
      </c>
      <c r="I12" s="1075" t="s">
        <v>892</v>
      </c>
      <c r="J12" s="1078" t="s">
        <v>490</v>
      </c>
      <c r="K12" s="1078" t="s">
        <v>792</v>
      </c>
      <c r="L12" s="1076">
        <v>376802</v>
      </c>
      <c r="M12" s="1079">
        <v>45119</v>
      </c>
      <c r="N12" s="1080">
        <v>900000</v>
      </c>
      <c r="O12" s="1081">
        <v>0</v>
      </c>
      <c r="P12" s="1081">
        <v>0</v>
      </c>
      <c r="Q12" s="1081">
        <v>0</v>
      </c>
      <c r="R12" s="1081">
        <v>0</v>
      </c>
      <c r="S12" s="1082">
        <v>900000</v>
      </c>
      <c r="T12" s="1076">
        <v>376802</v>
      </c>
      <c r="U12" s="1079">
        <v>45124</v>
      </c>
      <c r="V12" s="1076" t="s">
        <v>258</v>
      </c>
      <c r="W12" s="1077"/>
      <c r="X12" s="1079"/>
      <c r="Y12" s="1079">
        <v>45124</v>
      </c>
      <c r="Z12" s="1076" t="s">
        <v>255</v>
      </c>
      <c r="AA12" s="1076">
        <v>0</v>
      </c>
      <c r="AB12" s="1076">
        <v>0</v>
      </c>
      <c r="AC12" s="1099">
        <v>79707565</v>
      </c>
    </row>
    <row r="13" spans="1:29" s="376" customFormat="1">
      <c r="A13" s="1075">
        <v>201</v>
      </c>
      <c r="B13" s="1076">
        <v>13</v>
      </c>
      <c r="C13" s="1076">
        <v>80408</v>
      </c>
      <c r="D13" s="1076">
        <v>190</v>
      </c>
      <c r="E13" s="1076" t="s">
        <v>893</v>
      </c>
      <c r="F13" s="1077" t="s">
        <v>894</v>
      </c>
      <c r="G13" s="1075">
        <v>800132312</v>
      </c>
      <c r="H13" s="1077" t="s">
        <v>895</v>
      </c>
      <c r="I13" s="1075" t="s">
        <v>896</v>
      </c>
      <c r="J13" s="1078" t="s">
        <v>493</v>
      </c>
      <c r="K13" s="1078" t="s">
        <v>897</v>
      </c>
      <c r="L13" s="1076">
        <v>378658</v>
      </c>
      <c r="M13" s="1079">
        <v>45121</v>
      </c>
      <c r="N13" s="1080">
        <v>833000</v>
      </c>
      <c r="O13" s="1081">
        <v>0</v>
      </c>
      <c r="P13" s="1081">
        <v>0</v>
      </c>
      <c r="Q13" s="1081">
        <v>0</v>
      </c>
      <c r="R13" s="1081">
        <v>0</v>
      </c>
      <c r="S13" s="1082">
        <v>833000</v>
      </c>
      <c r="T13" s="1076">
        <v>378658</v>
      </c>
      <c r="U13" s="1079">
        <v>45126</v>
      </c>
      <c r="V13" s="1076" t="s">
        <v>258</v>
      </c>
      <c r="W13" s="1077"/>
      <c r="X13" s="1079"/>
      <c r="Y13" s="1079">
        <v>45126</v>
      </c>
      <c r="Z13" s="1076" t="s">
        <v>257</v>
      </c>
      <c r="AA13" s="1076">
        <v>0</v>
      </c>
      <c r="AB13" s="1076">
        <v>0</v>
      </c>
      <c r="AC13" s="1099">
        <v>79725000</v>
      </c>
    </row>
    <row r="14" spans="1:29" s="376" customFormat="1">
      <c r="A14" s="1075">
        <v>201</v>
      </c>
      <c r="B14" s="1076">
        <v>15</v>
      </c>
      <c r="C14" s="1076">
        <v>80408</v>
      </c>
      <c r="D14" s="1076">
        <v>190</v>
      </c>
      <c r="E14" s="1076" t="s">
        <v>893</v>
      </c>
      <c r="F14" s="1077" t="s">
        <v>894</v>
      </c>
      <c r="G14" s="1075">
        <v>37293454</v>
      </c>
      <c r="H14" s="1077" t="s">
        <v>898</v>
      </c>
      <c r="I14" s="1075" t="s">
        <v>899</v>
      </c>
      <c r="J14" s="1078" t="s">
        <v>490</v>
      </c>
      <c r="K14" s="1078" t="s">
        <v>900</v>
      </c>
      <c r="L14" s="1076">
        <v>378672</v>
      </c>
      <c r="M14" s="1079">
        <v>45121</v>
      </c>
      <c r="N14" s="1080">
        <v>2188780</v>
      </c>
      <c r="O14" s="1081">
        <v>76607.3</v>
      </c>
      <c r="P14" s="1081">
        <v>0</v>
      </c>
      <c r="Q14" s="1081">
        <v>0</v>
      </c>
      <c r="R14" s="1081">
        <v>0</v>
      </c>
      <c r="S14" s="1082">
        <v>2112172.7000000002</v>
      </c>
      <c r="T14" s="1076">
        <v>378672</v>
      </c>
      <c r="U14" s="1079">
        <v>45126</v>
      </c>
      <c r="V14" s="1076" t="s">
        <v>258</v>
      </c>
      <c r="W14" s="1077"/>
      <c r="X14" s="1079"/>
      <c r="Y14" s="1079">
        <v>45126</v>
      </c>
      <c r="Z14" s="1076" t="s">
        <v>257</v>
      </c>
      <c r="AA14" s="1076">
        <v>0</v>
      </c>
      <c r="AB14" s="1076">
        <v>0</v>
      </c>
      <c r="AC14" s="1099">
        <v>79725000</v>
      </c>
    </row>
    <row r="15" spans="1:29" s="376" customFormat="1">
      <c r="A15" s="1075">
        <v>201</v>
      </c>
      <c r="B15" s="1076">
        <v>16</v>
      </c>
      <c r="C15" s="1076">
        <v>73752</v>
      </c>
      <c r="D15" s="1076">
        <v>190</v>
      </c>
      <c r="E15" s="1076" t="s">
        <v>561</v>
      </c>
      <c r="F15" s="1077" t="s">
        <v>901</v>
      </c>
      <c r="G15" s="1075">
        <v>901585175</v>
      </c>
      <c r="H15" s="1077" t="s">
        <v>902</v>
      </c>
      <c r="I15" s="1075" t="s">
        <v>903</v>
      </c>
      <c r="J15" s="1078" t="s">
        <v>490</v>
      </c>
      <c r="K15" s="1078" t="s">
        <v>904</v>
      </c>
      <c r="L15" s="1076">
        <v>378677</v>
      </c>
      <c r="M15" s="1079">
        <v>45121</v>
      </c>
      <c r="N15" s="1080">
        <v>4349918</v>
      </c>
      <c r="O15" s="1081">
        <v>0</v>
      </c>
      <c r="P15" s="1081">
        <v>0</v>
      </c>
      <c r="Q15" s="1081">
        <v>0</v>
      </c>
      <c r="R15" s="1081">
        <v>0</v>
      </c>
      <c r="S15" s="1082">
        <v>4349918</v>
      </c>
      <c r="T15" s="1076">
        <v>378677</v>
      </c>
      <c r="U15" s="1079">
        <v>45126</v>
      </c>
      <c r="V15" s="1076" t="s">
        <v>258</v>
      </c>
      <c r="W15" s="1077"/>
      <c r="X15" s="1079"/>
      <c r="Y15" s="1079">
        <v>45126</v>
      </c>
      <c r="Z15" s="1076" t="s">
        <v>257</v>
      </c>
      <c r="AA15" s="1076" t="s">
        <v>562</v>
      </c>
      <c r="AB15" s="1076" t="s">
        <v>491</v>
      </c>
      <c r="AC15" s="1099">
        <v>79852054</v>
      </c>
    </row>
    <row r="16" spans="1:29" s="376" customFormat="1">
      <c r="A16" s="1075">
        <v>201</v>
      </c>
      <c r="B16" s="1076">
        <v>17</v>
      </c>
      <c r="C16" s="1076">
        <v>82308</v>
      </c>
      <c r="D16" s="1076">
        <v>178</v>
      </c>
      <c r="E16" s="1076" t="s">
        <v>821</v>
      </c>
      <c r="F16" s="1077" t="s">
        <v>823</v>
      </c>
      <c r="G16" s="1075">
        <v>901713157</v>
      </c>
      <c r="H16" s="1077" t="s">
        <v>905</v>
      </c>
      <c r="I16" s="1075" t="s">
        <v>906</v>
      </c>
      <c r="J16" s="1078" t="s">
        <v>490</v>
      </c>
      <c r="K16" s="1078" t="s">
        <v>907</v>
      </c>
      <c r="L16" s="1076">
        <v>378703</v>
      </c>
      <c r="M16" s="1079">
        <v>45121</v>
      </c>
      <c r="N16" s="1080">
        <v>3600356</v>
      </c>
      <c r="O16" s="1081">
        <v>0</v>
      </c>
      <c r="P16" s="1081">
        <v>0</v>
      </c>
      <c r="Q16" s="1081">
        <v>0</v>
      </c>
      <c r="R16" s="1081">
        <v>0</v>
      </c>
      <c r="S16" s="1082">
        <v>3600356</v>
      </c>
      <c r="T16" s="1076">
        <v>378703</v>
      </c>
      <c r="U16" s="1079">
        <v>45126</v>
      </c>
      <c r="V16" s="1076" t="s">
        <v>258</v>
      </c>
      <c r="W16" s="1077"/>
      <c r="X16" s="1079"/>
      <c r="Y16" s="1079">
        <v>45126</v>
      </c>
      <c r="Z16" s="1076" t="s">
        <v>254</v>
      </c>
      <c r="AA16" s="1076">
        <v>0</v>
      </c>
      <c r="AB16" s="1076">
        <v>0</v>
      </c>
      <c r="AC16" s="1099">
        <v>99829640</v>
      </c>
    </row>
    <row r="17" spans="1:29" s="376" customFormat="1">
      <c r="A17" s="1075">
        <v>201</v>
      </c>
      <c r="B17" s="1076">
        <v>18</v>
      </c>
      <c r="C17" s="1076">
        <v>74677</v>
      </c>
      <c r="D17" s="1076">
        <v>192</v>
      </c>
      <c r="E17" s="1076" t="s">
        <v>563</v>
      </c>
      <c r="F17" s="1077" t="s">
        <v>908</v>
      </c>
      <c r="G17" s="1075">
        <v>901565014</v>
      </c>
      <c r="H17" s="1077" t="s">
        <v>909</v>
      </c>
      <c r="I17" s="1075" t="s">
        <v>910</v>
      </c>
      <c r="J17" s="1078" t="s">
        <v>490</v>
      </c>
      <c r="K17" s="1078" t="s">
        <v>911</v>
      </c>
      <c r="L17" s="1076">
        <v>378717</v>
      </c>
      <c r="M17" s="1079">
        <v>45121</v>
      </c>
      <c r="N17" s="1080">
        <v>845465</v>
      </c>
      <c r="O17" s="1081">
        <v>0</v>
      </c>
      <c r="P17" s="1081">
        <v>0</v>
      </c>
      <c r="Q17" s="1081">
        <v>0</v>
      </c>
      <c r="R17" s="1081">
        <v>0</v>
      </c>
      <c r="S17" s="1082">
        <v>845465</v>
      </c>
      <c r="T17" s="1076">
        <v>378717</v>
      </c>
      <c r="U17" s="1079">
        <v>45126</v>
      </c>
      <c r="V17" s="1076" t="s">
        <v>258</v>
      </c>
      <c r="W17" s="1077"/>
      <c r="X17" s="1079"/>
      <c r="Y17" s="1079">
        <v>45126</v>
      </c>
      <c r="Z17" s="1076" t="s">
        <v>912</v>
      </c>
      <c r="AA17" s="1076" t="s">
        <v>913</v>
      </c>
      <c r="AB17" s="1076" t="s">
        <v>914</v>
      </c>
      <c r="AC17" s="1099">
        <v>80000000</v>
      </c>
    </row>
    <row r="18" spans="1:29" s="376" customFormat="1">
      <c r="A18" s="1075">
        <v>201</v>
      </c>
      <c r="B18" s="1076">
        <v>19</v>
      </c>
      <c r="C18" s="1076">
        <v>74677</v>
      </c>
      <c r="D18" s="1076">
        <v>192</v>
      </c>
      <c r="E18" s="1076" t="s">
        <v>563</v>
      </c>
      <c r="F18" s="1077" t="s">
        <v>908</v>
      </c>
      <c r="G18" s="1075">
        <v>901565014</v>
      </c>
      <c r="H18" s="1077" t="s">
        <v>909</v>
      </c>
      <c r="I18" s="1075" t="s">
        <v>915</v>
      </c>
      <c r="J18" s="1078" t="s">
        <v>490</v>
      </c>
      <c r="K18" s="1078" t="s">
        <v>911</v>
      </c>
      <c r="L18" s="1076">
        <v>378719</v>
      </c>
      <c r="M18" s="1079">
        <v>45121</v>
      </c>
      <c r="N18" s="1080">
        <v>1468065</v>
      </c>
      <c r="O18" s="1081">
        <v>0</v>
      </c>
      <c r="P18" s="1081">
        <v>0</v>
      </c>
      <c r="Q18" s="1081">
        <v>0</v>
      </c>
      <c r="R18" s="1081">
        <v>0</v>
      </c>
      <c r="S18" s="1082">
        <v>1468065</v>
      </c>
      <c r="T18" s="1076">
        <v>378719</v>
      </c>
      <c r="U18" s="1079">
        <v>45126</v>
      </c>
      <c r="V18" s="1076" t="s">
        <v>258</v>
      </c>
      <c r="W18" s="1077"/>
      <c r="X18" s="1079"/>
      <c r="Y18" s="1079">
        <v>45126</v>
      </c>
      <c r="Z18" s="1076" t="s">
        <v>912</v>
      </c>
      <c r="AA18" s="1076" t="s">
        <v>913</v>
      </c>
      <c r="AB18" s="1076" t="s">
        <v>914</v>
      </c>
      <c r="AC18" s="1099">
        <v>80000000</v>
      </c>
    </row>
    <row r="19" spans="1:29" s="376" customFormat="1">
      <c r="A19" s="1075">
        <v>201</v>
      </c>
      <c r="B19" s="1076">
        <v>22</v>
      </c>
      <c r="C19" s="1076">
        <v>64606</v>
      </c>
      <c r="D19" s="1076">
        <v>177</v>
      </c>
      <c r="E19" s="1076" t="s">
        <v>814</v>
      </c>
      <c r="F19" s="1077" t="s">
        <v>916</v>
      </c>
      <c r="G19" s="1075">
        <v>43748536</v>
      </c>
      <c r="H19" s="1077" t="s">
        <v>917</v>
      </c>
      <c r="I19" s="1075" t="s">
        <v>918</v>
      </c>
      <c r="J19" s="1078" t="s">
        <v>490</v>
      </c>
      <c r="K19" s="1078" t="s">
        <v>919</v>
      </c>
      <c r="L19" s="1076">
        <v>377071</v>
      </c>
      <c r="M19" s="1079">
        <v>45121</v>
      </c>
      <c r="N19" s="1080">
        <v>1200000</v>
      </c>
      <c r="O19" s="1081">
        <v>42000</v>
      </c>
      <c r="P19" s="1081">
        <v>0</v>
      </c>
      <c r="Q19" s="1081">
        <v>0</v>
      </c>
      <c r="R19" s="1081">
        <v>0</v>
      </c>
      <c r="S19" s="1082">
        <v>1158000</v>
      </c>
      <c r="T19" s="1076">
        <v>377071</v>
      </c>
      <c r="U19" s="1079">
        <v>45126</v>
      </c>
      <c r="V19" s="1076" t="s">
        <v>258</v>
      </c>
      <c r="W19" s="1077"/>
      <c r="X19" s="1079"/>
      <c r="Y19" s="1079">
        <v>45126</v>
      </c>
      <c r="Z19" s="1076" t="s">
        <v>254</v>
      </c>
      <c r="AA19" s="1076">
        <v>0</v>
      </c>
      <c r="AB19" s="1076">
        <v>0</v>
      </c>
      <c r="AC19" s="1099">
        <v>79999548</v>
      </c>
    </row>
    <row r="20" spans="1:29" s="376" customFormat="1">
      <c r="A20" s="1075">
        <v>201</v>
      </c>
      <c r="B20" s="1076">
        <v>23</v>
      </c>
      <c r="C20" s="1076">
        <v>74671</v>
      </c>
      <c r="D20" s="1076">
        <v>177</v>
      </c>
      <c r="E20" s="1076" t="s">
        <v>814</v>
      </c>
      <c r="F20" s="1077" t="s">
        <v>816</v>
      </c>
      <c r="G20" s="1075">
        <v>901288892</v>
      </c>
      <c r="H20" s="1077" t="s">
        <v>842</v>
      </c>
      <c r="I20" s="1075" t="s">
        <v>920</v>
      </c>
      <c r="J20" s="1078" t="s">
        <v>490</v>
      </c>
      <c r="K20" s="1078" t="s">
        <v>843</v>
      </c>
      <c r="L20" s="1076">
        <v>377091</v>
      </c>
      <c r="M20" s="1079">
        <v>45121</v>
      </c>
      <c r="N20" s="1080">
        <v>1089000</v>
      </c>
      <c r="O20" s="1081">
        <v>0</v>
      </c>
      <c r="P20" s="1081">
        <v>0</v>
      </c>
      <c r="Q20" s="1081">
        <v>0</v>
      </c>
      <c r="R20" s="1081">
        <v>0</v>
      </c>
      <c r="S20" s="1082">
        <v>1089000</v>
      </c>
      <c r="T20" s="1076">
        <v>377091</v>
      </c>
      <c r="U20" s="1079">
        <v>45126</v>
      </c>
      <c r="V20" s="1076" t="s">
        <v>258</v>
      </c>
      <c r="W20" s="1077"/>
      <c r="X20" s="1079"/>
      <c r="Y20" s="1079">
        <v>45126</v>
      </c>
      <c r="Z20" s="1076" t="s">
        <v>254</v>
      </c>
      <c r="AA20" s="1076">
        <v>0</v>
      </c>
      <c r="AB20" s="1076">
        <v>0</v>
      </c>
      <c r="AC20" s="1099">
        <v>79980864</v>
      </c>
    </row>
    <row r="21" spans="1:29" s="376" customFormat="1">
      <c r="A21" s="1075">
        <v>201</v>
      </c>
      <c r="B21" s="1076">
        <v>24</v>
      </c>
      <c r="C21" s="1076">
        <v>80292</v>
      </c>
      <c r="D21" s="1076">
        <v>188</v>
      </c>
      <c r="E21" s="1076" t="s">
        <v>739</v>
      </c>
      <c r="F21" s="1077" t="s">
        <v>780</v>
      </c>
      <c r="G21" s="1075">
        <v>901627741</v>
      </c>
      <c r="H21" s="1077" t="s">
        <v>797</v>
      </c>
      <c r="I21" s="1075" t="s">
        <v>921</v>
      </c>
      <c r="J21" s="1078" t="s">
        <v>490</v>
      </c>
      <c r="K21" s="1078" t="s">
        <v>798</v>
      </c>
      <c r="L21" s="1076">
        <v>377275</v>
      </c>
      <c r="M21" s="1079">
        <v>45121</v>
      </c>
      <c r="N21" s="1080">
        <v>3769394</v>
      </c>
      <c r="O21" s="1081">
        <v>0</v>
      </c>
      <c r="P21" s="1081">
        <v>0</v>
      </c>
      <c r="Q21" s="1081">
        <v>0</v>
      </c>
      <c r="R21" s="1081">
        <v>0</v>
      </c>
      <c r="S21" s="1082">
        <v>3769394</v>
      </c>
      <c r="T21" s="1076">
        <v>377275</v>
      </c>
      <c r="U21" s="1079">
        <v>45126</v>
      </c>
      <c r="V21" s="1076" t="s">
        <v>258</v>
      </c>
      <c r="W21" s="1077"/>
      <c r="X21" s="1079"/>
      <c r="Y21" s="1079">
        <v>45126</v>
      </c>
      <c r="Z21" s="1076" t="s">
        <v>255</v>
      </c>
      <c r="AA21" s="1076">
        <v>0</v>
      </c>
      <c r="AB21" s="1076">
        <v>0</v>
      </c>
      <c r="AC21" s="1099">
        <v>78861179</v>
      </c>
    </row>
    <row r="22" spans="1:29" s="376" customFormat="1">
      <c r="A22" s="1075">
        <v>201</v>
      </c>
      <c r="B22" s="1076">
        <v>25</v>
      </c>
      <c r="C22" s="1076">
        <v>80292</v>
      </c>
      <c r="D22" s="1076">
        <v>188</v>
      </c>
      <c r="E22" s="1076" t="s">
        <v>739</v>
      </c>
      <c r="F22" s="1077" t="s">
        <v>780</v>
      </c>
      <c r="G22" s="1075">
        <v>30235969</v>
      </c>
      <c r="H22" s="1077" t="s">
        <v>795</v>
      </c>
      <c r="I22" s="1075" t="s">
        <v>922</v>
      </c>
      <c r="J22" s="1078" t="s">
        <v>490</v>
      </c>
      <c r="K22" s="1078" t="s">
        <v>796</v>
      </c>
      <c r="L22" s="1076">
        <v>377278</v>
      </c>
      <c r="M22" s="1079">
        <v>45121</v>
      </c>
      <c r="N22" s="1080">
        <v>600000</v>
      </c>
      <c r="O22" s="1081">
        <v>0</v>
      </c>
      <c r="P22" s="1081">
        <v>0</v>
      </c>
      <c r="Q22" s="1081">
        <v>0</v>
      </c>
      <c r="R22" s="1081">
        <v>0</v>
      </c>
      <c r="S22" s="1082">
        <v>600000</v>
      </c>
      <c r="T22" s="1076">
        <v>377278</v>
      </c>
      <c r="U22" s="1079">
        <v>45126</v>
      </c>
      <c r="V22" s="1076" t="s">
        <v>258</v>
      </c>
      <c r="W22" s="1077"/>
      <c r="X22" s="1079"/>
      <c r="Y22" s="1079">
        <v>45126</v>
      </c>
      <c r="Z22" s="1076" t="s">
        <v>255</v>
      </c>
      <c r="AA22" s="1076">
        <v>0</v>
      </c>
      <c r="AB22" s="1076">
        <v>0</v>
      </c>
      <c r="AC22" s="1099">
        <v>78861179</v>
      </c>
    </row>
    <row r="23" spans="1:29" s="376" customFormat="1">
      <c r="A23" s="1075">
        <v>201</v>
      </c>
      <c r="B23" s="1076">
        <v>26</v>
      </c>
      <c r="C23" s="1076">
        <v>78137</v>
      </c>
      <c r="D23" s="1076">
        <v>171</v>
      </c>
      <c r="E23" s="1076" t="s">
        <v>673</v>
      </c>
      <c r="F23" s="1077" t="s">
        <v>674</v>
      </c>
      <c r="G23" s="1075">
        <v>901559034</v>
      </c>
      <c r="H23" s="1077" t="s">
        <v>675</v>
      </c>
      <c r="I23" s="1075" t="s">
        <v>923</v>
      </c>
      <c r="J23" s="1078" t="s">
        <v>490</v>
      </c>
      <c r="K23" s="1078" t="s">
        <v>671</v>
      </c>
      <c r="L23" s="1076">
        <v>377309</v>
      </c>
      <c r="M23" s="1079">
        <v>45121</v>
      </c>
      <c r="N23" s="1080">
        <v>5859088</v>
      </c>
      <c r="O23" s="1081">
        <v>0</v>
      </c>
      <c r="P23" s="1081">
        <v>0</v>
      </c>
      <c r="Q23" s="1081">
        <v>0</v>
      </c>
      <c r="R23" s="1081">
        <v>0</v>
      </c>
      <c r="S23" s="1082">
        <v>5859088</v>
      </c>
      <c r="T23" s="1076">
        <v>377309</v>
      </c>
      <c r="U23" s="1079">
        <v>45126</v>
      </c>
      <c r="V23" s="1076" t="s">
        <v>258</v>
      </c>
      <c r="W23" s="1077"/>
      <c r="X23" s="1079"/>
      <c r="Y23" s="1079">
        <v>45126</v>
      </c>
      <c r="Z23" s="1076" t="s">
        <v>254</v>
      </c>
      <c r="AA23" s="1076" t="s">
        <v>560</v>
      </c>
      <c r="AB23" s="1076" t="s">
        <v>559</v>
      </c>
      <c r="AC23" s="1099">
        <v>123994170</v>
      </c>
    </row>
    <row r="24" spans="1:29" s="376" customFormat="1">
      <c r="A24" s="1075">
        <v>201</v>
      </c>
      <c r="B24" s="1076">
        <v>27</v>
      </c>
      <c r="C24" s="1076">
        <v>78137</v>
      </c>
      <c r="D24" s="1076">
        <v>171</v>
      </c>
      <c r="E24" s="1076" t="s">
        <v>673</v>
      </c>
      <c r="F24" s="1077" t="s">
        <v>674</v>
      </c>
      <c r="G24" s="1075">
        <v>1017176509</v>
      </c>
      <c r="H24" s="1077" t="s">
        <v>742</v>
      </c>
      <c r="I24" s="1075" t="s">
        <v>924</v>
      </c>
      <c r="J24" s="1078" t="s">
        <v>490</v>
      </c>
      <c r="K24" s="1078" t="s">
        <v>743</v>
      </c>
      <c r="L24" s="1076">
        <v>377311</v>
      </c>
      <c r="M24" s="1079">
        <v>45121</v>
      </c>
      <c r="N24" s="1080">
        <v>1200000</v>
      </c>
      <c r="O24" s="1081">
        <v>0</v>
      </c>
      <c r="P24" s="1081">
        <v>0</v>
      </c>
      <c r="Q24" s="1081">
        <v>0</v>
      </c>
      <c r="R24" s="1081">
        <v>0</v>
      </c>
      <c r="S24" s="1082">
        <v>1200000</v>
      </c>
      <c r="T24" s="1076">
        <v>377311</v>
      </c>
      <c r="U24" s="1079">
        <v>45126</v>
      </c>
      <c r="V24" s="1076" t="s">
        <v>258</v>
      </c>
      <c r="W24" s="1077"/>
      <c r="X24" s="1079"/>
      <c r="Y24" s="1079">
        <v>45126</v>
      </c>
      <c r="Z24" s="1076" t="s">
        <v>254</v>
      </c>
      <c r="AA24" s="1076" t="s">
        <v>560</v>
      </c>
      <c r="AB24" s="1076" t="s">
        <v>559</v>
      </c>
      <c r="AC24" s="1099">
        <v>123994170</v>
      </c>
    </row>
    <row r="25" spans="1:29" s="376" customFormat="1">
      <c r="A25" s="1075">
        <v>201</v>
      </c>
      <c r="B25" s="1076">
        <v>28</v>
      </c>
      <c r="C25" s="1076">
        <v>83899</v>
      </c>
      <c r="D25" s="1076">
        <v>178</v>
      </c>
      <c r="E25" s="1076" t="s">
        <v>821</v>
      </c>
      <c r="F25" s="1077" t="s">
        <v>825</v>
      </c>
      <c r="G25" s="1075">
        <v>901572243</v>
      </c>
      <c r="H25" s="1077" t="s">
        <v>844</v>
      </c>
      <c r="I25" s="1075" t="s">
        <v>925</v>
      </c>
      <c r="J25" s="1078" t="s">
        <v>490</v>
      </c>
      <c r="K25" s="1078" t="s">
        <v>845</v>
      </c>
      <c r="L25" s="1076">
        <v>377655</v>
      </c>
      <c r="M25" s="1079">
        <v>45121</v>
      </c>
      <c r="N25" s="1080">
        <v>800000</v>
      </c>
      <c r="O25" s="1081">
        <v>26890.76</v>
      </c>
      <c r="P25" s="1081">
        <v>0</v>
      </c>
      <c r="Q25" s="1081">
        <v>0</v>
      </c>
      <c r="R25" s="1081">
        <v>0</v>
      </c>
      <c r="S25" s="1082">
        <v>773109.24</v>
      </c>
      <c r="T25" s="1076">
        <v>377655</v>
      </c>
      <c r="U25" s="1079">
        <v>45126</v>
      </c>
      <c r="V25" s="1076" t="s">
        <v>258</v>
      </c>
      <c r="W25" s="1077"/>
      <c r="X25" s="1079"/>
      <c r="Y25" s="1079">
        <v>45126</v>
      </c>
      <c r="Z25" s="1076" t="s">
        <v>254</v>
      </c>
      <c r="AA25" s="1076">
        <v>0</v>
      </c>
      <c r="AB25" s="1076">
        <v>0</v>
      </c>
      <c r="AC25" s="1099">
        <v>99827618</v>
      </c>
    </row>
    <row r="26" spans="1:29" s="376" customFormat="1">
      <c r="A26" s="1075">
        <v>201</v>
      </c>
      <c r="B26" s="1076">
        <v>29</v>
      </c>
      <c r="C26" s="1076">
        <v>74677</v>
      </c>
      <c r="D26" s="1076">
        <v>192</v>
      </c>
      <c r="E26" s="1076" t="s">
        <v>563</v>
      </c>
      <c r="F26" s="1077" t="s">
        <v>908</v>
      </c>
      <c r="G26" s="1075">
        <v>55237600</v>
      </c>
      <c r="H26" s="1077" t="s">
        <v>926</v>
      </c>
      <c r="I26" s="1075" t="s">
        <v>927</v>
      </c>
      <c r="J26" s="1078" t="s">
        <v>490</v>
      </c>
      <c r="K26" s="1078" t="s">
        <v>928</v>
      </c>
      <c r="L26" s="1076">
        <v>372945</v>
      </c>
      <c r="M26" s="1079">
        <v>45121</v>
      </c>
      <c r="N26" s="1080">
        <v>1050000</v>
      </c>
      <c r="O26" s="1081">
        <v>0</v>
      </c>
      <c r="P26" s="1081">
        <v>0</v>
      </c>
      <c r="Q26" s="1081">
        <v>0</v>
      </c>
      <c r="R26" s="1081">
        <v>0</v>
      </c>
      <c r="S26" s="1082">
        <v>1050000</v>
      </c>
      <c r="T26" s="1076">
        <v>372945</v>
      </c>
      <c r="U26" s="1079">
        <v>45126</v>
      </c>
      <c r="V26" s="1076" t="s">
        <v>258</v>
      </c>
      <c r="W26" s="1077"/>
      <c r="X26" s="1079"/>
      <c r="Y26" s="1079">
        <v>45126</v>
      </c>
      <c r="Z26" s="1076" t="s">
        <v>912</v>
      </c>
      <c r="AA26" s="1076" t="s">
        <v>913</v>
      </c>
      <c r="AB26" s="1076" t="s">
        <v>914</v>
      </c>
      <c r="AC26" s="1099">
        <v>80000000</v>
      </c>
    </row>
    <row r="27" spans="1:29" s="376" customFormat="1">
      <c r="A27" s="1075">
        <v>201</v>
      </c>
      <c r="B27" s="1076">
        <v>30</v>
      </c>
      <c r="C27" s="1076">
        <v>78678</v>
      </c>
      <c r="D27" s="1076">
        <v>188</v>
      </c>
      <c r="E27" s="1076" t="s">
        <v>929</v>
      </c>
      <c r="F27" s="1077" t="s">
        <v>930</v>
      </c>
      <c r="G27" s="1075">
        <v>1053786595</v>
      </c>
      <c r="H27" s="1077" t="s">
        <v>931</v>
      </c>
      <c r="I27" s="1075" t="s">
        <v>932</v>
      </c>
      <c r="J27" s="1078" t="s">
        <v>490</v>
      </c>
      <c r="K27" s="1078" t="s">
        <v>933</v>
      </c>
      <c r="L27" s="1076">
        <v>377096</v>
      </c>
      <c r="M27" s="1079">
        <v>45121</v>
      </c>
      <c r="N27" s="1080">
        <v>600000</v>
      </c>
      <c r="O27" s="1081">
        <v>0</v>
      </c>
      <c r="P27" s="1081">
        <v>0</v>
      </c>
      <c r="Q27" s="1081">
        <v>0</v>
      </c>
      <c r="R27" s="1081">
        <v>0</v>
      </c>
      <c r="S27" s="1082">
        <v>600000</v>
      </c>
      <c r="T27" s="1076">
        <v>377096</v>
      </c>
      <c r="U27" s="1079">
        <v>45126</v>
      </c>
      <c r="V27" s="1076" t="s">
        <v>258</v>
      </c>
      <c r="W27" s="1077"/>
      <c r="X27" s="1079"/>
      <c r="Y27" s="1079">
        <v>45126</v>
      </c>
      <c r="Z27" s="1076" t="s">
        <v>255</v>
      </c>
      <c r="AA27" s="1076" t="s">
        <v>913</v>
      </c>
      <c r="AB27" s="1076" t="s">
        <v>491</v>
      </c>
      <c r="AC27" s="1099">
        <v>62155955</v>
      </c>
    </row>
    <row r="28" spans="1:29" s="376" customFormat="1">
      <c r="A28" s="1075">
        <v>201</v>
      </c>
      <c r="B28" s="1076">
        <v>31</v>
      </c>
      <c r="C28" s="1076">
        <v>74677</v>
      </c>
      <c r="D28" s="1076">
        <v>192</v>
      </c>
      <c r="E28" s="1076" t="s">
        <v>563</v>
      </c>
      <c r="F28" s="1077" t="s">
        <v>908</v>
      </c>
      <c r="G28" s="1075">
        <v>55237600</v>
      </c>
      <c r="H28" s="1077" t="s">
        <v>926</v>
      </c>
      <c r="I28" s="1075" t="s">
        <v>934</v>
      </c>
      <c r="J28" s="1078" t="s">
        <v>490</v>
      </c>
      <c r="K28" s="1078" t="s">
        <v>928</v>
      </c>
      <c r="L28" s="1076">
        <v>377255</v>
      </c>
      <c r="M28" s="1079">
        <v>45121</v>
      </c>
      <c r="N28" s="1080">
        <v>1500000</v>
      </c>
      <c r="O28" s="1081">
        <v>0</v>
      </c>
      <c r="P28" s="1081">
        <v>0</v>
      </c>
      <c r="Q28" s="1081">
        <v>0</v>
      </c>
      <c r="R28" s="1081">
        <v>0</v>
      </c>
      <c r="S28" s="1082">
        <v>1500000</v>
      </c>
      <c r="T28" s="1076">
        <v>377255</v>
      </c>
      <c r="U28" s="1079">
        <v>45126</v>
      </c>
      <c r="V28" s="1076" t="s">
        <v>258</v>
      </c>
      <c r="W28" s="1077"/>
      <c r="X28" s="1079"/>
      <c r="Y28" s="1079">
        <v>45126</v>
      </c>
      <c r="Z28" s="1076" t="s">
        <v>912</v>
      </c>
      <c r="AA28" s="1076" t="s">
        <v>913</v>
      </c>
      <c r="AB28" s="1076" t="s">
        <v>914</v>
      </c>
      <c r="AC28" s="1099">
        <v>80000000</v>
      </c>
    </row>
    <row r="29" spans="1:29" s="376" customFormat="1">
      <c r="A29" s="1075">
        <v>201</v>
      </c>
      <c r="B29" s="1076">
        <v>32</v>
      </c>
      <c r="C29" s="1076">
        <v>74677</v>
      </c>
      <c r="D29" s="1076">
        <v>192</v>
      </c>
      <c r="E29" s="1076" t="s">
        <v>563</v>
      </c>
      <c r="F29" s="1077" t="s">
        <v>908</v>
      </c>
      <c r="G29" s="1075">
        <v>40944589</v>
      </c>
      <c r="H29" s="1077" t="s">
        <v>935</v>
      </c>
      <c r="I29" s="1075" t="s">
        <v>936</v>
      </c>
      <c r="J29" s="1078" t="s">
        <v>490</v>
      </c>
      <c r="K29" s="1078" t="s">
        <v>937</v>
      </c>
      <c r="L29" s="1076">
        <v>377258</v>
      </c>
      <c r="M29" s="1079">
        <v>45121</v>
      </c>
      <c r="N29" s="1080">
        <v>700000</v>
      </c>
      <c r="O29" s="1081">
        <v>0</v>
      </c>
      <c r="P29" s="1081">
        <v>0</v>
      </c>
      <c r="Q29" s="1081">
        <v>0</v>
      </c>
      <c r="R29" s="1081">
        <v>0</v>
      </c>
      <c r="S29" s="1082">
        <v>700000</v>
      </c>
      <c r="T29" s="1076">
        <v>377258</v>
      </c>
      <c r="U29" s="1079">
        <v>45126</v>
      </c>
      <c r="V29" s="1076" t="s">
        <v>258</v>
      </c>
      <c r="W29" s="1077"/>
      <c r="X29" s="1079"/>
      <c r="Y29" s="1079">
        <v>45126</v>
      </c>
      <c r="Z29" s="1076" t="s">
        <v>912</v>
      </c>
      <c r="AA29" s="1076" t="s">
        <v>913</v>
      </c>
      <c r="AB29" s="1076" t="s">
        <v>914</v>
      </c>
      <c r="AC29" s="1099">
        <v>80000000</v>
      </c>
    </row>
    <row r="30" spans="1:29" s="376" customFormat="1">
      <c r="A30" s="1075">
        <v>201</v>
      </c>
      <c r="B30" s="1076">
        <v>33</v>
      </c>
      <c r="C30" s="1076">
        <v>74677</v>
      </c>
      <c r="D30" s="1076">
        <v>192</v>
      </c>
      <c r="E30" s="1076" t="s">
        <v>563</v>
      </c>
      <c r="F30" s="1077" t="s">
        <v>908</v>
      </c>
      <c r="G30" s="1075">
        <v>40944589</v>
      </c>
      <c r="H30" s="1077" t="s">
        <v>935</v>
      </c>
      <c r="I30" s="1075" t="s">
        <v>938</v>
      </c>
      <c r="J30" s="1078" t="s">
        <v>490</v>
      </c>
      <c r="K30" s="1078" t="s">
        <v>937</v>
      </c>
      <c r="L30" s="1076">
        <v>377380</v>
      </c>
      <c r="M30" s="1079">
        <v>45121</v>
      </c>
      <c r="N30" s="1080">
        <v>1000000</v>
      </c>
      <c r="O30" s="1081">
        <v>0</v>
      </c>
      <c r="P30" s="1081">
        <v>0</v>
      </c>
      <c r="Q30" s="1081">
        <v>0</v>
      </c>
      <c r="R30" s="1081">
        <v>0</v>
      </c>
      <c r="S30" s="1082">
        <v>1000000</v>
      </c>
      <c r="T30" s="1076">
        <v>377380</v>
      </c>
      <c r="U30" s="1079">
        <v>45126</v>
      </c>
      <c r="V30" s="1076" t="s">
        <v>258</v>
      </c>
      <c r="W30" s="1077"/>
      <c r="X30" s="1079"/>
      <c r="Y30" s="1079">
        <v>45126</v>
      </c>
      <c r="Z30" s="1076" t="s">
        <v>912</v>
      </c>
      <c r="AA30" s="1076" t="s">
        <v>913</v>
      </c>
      <c r="AB30" s="1076" t="s">
        <v>914</v>
      </c>
      <c r="AC30" s="1099">
        <v>80000000</v>
      </c>
    </row>
    <row r="31" spans="1:29" s="376" customFormat="1">
      <c r="A31" s="1075">
        <v>201</v>
      </c>
      <c r="B31" s="1076">
        <v>34</v>
      </c>
      <c r="C31" s="1076">
        <v>80408</v>
      </c>
      <c r="D31" s="1076">
        <v>190</v>
      </c>
      <c r="E31" s="1076" t="s">
        <v>893</v>
      </c>
      <c r="F31" s="1077" t="s">
        <v>894</v>
      </c>
      <c r="G31" s="1075">
        <v>901709950</v>
      </c>
      <c r="H31" s="1077" t="s">
        <v>939</v>
      </c>
      <c r="I31" s="1075" t="s">
        <v>940</v>
      </c>
      <c r="J31" s="1078" t="s">
        <v>490</v>
      </c>
      <c r="K31" s="1078" t="s">
        <v>941</v>
      </c>
      <c r="L31" s="1076">
        <v>377948</v>
      </c>
      <c r="M31" s="1079">
        <v>45121</v>
      </c>
      <c r="N31" s="1080">
        <v>1452006</v>
      </c>
      <c r="O31" s="1081">
        <v>0</v>
      </c>
      <c r="P31" s="1081">
        <v>0</v>
      </c>
      <c r="Q31" s="1081">
        <v>0</v>
      </c>
      <c r="R31" s="1081">
        <v>0</v>
      </c>
      <c r="S31" s="1082">
        <v>1452006</v>
      </c>
      <c r="T31" s="1076">
        <v>377948</v>
      </c>
      <c r="U31" s="1079">
        <v>45126</v>
      </c>
      <c r="V31" s="1076" t="s">
        <v>258</v>
      </c>
      <c r="W31" s="1077"/>
      <c r="X31" s="1079"/>
      <c r="Y31" s="1079">
        <v>45126</v>
      </c>
      <c r="Z31" s="1076" t="s">
        <v>257</v>
      </c>
      <c r="AA31" s="1076">
        <v>0</v>
      </c>
      <c r="AB31" s="1076">
        <v>0</v>
      </c>
      <c r="AC31" s="1099">
        <v>79725000</v>
      </c>
    </row>
    <row r="32" spans="1:29" s="376" customFormat="1">
      <c r="A32" s="1075">
        <v>201</v>
      </c>
      <c r="B32" s="1076">
        <v>35</v>
      </c>
      <c r="C32" s="1076">
        <v>75533</v>
      </c>
      <c r="D32" s="1076">
        <v>169</v>
      </c>
      <c r="E32" s="1076" t="s">
        <v>827</v>
      </c>
      <c r="F32" s="1077" t="s">
        <v>829</v>
      </c>
      <c r="G32" s="1075">
        <v>901702564</v>
      </c>
      <c r="H32" s="1077" t="s">
        <v>853</v>
      </c>
      <c r="I32" s="1075" t="s">
        <v>942</v>
      </c>
      <c r="J32" s="1078" t="s">
        <v>490</v>
      </c>
      <c r="K32" s="1078" t="s">
        <v>854</v>
      </c>
      <c r="L32" s="1076">
        <v>378124</v>
      </c>
      <c r="M32" s="1079">
        <v>45121</v>
      </c>
      <c r="N32" s="1080">
        <v>6082238</v>
      </c>
      <c r="O32" s="1081">
        <v>0</v>
      </c>
      <c r="P32" s="1081">
        <v>0</v>
      </c>
      <c r="Q32" s="1081">
        <v>0</v>
      </c>
      <c r="R32" s="1081">
        <v>0</v>
      </c>
      <c r="S32" s="1082">
        <v>6082238</v>
      </c>
      <c r="T32" s="1076">
        <v>378124</v>
      </c>
      <c r="U32" s="1079">
        <v>45126</v>
      </c>
      <c r="V32" s="1076" t="s">
        <v>258</v>
      </c>
      <c r="W32" s="1077"/>
      <c r="X32" s="1079"/>
      <c r="Y32" s="1079">
        <v>45126</v>
      </c>
      <c r="Z32" s="1076" t="s">
        <v>779</v>
      </c>
      <c r="AA32" s="1076">
        <v>0</v>
      </c>
      <c r="AB32" s="1076">
        <v>0</v>
      </c>
      <c r="AC32" s="1099">
        <v>98584253</v>
      </c>
    </row>
    <row r="33" spans="1:29" s="376" customFormat="1">
      <c r="A33" s="1075">
        <v>201</v>
      </c>
      <c r="B33" s="1076">
        <v>36</v>
      </c>
      <c r="C33" s="1076">
        <v>75400</v>
      </c>
      <c r="D33" s="1076">
        <v>189</v>
      </c>
      <c r="E33" s="1076" t="s">
        <v>624</v>
      </c>
      <c r="F33" s="1077" t="s">
        <v>662</v>
      </c>
      <c r="G33" s="1075">
        <v>901586718</v>
      </c>
      <c r="H33" s="1077" t="s">
        <v>857</v>
      </c>
      <c r="I33" s="1075" t="s">
        <v>943</v>
      </c>
      <c r="J33" s="1078" t="s">
        <v>490</v>
      </c>
      <c r="K33" s="1078" t="s">
        <v>858</v>
      </c>
      <c r="L33" s="1076">
        <v>378200</v>
      </c>
      <c r="M33" s="1079">
        <v>45121</v>
      </c>
      <c r="N33" s="1080">
        <v>3205209</v>
      </c>
      <c r="O33" s="1081">
        <v>0</v>
      </c>
      <c r="P33" s="1081">
        <v>0</v>
      </c>
      <c r="Q33" s="1081">
        <v>0</v>
      </c>
      <c r="R33" s="1081">
        <v>0</v>
      </c>
      <c r="S33" s="1082">
        <v>3205209</v>
      </c>
      <c r="T33" s="1076">
        <v>378200</v>
      </c>
      <c r="U33" s="1079">
        <v>45126</v>
      </c>
      <c r="V33" s="1076" t="s">
        <v>258</v>
      </c>
      <c r="W33" s="1077"/>
      <c r="X33" s="1079"/>
      <c r="Y33" s="1079">
        <v>45126</v>
      </c>
      <c r="Z33" s="1076" t="s">
        <v>256</v>
      </c>
      <c r="AA33" s="1076" t="s">
        <v>560</v>
      </c>
      <c r="AB33" s="1076" t="s">
        <v>492</v>
      </c>
      <c r="AC33" s="1099">
        <v>79897937</v>
      </c>
    </row>
    <row r="34" spans="1:29" s="376" customFormat="1">
      <c r="A34" s="1075">
        <v>201</v>
      </c>
      <c r="B34" s="1076">
        <v>37</v>
      </c>
      <c r="C34" s="1076">
        <v>75400</v>
      </c>
      <c r="D34" s="1076">
        <v>189</v>
      </c>
      <c r="E34" s="1076" t="s">
        <v>624</v>
      </c>
      <c r="F34" s="1077" t="s">
        <v>662</v>
      </c>
      <c r="G34" s="1075">
        <v>42005269</v>
      </c>
      <c r="H34" s="1077" t="s">
        <v>850</v>
      </c>
      <c r="I34" s="1075" t="s">
        <v>944</v>
      </c>
      <c r="J34" s="1078" t="s">
        <v>493</v>
      </c>
      <c r="K34" s="1078" t="s">
        <v>851</v>
      </c>
      <c r="L34" s="1076">
        <v>378219</v>
      </c>
      <c r="M34" s="1079">
        <v>45121</v>
      </c>
      <c r="N34" s="1080">
        <v>500000</v>
      </c>
      <c r="O34" s="1081">
        <v>0</v>
      </c>
      <c r="P34" s="1081">
        <v>0</v>
      </c>
      <c r="Q34" s="1081">
        <v>0</v>
      </c>
      <c r="R34" s="1081">
        <v>0</v>
      </c>
      <c r="S34" s="1082">
        <v>500000</v>
      </c>
      <c r="T34" s="1076">
        <v>378219</v>
      </c>
      <c r="U34" s="1079">
        <v>45126</v>
      </c>
      <c r="V34" s="1076" t="s">
        <v>258</v>
      </c>
      <c r="W34" s="1077"/>
      <c r="X34" s="1079"/>
      <c r="Y34" s="1079">
        <v>45126</v>
      </c>
      <c r="Z34" s="1076" t="s">
        <v>256</v>
      </c>
      <c r="AA34" s="1076" t="s">
        <v>560</v>
      </c>
      <c r="AB34" s="1076" t="s">
        <v>492</v>
      </c>
      <c r="AC34" s="1099">
        <v>79897937</v>
      </c>
    </row>
    <row r="35" spans="1:29" s="376" customFormat="1">
      <c r="A35" s="1075">
        <v>201</v>
      </c>
      <c r="B35" s="1076">
        <v>38</v>
      </c>
      <c r="C35" s="1076">
        <v>78678</v>
      </c>
      <c r="D35" s="1076">
        <v>188</v>
      </c>
      <c r="E35" s="1076" t="s">
        <v>929</v>
      </c>
      <c r="F35" s="1077" t="s">
        <v>930</v>
      </c>
      <c r="G35" s="1075">
        <v>1053786595</v>
      </c>
      <c r="H35" s="1077" t="s">
        <v>931</v>
      </c>
      <c r="I35" s="1075" t="s">
        <v>945</v>
      </c>
      <c r="J35" s="1078" t="s">
        <v>490</v>
      </c>
      <c r="K35" s="1078" t="s">
        <v>933</v>
      </c>
      <c r="L35" s="1076">
        <v>378609</v>
      </c>
      <c r="M35" s="1079">
        <v>45121</v>
      </c>
      <c r="N35" s="1080">
        <v>591945</v>
      </c>
      <c r="O35" s="1081">
        <v>0</v>
      </c>
      <c r="P35" s="1081">
        <v>0</v>
      </c>
      <c r="Q35" s="1081">
        <v>0</v>
      </c>
      <c r="R35" s="1081">
        <v>0</v>
      </c>
      <c r="S35" s="1082">
        <v>591945</v>
      </c>
      <c r="T35" s="1076">
        <v>378609</v>
      </c>
      <c r="U35" s="1079">
        <v>45126</v>
      </c>
      <c r="V35" s="1076" t="s">
        <v>258</v>
      </c>
      <c r="W35" s="1077"/>
      <c r="X35" s="1079"/>
      <c r="Y35" s="1079">
        <v>45126</v>
      </c>
      <c r="Z35" s="1076" t="s">
        <v>255</v>
      </c>
      <c r="AA35" s="1076" t="s">
        <v>913</v>
      </c>
      <c r="AB35" s="1076" t="s">
        <v>491</v>
      </c>
      <c r="AC35" s="1099">
        <v>62155955</v>
      </c>
    </row>
    <row r="36" spans="1:29" s="376" customFormat="1">
      <c r="A36" s="1075">
        <v>201</v>
      </c>
      <c r="B36" s="1076">
        <v>39</v>
      </c>
      <c r="C36" s="1076">
        <v>80292</v>
      </c>
      <c r="D36" s="1076">
        <v>188</v>
      </c>
      <c r="E36" s="1076" t="s">
        <v>739</v>
      </c>
      <c r="F36" s="1077" t="s">
        <v>780</v>
      </c>
      <c r="G36" s="1075">
        <v>1053855558</v>
      </c>
      <c r="H36" s="1077" t="s">
        <v>859</v>
      </c>
      <c r="I36" s="1075" t="s">
        <v>946</v>
      </c>
      <c r="J36" s="1078" t="s">
        <v>490</v>
      </c>
      <c r="K36" s="1078" t="s">
        <v>860</v>
      </c>
      <c r="L36" s="1076">
        <v>377284</v>
      </c>
      <c r="M36" s="1079">
        <v>45121</v>
      </c>
      <c r="N36" s="1080">
        <v>1000000</v>
      </c>
      <c r="O36" s="1081">
        <v>0</v>
      </c>
      <c r="P36" s="1081">
        <v>0</v>
      </c>
      <c r="Q36" s="1081">
        <v>0</v>
      </c>
      <c r="R36" s="1081">
        <v>0</v>
      </c>
      <c r="S36" s="1082">
        <v>1000000</v>
      </c>
      <c r="T36" s="1076">
        <v>377284</v>
      </c>
      <c r="U36" s="1079">
        <v>45126</v>
      </c>
      <c r="V36" s="1076" t="s">
        <v>258</v>
      </c>
      <c r="W36" s="1077"/>
      <c r="X36" s="1079"/>
      <c r="Y36" s="1079">
        <v>45126</v>
      </c>
      <c r="Z36" s="1076" t="s">
        <v>255</v>
      </c>
      <c r="AA36" s="1076">
        <v>0</v>
      </c>
      <c r="AB36" s="1076">
        <v>0</v>
      </c>
      <c r="AC36" s="1099">
        <v>78861179</v>
      </c>
    </row>
    <row r="37" spans="1:29" s="376" customFormat="1">
      <c r="A37" s="1075">
        <v>201</v>
      </c>
      <c r="B37" s="1076">
        <v>40</v>
      </c>
      <c r="C37" s="1076">
        <v>78444</v>
      </c>
      <c r="D37" s="1076">
        <v>190</v>
      </c>
      <c r="E37" s="1076" t="s">
        <v>561</v>
      </c>
      <c r="F37" s="1077" t="s">
        <v>781</v>
      </c>
      <c r="G37" s="1075">
        <v>1064838981</v>
      </c>
      <c r="H37" s="1077" t="s">
        <v>947</v>
      </c>
      <c r="I37" s="1075" t="s">
        <v>948</v>
      </c>
      <c r="J37" s="1078" t="s">
        <v>490</v>
      </c>
      <c r="K37" s="1078" t="s">
        <v>949</v>
      </c>
      <c r="L37" s="1076">
        <v>377497</v>
      </c>
      <c r="M37" s="1079">
        <v>45121</v>
      </c>
      <c r="N37" s="1080">
        <v>1000000</v>
      </c>
      <c r="O37" s="1081">
        <v>0</v>
      </c>
      <c r="P37" s="1081">
        <v>0</v>
      </c>
      <c r="Q37" s="1081">
        <v>0</v>
      </c>
      <c r="R37" s="1081">
        <v>0</v>
      </c>
      <c r="S37" s="1082">
        <v>1000000</v>
      </c>
      <c r="T37" s="1076">
        <v>377497</v>
      </c>
      <c r="U37" s="1079">
        <v>45126</v>
      </c>
      <c r="V37" s="1076" t="s">
        <v>258</v>
      </c>
      <c r="W37" s="1077"/>
      <c r="X37" s="1079"/>
      <c r="Y37" s="1079">
        <v>45126</v>
      </c>
      <c r="Z37" s="1076" t="s">
        <v>257</v>
      </c>
      <c r="AA37" s="1076" t="s">
        <v>562</v>
      </c>
      <c r="AB37" s="1076" t="s">
        <v>491</v>
      </c>
      <c r="AC37" s="1099">
        <v>79935556</v>
      </c>
    </row>
    <row r="38" spans="1:29" s="376" customFormat="1">
      <c r="A38" s="1075">
        <v>201</v>
      </c>
      <c r="B38" s="1076">
        <v>41</v>
      </c>
      <c r="C38" s="1076">
        <v>74671</v>
      </c>
      <c r="D38" s="1076">
        <v>177</v>
      </c>
      <c r="E38" s="1076" t="s">
        <v>814</v>
      </c>
      <c r="F38" s="1077" t="s">
        <v>816</v>
      </c>
      <c r="G38" s="1075">
        <v>46379467</v>
      </c>
      <c r="H38" s="1077" t="s">
        <v>950</v>
      </c>
      <c r="I38" s="1075" t="s">
        <v>951</v>
      </c>
      <c r="J38" s="1078" t="s">
        <v>490</v>
      </c>
      <c r="K38" s="1078" t="s">
        <v>952</v>
      </c>
      <c r="L38" s="1076">
        <v>377536</v>
      </c>
      <c r="M38" s="1079">
        <v>45121</v>
      </c>
      <c r="N38" s="1080">
        <v>600000</v>
      </c>
      <c r="O38" s="1081">
        <v>0</v>
      </c>
      <c r="P38" s="1081">
        <v>0</v>
      </c>
      <c r="Q38" s="1081">
        <v>0</v>
      </c>
      <c r="R38" s="1081">
        <v>0</v>
      </c>
      <c r="S38" s="1082">
        <v>600000</v>
      </c>
      <c r="T38" s="1076">
        <v>377536</v>
      </c>
      <c r="U38" s="1079">
        <v>45126</v>
      </c>
      <c r="V38" s="1076" t="s">
        <v>258</v>
      </c>
      <c r="W38" s="1077"/>
      <c r="X38" s="1079"/>
      <c r="Y38" s="1079">
        <v>45126</v>
      </c>
      <c r="Z38" s="1076" t="s">
        <v>254</v>
      </c>
      <c r="AA38" s="1076">
        <v>0</v>
      </c>
      <c r="AB38" s="1076">
        <v>0</v>
      </c>
      <c r="AC38" s="1099">
        <v>79980864</v>
      </c>
    </row>
    <row r="39" spans="1:29" s="376" customFormat="1">
      <c r="A39" s="1075">
        <v>201</v>
      </c>
      <c r="B39" s="1076">
        <v>42</v>
      </c>
      <c r="C39" s="1076">
        <v>80408</v>
      </c>
      <c r="D39" s="1076">
        <v>190</v>
      </c>
      <c r="E39" s="1076" t="s">
        <v>893</v>
      </c>
      <c r="F39" s="1077" t="s">
        <v>894</v>
      </c>
      <c r="G39" s="1075">
        <v>901709950</v>
      </c>
      <c r="H39" s="1077" t="s">
        <v>939</v>
      </c>
      <c r="I39" s="1075" t="s">
        <v>953</v>
      </c>
      <c r="J39" s="1078" t="s">
        <v>490</v>
      </c>
      <c r="K39" s="1078" t="s">
        <v>941</v>
      </c>
      <c r="L39" s="1076">
        <v>377590</v>
      </c>
      <c r="M39" s="1079">
        <v>45121</v>
      </c>
      <c r="N39" s="1080">
        <v>472528</v>
      </c>
      <c r="O39" s="1081">
        <v>0</v>
      </c>
      <c r="P39" s="1081">
        <v>0</v>
      </c>
      <c r="Q39" s="1081">
        <v>0</v>
      </c>
      <c r="R39" s="1081">
        <v>0</v>
      </c>
      <c r="S39" s="1082">
        <v>472528</v>
      </c>
      <c r="T39" s="1076">
        <v>377590</v>
      </c>
      <c r="U39" s="1079">
        <v>45126</v>
      </c>
      <c r="V39" s="1076" t="s">
        <v>258</v>
      </c>
      <c r="W39" s="1077"/>
      <c r="X39" s="1079"/>
      <c r="Y39" s="1079">
        <v>45126</v>
      </c>
      <c r="Z39" s="1076" t="s">
        <v>257</v>
      </c>
      <c r="AA39" s="1076">
        <v>0</v>
      </c>
      <c r="AB39" s="1076">
        <v>0</v>
      </c>
      <c r="AC39" s="1099">
        <v>79725000</v>
      </c>
    </row>
    <row r="40" spans="1:29" s="376" customFormat="1">
      <c r="A40" s="1075">
        <v>201</v>
      </c>
      <c r="B40" s="1076">
        <v>43</v>
      </c>
      <c r="C40" s="1076">
        <v>64606</v>
      </c>
      <c r="D40" s="1076">
        <v>177</v>
      </c>
      <c r="E40" s="1076" t="s">
        <v>814</v>
      </c>
      <c r="F40" s="1077" t="s">
        <v>916</v>
      </c>
      <c r="G40" s="1075">
        <v>901694243</v>
      </c>
      <c r="H40" s="1077" t="s">
        <v>954</v>
      </c>
      <c r="I40" s="1075" t="s">
        <v>955</v>
      </c>
      <c r="J40" s="1078" t="s">
        <v>490</v>
      </c>
      <c r="K40" s="1078" t="s">
        <v>956</v>
      </c>
      <c r="L40" s="1076">
        <v>377669</v>
      </c>
      <c r="M40" s="1079">
        <v>45121</v>
      </c>
      <c r="N40" s="1080">
        <v>2957331</v>
      </c>
      <c r="O40" s="1081">
        <v>0</v>
      </c>
      <c r="P40" s="1081">
        <v>0</v>
      </c>
      <c r="Q40" s="1081">
        <v>0</v>
      </c>
      <c r="R40" s="1081">
        <v>0</v>
      </c>
      <c r="S40" s="1082">
        <v>2957331</v>
      </c>
      <c r="T40" s="1076">
        <v>377669</v>
      </c>
      <c r="U40" s="1079">
        <v>45126</v>
      </c>
      <c r="V40" s="1076" t="s">
        <v>258</v>
      </c>
      <c r="W40" s="1077"/>
      <c r="X40" s="1079"/>
      <c r="Y40" s="1079">
        <v>45126</v>
      </c>
      <c r="Z40" s="1076" t="s">
        <v>254</v>
      </c>
      <c r="AA40" s="1076">
        <v>0</v>
      </c>
      <c r="AB40" s="1076">
        <v>0</v>
      </c>
      <c r="AC40" s="1099">
        <v>79999548</v>
      </c>
    </row>
    <row r="41" spans="1:29" s="376" customFormat="1">
      <c r="A41" s="1075">
        <v>201</v>
      </c>
      <c r="B41" s="1076">
        <v>44</v>
      </c>
      <c r="C41" s="1076">
        <v>64606</v>
      </c>
      <c r="D41" s="1076">
        <v>177</v>
      </c>
      <c r="E41" s="1076" t="s">
        <v>814</v>
      </c>
      <c r="F41" s="1077" t="s">
        <v>916</v>
      </c>
      <c r="G41" s="1075">
        <v>46379467</v>
      </c>
      <c r="H41" s="1077" t="s">
        <v>950</v>
      </c>
      <c r="I41" s="1075" t="s">
        <v>957</v>
      </c>
      <c r="J41" s="1078" t="s">
        <v>490</v>
      </c>
      <c r="K41" s="1078" t="s">
        <v>952</v>
      </c>
      <c r="L41" s="1076">
        <v>377724</v>
      </c>
      <c r="M41" s="1079">
        <v>45121</v>
      </c>
      <c r="N41" s="1080">
        <v>1200000</v>
      </c>
      <c r="O41" s="1081">
        <v>0</v>
      </c>
      <c r="P41" s="1081">
        <v>0</v>
      </c>
      <c r="Q41" s="1081">
        <v>0</v>
      </c>
      <c r="R41" s="1081">
        <v>0</v>
      </c>
      <c r="S41" s="1082">
        <v>1200000</v>
      </c>
      <c r="T41" s="1076">
        <v>377724</v>
      </c>
      <c r="U41" s="1079">
        <v>45126</v>
      </c>
      <c r="V41" s="1076" t="s">
        <v>258</v>
      </c>
      <c r="W41" s="1077"/>
      <c r="X41" s="1079"/>
      <c r="Y41" s="1079">
        <v>45126</v>
      </c>
      <c r="Z41" s="1076" t="s">
        <v>254</v>
      </c>
      <c r="AA41" s="1076">
        <v>0</v>
      </c>
      <c r="AB41" s="1076">
        <v>0</v>
      </c>
      <c r="AC41" s="1099">
        <v>79999548</v>
      </c>
    </row>
    <row r="42" spans="1:29" s="376" customFormat="1">
      <c r="A42" s="1075">
        <v>201</v>
      </c>
      <c r="B42" s="1076">
        <v>45</v>
      </c>
      <c r="C42" s="1076">
        <v>78137</v>
      </c>
      <c r="D42" s="1076">
        <v>171</v>
      </c>
      <c r="E42" s="1076" t="s">
        <v>673</v>
      </c>
      <c r="F42" s="1077" t="s">
        <v>674</v>
      </c>
      <c r="G42" s="1075">
        <v>98699621</v>
      </c>
      <c r="H42" s="1077" t="s">
        <v>839</v>
      </c>
      <c r="I42" s="1075" t="s">
        <v>958</v>
      </c>
      <c r="J42" s="1078" t="s">
        <v>490</v>
      </c>
      <c r="K42" s="1078" t="s">
        <v>840</v>
      </c>
      <c r="L42" s="1076">
        <v>377791</v>
      </c>
      <c r="M42" s="1079">
        <v>45121</v>
      </c>
      <c r="N42" s="1080">
        <v>1280000</v>
      </c>
      <c r="O42" s="1081">
        <v>0</v>
      </c>
      <c r="P42" s="1081">
        <v>0</v>
      </c>
      <c r="Q42" s="1081">
        <v>0</v>
      </c>
      <c r="R42" s="1081">
        <v>0</v>
      </c>
      <c r="S42" s="1082">
        <v>1280000</v>
      </c>
      <c r="T42" s="1076">
        <v>377791</v>
      </c>
      <c r="U42" s="1079">
        <v>45126</v>
      </c>
      <c r="V42" s="1076" t="s">
        <v>258</v>
      </c>
      <c r="W42" s="1077"/>
      <c r="X42" s="1079"/>
      <c r="Y42" s="1079">
        <v>45126</v>
      </c>
      <c r="Z42" s="1076" t="s">
        <v>254</v>
      </c>
      <c r="AA42" s="1076" t="s">
        <v>560</v>
      </c>
      <c r="AB42" s="1076" t="s">
        <v>559</v>
      </c>
      <c r="AC42" s="1099">
        <v>123994170</v>
      </c>
    </row>
    <row r="43" spans="1:29" s="376" customFormat="1">
      <c r="A43" s="1075">
        <v>201</v>
      </c>
      <c r="B43" s="1076">
        <v>46</v>
      </c>
      <c r="C43" s="1076">
        <v>82177</v>
      </c>
      <c r="D43" s="1076">
        <v>188</v>
      </c>
      <c r="E43" s="1076" t="s">
        <v>833</v>
      </c>
      <c r="F43" s="1077" t="s">
        <v>959</v>
      </c>
      <c r="G43" s="1075">
        <v>30235969</v>
      </c>
      <c r="H43" s="1077" t="s">
        <v>795</v>
      </c>
      <c r="I43" s="1075" t="s">
        <v>960</v>
      </c>
      <c r="J43" s="1078" t="s">
        <v>490</v>
      </c>
      <c r="K43" s="1078" t="s">
        <v>796</v>
      </c>
      <c r="L43" s="1076">
        <v>378047</v>
      </c>
      <c r="M43" s="1079">
        <v>45121</v>
      </c>
      <c r="N43" s="1080">
        <v>600000</v>
      </c>
      <c r="O43" s="1081">
        <v>0</v>
      </c>
      <c r="P43" s="1081">
        <v>0</v>
      </c>
      <c r="Q43" s="1081">
        <v>0</v>
      </c>
      <c r="R43" s="1081">
        <v>0</v>
      </c>
      <c r="S43" s="1082">
        <v>600000</v>
      </c>
      <c r="T43" s="1076">
        <v>378047</v>
      </c>
      <c r="U43" s="1079">
        <v>45126</v>
      </c>
      <c r="V43" s="1076" t="s">
        <v>258</v>
      </c>
      <c r="W43" s="1077"/>
      <c r="X43" s="1079"/>
      <c r="Y43" s="1079">
        <v>45126</v>
      </c>
      <c r="Z43" s="1076" t="s">
        <v>255</v>
      </c>
      <c r="AA43" s="1076">
        <v>0</v>
      </c>
      <c r="AB43" s="1076">
        <v>0</v>
      </c>
      <c r="AC43" s="1099">
        <v>79999762</v>
      </c>
    </row>
    <row r="44" spans="1:29" s="376" customFormat="1">
      <c r="A44" s="1075">
        <v>201</v>
      </c>
      <c r="B44" s="1076">
        <v>47</v>
      </c>
      <c r="C44" s="1076">
        <v>82045</v>
      </c>
      <c r="D44" s="1076">
        <v>176</v>
      </c>
      <c r="E44" s="1076" t="s">
        <v>782</v>
      </c>
      <c r="F44" s="1077" t="s">
        <v>783</v>
      </c>
      <c r="G44" s="1075">
        <v>1110466761</v>
      </c>
      <c r="H44" s="1077" t="s">
        <v>799</v>
      </c>
      <c r="I44" s="1075" t="s">
        <v>961</v>
      </c>
      <c r="J44" s="1078" t="s">
        <v>490</v>
      </c>
      <c r="K44" s="1078" t="s">
        <v>800</v>
      </c>
      <c r="L44" s="1076">
        <v>378111</v>
      </c>
      <c r="M44" s="1079">
        <v>45121</v>
      </c>
      <c r="N44" s="1080">
        <v>500000</v>
      </c>
      <c r="O44" s="1081">
        <v>0</v>
      </c>
      <c r="P44" s="1081">
        <v>0</v>
      </c>
      <c r="Q44" s="1081">
        <v>0</v>
      </c>
      <c r="R44" s="1081">
        <v>0</v>
      </c>
      <c r="S44" s="1082">
        <v>500000</v>
      </c>
      <c r="T44" s="1076">
        <v>378111</v>
      </c>
      <c r="U44" s="1079">
        <v>45126</v>
      </c>
      <c r="V44" s="1076" t="s">
        <v>258</v>
      </c>
      <c r="W44" s="1077"/>
      <c r="X44" s="1079"/>
      <c r="Y44" s="1079">
        <v>45126</v>
      </c>
      <c r="Z44" s="1076" t="s">
        <v>784</v>
      </c>
      <c r="AA44" s="1076">
        <v>0</v>
      </c>
      <c r="AB44" s="1076">
        <v>0</v>
      </c>
      <c r="AC44" s="1099">
        <v>84000000</v>
      </c>
    </row>
    <row r="45" spans="1:29" s="376" customFormat="1">
      <c r="A45" s="1075">
        <v>201</v>
      </c>
      <c r="B45" s="1076">
        <v>49</v>
      </c>
      <c r="C45" s="1076">
        <v>78137</v>
      </c>
      <c r="D45" s="1076">
        <v>171</v>
      </c>
      <c r="E45" s="1076" t="s">
        <v>673</v>
      </c>
      <c r="F45" s="1077" t="s">
        <v>674</v>
      </c>
      <c r="G45" s="1075">
        <v>1028003169</v>
      </c>
      <c r="H45" s="1077" t="s">
        <v>552</v>
      </c>
      <c r="I45" s="1075" t="s">
        <v>962</v>
      </c>
      <c r="J45" s="1078" t="s">
        <v>490</v>
      </c>
      <c r="K45" s="1078" t="s">
        <v>553</v>
      </c>
      <c r="L45" s="1076">
        <v>377175</v>
      </c>
      <c r="M45" s="1079">
        <v>45121</v>
      </c>
      <c r="N45" s="1080">
        <v>600000</v>
      </c>
      <c r="O45" s="1081">
        <v>0</v>
      </c>
      <c r="P45" s="1081">
        <v>0</v>
      </c>
      <c r="Q45" s="1081">
        <v>0</v>
      </c>
      <c r="R45" s="1081">
        <v>0</v>
      </c>
      <c r="S45" s="1082">
        <v>600000</v>
      </c>
      <c r="T45" s="1076">
        <v>377175</v>
      </c>
      <c r="U45" s="1079">
        <v>45126</v>
      </c>
      <c r="V45" s="1076" t="s">
        <v>258</v>
      </c>
      <c r="W45" s="1077"/>
      <c r="X45" s="1079"/>
      <c r="Y45" s="1079">
        <v>45126</v>
      </c>
      <c r="Z45" s="1076" t="s">
        <v>254</v>
      </c>
      <c r="AA45" s="1076" t="s">
        <v>560</v>
      </c>
      <c r="AB45" s="1076" t="s">
        <v>559</v>
      </c>
      <c r="AC45" s="1099">
        <v>123994170</v>
      </c>
    </row>
    <row r="46" spans="1:29" s="376" customFormat="1">
      <c r="A46" s="1075">
        <v>201</v>
      </c>
      <c r="B46" s="1076">
        <v>51</v>
      </c>
      <c r="C46" s="1076">
        <v>74371</v>
      </c>
      <c r="D46" s="1076">
        <v>182</v>
      </c>
      <c r="E46" s="1076" t="s">
        <v>963</v>
      </c>
      <c r="F46" s="1077" t="s">
        <v>964</v>
      </c>
      <c r="G46" s="1075">
        <v>91441554</v>
      </c>
      <c r="H46" s="1077" t="s">
        <v>965</v>
      </c>
      <c r="I46" s="1075" t="s">
        <v>966</v>
      </c>
      <c r="J46" s="1078" t="s">
        <v>490</v>
      </c>
      <c r="K46" s="1078" t="s">
        <v>967</v>
      </c>
      <c r="L46" s="1076">
        <v>377668</v>
      </c>
      <c r="M46" s="1079">
        <v>45121</v>
      </c>
      <c r="N46" s="1080">
        <v>2081250</v>
      </c>
      <c r="O46" s="1081">
        <v>124875</v>
      </c>
      <c r="P46" s="1081">
        <v>0</v>
      </c>
      <c r="Q46" s="1081">
        <v>0</v>
      </c>
      <c r="R46" s="1081">
        <v>0</v>
      </c>
      <c r="S46" s="1082">
        <v>1956375</v>
      </c>
      <c r="T46" s="1076">
        <v>377668</v>
      </c>
      <c r="U46" s="1079">
        <v>45126</v>
      </c>
      <c r="V46" s="1076" t="s">
        <v>258</v>
      </c>
      <c r="W46" s="1077"/>
      <c r="X46" s="1079"/>
      <c r="Y46" s="1079">
        <v>45126</v>
      </c>
      <c r="Z46" s="1076" t="s">
        <v>968</v>
      </c>
      <c r="AA46" s="1076">
        <v>0</v>
      </c>
      <c r="AB46" s="1076">
        <v>0</v>
      </c>
      <c r="AC46" s="1099">
        <v>79970030</v>
      </c>
    </row>
    <row r="47" spans="1:29" s="376" customFormat="1">
      <c r="A47" s="1075">
        <v>201</v>
      </c>
      <c r="B47" s="1076">
        <v>52</v>
      </c>
      <c r="C47" s="1076">
        <v>80291</v>
      </c>
      <c r="D47" s="1076">
        <v>188</v>
      </c>
      <c r="E47" s="1076" t="s">
        <v>739</v>
      </c>
      <c r="F47" s="1077" t="s">
        <v>969</v>
      </c>
      <c r="G47" s="1075">
        <v>30405249</v>
      </c>
      <c r="H47" s="1077" t="s">
        <v>970</v>
      </c>
      <c r="I47" s="1075" t="s">
        <v>971</v>
      </c>
      <c r="J47" s="1078" t="s">
        <v>490</v>
      </c>
      <c r="K47" s="1078" t="s">
        <v>972</v>
      </c>
      <c r="L47" s="1076">
        <v>377701</v>
      </c>
      <c r="M47" s="1079">
        <v>45121</v>
      </c>
      <c r="N47" s="1080">
        <v>315000</v>
      </c>
      <c r="O47" s="1081">
        <v>0</v>
      </c>
      <c r="P47" s="1081">
        <v>0</v>
      </c>
      <c r="Q47" s="1081">
        <v>0</v>
      </c>
      <c r="R47" s="1081">
        <v>0</v>
      </c>
      <c r="S47" s="1082">
        <v>315000</v>
      </c>
      <c r="T47" s="1076">
        <v>377701</v>
      </c>
      <c r="U47" s="1079">
        <v>45126</v>
      </c>
      <c r="V47" s="1076" t="s">
        <v>258</v>
      </c>
      <c r="W47" s="1077"/>
      <c r="X47" s="1079"/>
      <c r="Y47" s="1079">
        <v>45126</v>
      </c>
      <c r="Z47" s="1076" t="s">
        <v>255</v>
      </c>
      <c r="AA47" s="1076">
        <v>0</v>
      </c>
      <c r="AB47" s="1076">
        <v>0</v>
      </c>
      <c r="AC47" s="1099">
        <v>79336000</v>
      </c>
    </row>
    <row r="48" spans="1:29" s="376" customFormat="1">
      <c r="A48" s="1075">
        <v>201</v>
      </c>
      <c r="B48" s="1076">
        <v>53</v>
      </c>
      <c r="C48" s="1076">
        <v>74058</v>
      </c>
      <c r="D48" s="1076">
        <v>179</v>
      </c>
      <c r="E48" s="1076" t="s">
        <v>973</v>
      </c>
      <c r="F48" s="1077" t="s">
        <v>974</v>
      </c>
      <c r="G48" s="1075">
        <v>78023004</v>
      </c>
      <c r="H48" s="1077" t="s">
        <v>975</v>
      </c>
      <c r="I48" s="1075" t="s">
        <v>976</v>
      </c>
      <c r="J48" s="1078" t="s">
        <v>490</v>
      </c>
      <c r="K48" s="1078" t="s">
        <v>977</v>
      </c>
      <c r="L48" s="1076">
        <v>377733</v>
      </c>
      <c r="M48" s="1079">
        <v>45121</v>
      </c>
      <c r="N48" s="1080">
        <v>500000</v>
      </c>
      <c r="O48" s="1081">
        <v>0</v>
      </c>
      <c r="P48" s="1081">
        <v>0</v>
      </c>
      <c r="Q48" s="1081">
        <v>0</v>
      </c>
      <c r="R48" s="1081">
        <v>0</v>
      </c>
      <c r="S48" s="1082">
        <v>500000</v>
      </c>
      <c r="T48" s="1076">
        <v>377733</v>
      </c>
      <c r="U48" s="1079">
        <v>45126</v>
      </c>
      <c r="V48" s="1076" t="s">
        <v>258</v>
      </c>
      <c r="W48" s="1077"/>
      <c r="X48" s="1079"/>
      <c r="Y48" s="1079">
        <v>45126</v>
      </c>
      <c r="Z48" s="1076" t="s">
        <v>978</v>
      </c>
      <c r="AA48" s="1076">
        <v>0</v>
      </c>
      <c r="AB48" s="1076">
        <v>0</v>
      </c>
      <c r="AC48" s="1099">
        <v>121685536</v>
      </c>
    </row>
    <row r="49" spans="1:29" s="376" customFormat="1">
      <c r="A49" s="1075">
        <v>201</v>
      </c>
      <c r="B49" s="1076">
        <v>54</v>
      </c>
      <c r="C49" s="1076">
        <v>82306</v>
      </c>
      <c r="D49" s="1076">
        <v>178</v>
      </c>
      <c r="E49" s="1076" t="s">
        <v>818</v>
      </c>
      <c r="F49" s="1077" t="s">
        <v>820</v>
      </c>
      <c r="G49" s="1075">
        <v>901178400</v>
      </c>
      <c r="H49" s="1077" t="s">
        <v>979</v>
      </c>
      <c r="I49" s="1075" t="s">
        <v>980</v>
      </c>
      <c r="J49" s="1078" t="s">
        <v>490</v>
      </c>
      <c r="K49" s="1078" t="s">
        <v>981</v>
      </c>
      <c r="L49" s="1076">
        <v>377803</v>
      </c>
      <c r="M49" s="1079">
        <v>45121</v>
      </c>
      <c r="N49" s="1080">
        <v>1344000</v>
      </c>
      <c r="O49" s="1081">
        <v>0</v>
      </c>
      <c r="P49" s="1081">
        <v>0</v>
      </c>
      <c r="Q49" s="1081">
        <v>0</v>
      </c>
      <c r="R49" s="1081">
        <v>0</v>
      </c>
      <c r="S49" s="1082">
        <v>1344000</v>
      </c>
      <c r="T49" s="1076">
        <v>377803</v>
      </c>
      <c r="U49" s="1079">
        <v>45126</v>
      </c>
      <c r="V49" s="1076" t="s">
        <v>258</v>
      </c>
      <c r="W49" s="1077"/>
      <c r="X49" s="1079"/>
      <c r="Y49" s="1079">
        <v>45126</v>
      </c>
      <c r="Z49" s="1076" t="s">
        <v>254</v>
      </c>
      <c r="AA49" s="1076">
        <v>0</v>
      </c>
      <c r="AB49" s="1076">
        <v>0</v>
      </c>
      <c r="AC49" s="1099">
        <v>99975320</v>
      </c>
    </row>
    <row r="50" spans="1:29" s="376" customFormat="1">
      <c r="A50" s="1075">
        <v>201</v>
      </c>
      <c r="B50" s="1076">
        <v>55</v>
      </c>
      <c r="C50" s="1076">
        <v>82177</v>
      </c>
      <c r="D50" s="1076">
        <v>188</v>
      </c>
      <c r="E50" s="1076" t="s">
        <v>833</v>
      </c>
      <c r="F50" s="1077" t="s">
        <v>959</v>
      </c>
      <c r="G50" s="1075">
        <v>9971297</v>
      </c>
      <c r="H50" s="1077" t="s">
        <v>982</v>
      </c>
      <c r="I50" s="1075" t="s">
        <v>983</v>
      </c>
      <c r="J50" s="1078" t="s">
        <v>490</v>
      </c>
      <c r="K50" s="1078" t="s">
        <v>984</v>
      </c>
      <c r="L50" s="1076">
        <v>378056</v>
      </c>
      <c r="M50" s="1079">
        <v>45121</v>
      </c>
      <c r="N50" s="1080">
        <v>5850000</v>
      </c>
      <c r="O50" s="1081">
        <v>117000</v>
      </c>
      <c r="P50" s="1081">
        <v>0</v>
      </c>
      <c r="Q50" s="1081">
        <v>0</v>
      </c>
      <c r="R50" s="1081">
        <v>0</v>
      </c>
      <c r="S50" s="1082">
        <v>5733000</v>
      </c>
      <c r="T50" s="1076">
        <v>378056</v>
      </c>
      <c r="U50" s="1079">
        <v>45126</v>
      </c>
      <c r="V50" s="1076" t="s">
        <v>258</v>
      </c>
      <c r="W50" s="1077"/>
      <c r="X50" s="1079"/>
      <c r="Y50" s="1079">
        <v>45126</v>
      </c>
      <c r="Z50" s="1076" t="s">
        <v>255</v>
      </c>
      <c r="AA50" s="1076">
        <v>0</v>
      </c>
      <c r="AB50" s="1076">
        <v>0</v>
      </c>
      <c r="AC50" s="1099">
        <v>79999762</v>
      </c>
    </row>
    <row r="51" spans="1:29" s="376" customFormat="1">
      <c r="A51" s="1075">
        <v>201</v>
      </c>
      <c r="B51" s="1076">
        <v>56</v>
      </c>
      <c r="C51" s="1076">
        <v>82306</v>
      </c>
      <c r="D51" s="1076">
        <v>178</v>
      </c>
      <c r="E51" s="1076" t="s">
        <v>818</v>
      </c>
      <c r="F51" s="1077" t="s">
        <v>820</v>
      </c>
      <c r="G51" s="1075">
        <v>71290588</v>
      </c>
      <c r="H51" s="1077" t="s">
        <v>985</v>
      </c>
      <c r="I51" s="1075" t="s">
        <v>986</v>
      </c>
      <c r="J51" s="1078" t="s">
        <v>490</v>
      </c>
      <c r="K51" s="1078" t="s">
        <v>987</v>
      </c>
      <c r="L51" s="1076">
        <v>378197</v>
      </c>
      <c r="M51" s="1079">
        <v>45121</v>
      </c>
      <c r="N51" s="1080">
        <v>1580000</v>
      </c>
      <c r="O51" s="1081">
        <v>0</v>
      </c>
      <c r="P51" s="1081">
        <v>0</v>
      </c>
      <c r="Q51" s="1081">
        <v>0</v>
      </c>
      <c r="R51" s="1081">
        <v>0</v>
      </c>
      <c r="S51" s="1082">
        <v>1580000</v>
      </c>
      <c r="T51" s="1076">
        <v>378197</v>
      </c>
      <c r="U51" s="1079">
        <v>45126</v>
      </c>
      <c r="V51" s="1076" t="s">
        <v>258</v>
      </c>
      <c r="W51" s="1077"/>
      <c r="X51" s="1079"/>
      <c r="Y51" s="1079">
        <v>45126</v>
      </c>
      <c r="Z51" s="1076" t="s">
        <v>254</v>
      </c>
      <c r="AA51" s="1076">
        <v>0</v>
      </c>
      <c r="AB51" s="1076">
        <v>0</v>
      </c>
      <c r="AC51" s="1099">
        <v>99975320</v>
      </c>
    </row>
    <row r="52" spans="1:29" s="376" customFormat="1">
      <c r="A52" s="1075">
        <v>202</v>
      </c>
      <c r="B52" s="1076">
        <v>1</v>
      </c>
      <c r="C52" s="1076">
        <v>82195</v>
      </c>
      <c r="D52" s="1076">
        <v>188</v>
      </c>
      <c r="E52" s="1076" t="s">
        <v>833</v>
      </c>
      <c r="F52" s="1077" t="s">
        <v>835</v>
      </c>
      <c r="G52" s="1075">
        <v>79650756</v>
      </c>
      <c r="H52" s="1077" t="s">
        <v>848</v>
      </c>
      <c r="I52" s="1075" t="s">
        <v>988</v>
      </c>
      <c r="J52" s="1078" t="s">
        <v>493</v>
      </c>
      <c r="K52" s="1078" t="s">
        <v>849</v>
      </c>
      <c r="L52" s="1076">
        <v>377356</v>
      </c>
      <c r="M52" s="1079">
        <v>45121</v>
      </c>
      <c r="N52" s="1080">
        <v>32200000</v>
      </c>
      <c r="O52" s="1081">
        <v>0</v>
      </c>
      <c r="P52" s="1081">
        <v>0</v>
      </c>
      <c r="Q52" s="1081">
        <v>0</v>
      </c>
      <c r="R52" s="1081">
        <v>0</v>
      </c>
      <c r="S52" s="1082">
        <v>32200000</v>
      </c>
      <c r="T52" s="1076">
        <v>377356</v>
      </c>
      <c r="U52" s="1079">
        <v>45126</v>
      </c>
      <c r="V52" s="1076" t="s">
        <v>258</v>
      </c>
      <c r="W52" s="1077"/>
      <c r="X52" s="1079"/>
      <c r="Y52" s="1079">
        <v>45126</v>
      </c>
      <c r="Z52" s="1076" t="s">
        <v>255</v>
      </c>
      <c r="AA52" s="1076">
        <v>0</v>
      </c>
      <c r="AB52" s="1076">
        <v>0</v>
      </c>
      <c r="AC52" s="1099">
        <v>79961200</v>
      </c>
    </row>
    <row r="53" spans="1:29" s="376" customFormat="1">
      <c r="A53" s="1075">
        <v>202</v>
      </c>
      <c r="B53" s="1076">
        <v>2</v>
      </c>
      <c r="C53" s="1076">
        <v>82306</v>
      </c>
      <c r="D53" s="1076">
        <v>178</v>
      </c>
      <c r="E53" s="1076" t="s">
        <v>818</v>
      </c>
      <c r="F53" s="1077" t="s">
        <v>820</v>
      </c>
      <c r="G53" s="1075">
        <v>901393760</v>
      </c>
      <c r="H53" s="1077" t="s">
        <v>989</v>
      </c>
      <c r="I53" s="1075" t="s">
        <v>990</v>
      </c>
      <c r="J53" s="1078" t="s">
        <v>490</v>
      </c>
      <c r="K53" s="1078" t="s">
        <v>991</v>
      </c>
      <c r="L53" s="1076">
        <v>378861</v>
      </c>
      <c r="M53" s="1079">
        <v>45125</v>
      </c>
      <c r="N53" s="1080">
        <v>6387899.7699999996</v>
      </c>
      <c r="O53" s="1081">
        <v>134199.57999999999</v>
      </c>
      <c r="P53" s="1081">
        <v>0</v>
      </c>
      <c r="Q53" s="1081">
        <v>10735.97</v>
      </c>
      <c r="R53" s="1081">
        <v>0</v>
      </c>
      <c r="S53" s="1082">
        <v>6242964.2199999997</v>
      </c>
      <c r="T53" s="1076">
        <v>378861</v>
      </c>
      <c r="U53" s="1079">
        <v>45128</v>
      </c>
      <c r="V53" s="1076" t="s">
        <v>258</v>
      </c>
      <c r="W53" s="1077"/>
      <c r="X53" s="1079"/>
      <c r="Y53" s="1079">
        <v>45128</v>
      </c>
      <c r="Z53" s="1076" t="s">
        <v>254</v>
      </c>
      <c r="AA53" s="1076">
        <v>0</v>
      </c>
      <c r="AB53" s="1076">
        <v>0</v>
      </c>
      <c r="AC53" s="1099">
        <v>99975320</v>
      </c>
    </row>
    <row r="54" spans="1:29" s="376" customFormat="1">
      <c r="A54" s="1075">
        <v>202</v>
      </c>
      <c r="B54" s="1076">
        <v>3</v>
      </c>
      <c r="C54" s="1076">
        <v>82306</v>
      </c>
      <c r="D54" s="1076">
        <v>178</v>
      </c>
      <c r="E54" s="1076" t="s">
        <v>818</v>
      </c>
      <c r="F54" s="1077" t="s">
        <v>820</v>
      </c>
      <c r="G54" s="1075">
        <v>901401205</v>
      </c>
      <c r="H54" s="1077" t="s">
        <v>992</v>
      </c>
      <c r="I54" s="1075" t="s">
        <v>993</v>
      </c>
      <c r="J54" s="1078" t="s">
        <v>490</v>
      </c>
      <c r="K54" s="1078" t="s">
        <v>852</v>
      </c>
      <c r="L54" s="1076">
        <v>378898</v>
      </c>
      <c r="M54" s="1079">
        <v>45125</v>
      </c>
      <c r="N54" s="1080">
        <v>8500000</v>
      </c>
      <c r="O54" s="1081">
        <v>178571.43</v>
      </c>
      <c r="P54" s="1081">
        <v>0</v>
      </c>
      <c r="Q54" s="1081">
        <v>71428.570000000007</v>
      </c>
      <c r="R54" s="1081">
        <v>0</v>
      </c>
      <c r="S54" s="1082">
        <v>8250000</v>
      </c>
      <c r="T54" s="1076">
        <v>378898</v>
      </c>
      <c r="U54" s="1079">
        <v>45128</v>
      </c>
      <c r="V54" s="1076" t="s">
        <v>258</v>
      </c>
      <c r="W54" s="1077"/>
      <c r="X54" s="1079"/>
      <c r="Y54" s="1079">
        <v>45128</v>
      </c>
      <c r="Z54" s="1076" t="s">
        <v>254</v>
      </c>
      <c r="AA54" s="1076">
        <v>0</v>
      </c>
      <c r="AB54" s="1076">
        <v>0</v>
      </c>
      <c r="AC54" s="1099">
        <v>99975320</v>
      </c>
    </row>
    <row r="55" spans="1:29" s="376" customFormat="1">
      <c r="A55" s="1075">
        <v>202</v>
      </c>
      <c r="B55" s="1076">
        <v>4</v>
      </c>
      <c r="C55" s="1076">
        <v>82308</v>
      </c>
      <c r="D55" s="1076">
        <v>178</v>
      </c>
      <c r="E55" s="1076" t="s">
        <v>821</v>
      </c>
      <c r="F55" s="1077" t="s">
        <v>823</v>
      </c>
      <c r="G55" s="1075">
        <v>901705269</v>
      </c>
      <c r="H55" s="1077" t="s">
        <v>994</v>
      </c>
      <c r="I55" s="1075" t="s">
        <v>995</v>
      </c>
      <c r="J55" s="1078" t="s">
        <v>490</v>
      </c>
      <c r="K55" s="1078" t="s">
        <v>996</v>
      </c>
      <c r="L55" s="1076">
        <v>378981</v>
      </c>
      <c r="M55" s="1079">
        <v>45125</v>
      </c>
      <c r="N55" s="1080">
        <v>1530000</v>
      </c>
      <c r="O55" s="1081">
        <v>32142.86</v>
      </c>
      <c r="P55" s="1081">
        <v>0</v>
      </c>
      <c r="Q55" s="1081">
        <v>12857.14</v>
      </c>
      <c r="R55" s="1081">
        <v>0</v>
      </c>
      <c r="S55" s="1082">
        <v>1485000</v>
      </c>
      <c r="T55" s="1076">
        <v>378981</v>
      </c>
      <c r="U55" s="1079">
        <v>45128</v>
      </c>
      <c r="V55" s="1076" t="s">
        <v>258</v>
      </c>
      <c r="W55" s="1077"/>
      <c r="X55" s="1079"/>
      <c r="Y55" s="1079">
        <v>45128</v>
      </c>
      <c r="Z55" s="1076" t="s">
        <v>254</v>
      </c>
      <c r="AA55" s="1076">
        <v>0</v>
      </c>
      <c r="AB55" s="1076">
        <v>0</v>
      </c>
      <c r="AC55" s="1099">
        <v>99829640</v>
      </c>
    </row>
    <row r="56" spans="1:29" s="376" customFormat="1">
      <c r="A56" s="1075">
        <v>202</v>
      </c>
      <c r="B56" s="1076">
        <v>5</v>
      </c>
      <c r="C56" s="1076">
        <v>73752</v>
      </c>
      <c r="D56" s="1076">
        <v>190</v>
      </c>
      <c r="E56" s="1076" t="s">
        <v>561</v>
      </c>
      <c r="F56" s="1077" t="s">
        <v>901</v>
      </c>
      <c r="G56" s="1075">
        <v>901449769</v>
      </c>
      <c r="H56" s="1077" t="s">
        <v>997</v>
      </c>
      <c r="I56" s="1075" t="s">
        <v>998</v>
      </c>
      <c r="J56" s="1078" t="s">
        <v>490</v>
      </c>
      <c r="K56" s="1078" t="s">
        <v>999</v>
      </c>
      <c r="L56" s="1076">
        <v>379031</v>
      </c>
      <c r="M56" s="1079">
        <v>45125</v>
      </c>
      <c r="N56" s="1080">
        <v>35977865</v>
      </c>
      <c r="O56" s="1081">
        <v>0</v>
      </c>
      <c r="P56" s="1081">
        <v>0</v>
      </c>
      <c r="Q56" s="1081">
        <v>0</v>
      </c>
      <c r="R56" s="1081">
        <v>0</v>
      </c>
      <c r="S56" s="1082">
        <v>35977865</v>
      </c>
      <c r="T56" s="1076">
        <v>379031</v>
      </c>
      <c r="U56" s="1079">
        <v>45128</v>
      </c>
      <c r="V56" s="1076" t="s">
        <v>258</v>
      </c>
      <c r="W56" s="1077"/>
      <c r="X56" s="1079"/>
      <c r="Y56" s="1079">
        <v>45128</v>
      </c>
      <c r="Z56" s="1076" t="s">
        <v>257</v>
      </c>
      <c r="AA56" s="1076" t="s">
        <v>562</v>
      </c>
      <c r="AB56" s="1076" t="s">
        <v>491</v>
      </c>
      <c r="AC56" s="1099">
        <v>79852054</v>
      </c>
    </row>
    <row r="57" spans="1:29" s="376" customFormat="1">
      <c r="A57" s="1075">
        <v>203</v>
      </c>
      <c r="B57" s="1076">
        <v>1</v>
      </c>
      <c r="C57" s="1076">
        <v>82045</v>
      </c>
      <c r="D57" s="1076">
        <v>176</v>
      </c>
      <c r="E57" s="1076" t="s">
        <v>782</v>
      </c>
      <c r="F57" s="1077" t="s">
        <v>783</v>
      </c>
      <c r="G57" s="1075">
        <v>15904273</v>
      </c>
      <c r="H57" s="1077" t="s">
        <v>1000</v>
      </c>
      <c r="I57" s="1075" t="s">
        <v>1001</v>
      </c>
      <c r="J57" s="1078" t="s">
        <v>490</v>
      </c>
      <c r="K57" s="1078" t="s">
        <v>1002</v>
      </c>
      <c r="L57" s="1076">
        <v>378797</v>
      </c>
      <c r="M57" s="1079">
        <v>45125</v>
      </c>
      <c r="N57" s="1080">
        <v>26000000</v>
      </c>
      <c r="O57" s="1081">
        <v>619047.63</v>
      </c>
      <c r="P57" s="1081">
        <v>0</v>
      </c>
      <c r="Q57" s="1081">
        <v>0</v>
      </c>
      <c r="R57" s="1081">
        <v>0</v>
      </c>
      <c r="S57" s="1082">
        <v>25380952.370000001</v>
      </c>
      <c r="T57" s="1076">
        <v>378797</v>
      </c>
      <c r="U57" s="1079">
        <v>45131</v>
      </c>
      <c r="V57" s="1076" t="s">
        <v>258</v>
      </c>
      <c r="W57" s="1077"/>
      <c r="X57" s="1079"/>
      <c r="Y57" s="1079">
        <v>45131</v>
      </c>
      <c r="Z57" s="1076" t="s">
        <v>784</v>
      </c>
      <c r="AA57" s="1076">
        <v>0</v>
      </c>
      <c r="AB57" s="1076">
        <v>0</v>
      </c>
      <c r="AC57" s="1099">
        <v>84000000</v>
      </c>
    </row>
    <row r="58" spans="1:29" s="376" customFormat="1">
      <c r="A58" s="1075">
        <v>203</v>
      </c>
      <c r="B58" s="1076">
        <v>2</v>
      </c>
      <c r="C58" s="1076">
        <v>80408</v>
      </c>
      <c r="D58" s="1076">
        <v>190</v>
      </c>
      <c r="E58" s="1076" t="s">
        <v>893</v>
      </c>
      <c r="F58" s="1077" t="s">
        <v>894</v>
      </c>
      <c r="G58" s="1075">
        <v>53139809</v>
      </c>
      <c r="H58" s="1077" t="s">
        <v>1003</v>
      </c>
      <c r="I58" s="1075" t="s">
        <v>1004</v>
      </c>
      <c r="J58" s="1078" t="s">
        <v>490</v>
      </c>
      <c r="K58" s="1078" t="s">
        <v>1005</v>
      </c>
      <c r="L58" s="1076">
        <v>379100</v>
      </c>
      <c r="M58" s="1079">
        <v>45125</v>
      </c>
      <c r="N58" s="1080">
        <v>5600000</v>
      </c>
      <c r="O58" s="1081">
        <v>117647.37</v>
      </c>
      <c r="P58" s="1081">
        <v>0</v>
      </c>
      <c r="Q58" s="1081">
        <v>0</v>
      </c>
      <c r="R58" s="1081">
        <v>0</v>
      </c>
      <c r="S58" s="1082">
        <v>5482352.6300000008</v>
      </c>
      <c r="T58" s="1076">
        <v>379100</v>
      </c>
      <c r="U58" s="1079">
        <v>45131</v>
      </c>
      <c r="V58" s="1076" t="s">
        <v>258</v>
      </c>
      <c r="W58" s="1077"/>
      <c r="X58" s="1079"/>
      <c r="Y58" s="1079">
        <v>45131</v>
      </c>
      <c r="Z58" s="1076" t="s">
        <v>257</v>
      </c>
      <c r="AA58" s="1076">
        <v>0</v>
      </c>
      <c r="AB58" s="1076">
        <v>0</v>
      </c>
      <c r="AC58" s="1099">
        <v>79725000</v>
      </c>
    </row>
    <row r="59" spans="1:29">
      <c r="A59" s="656"/>
      <c r="B59" s="656"/>
      <c r="C59" s="656"/>
      <c r="D59" s="656"/>
      <c r="E59" s="656"/>
      <c r="F59" s="656"/>
      <c r="G59" s="656"/>
      <c r="H59" s="656"/>
      <c r="I59" s="656"/>
      <c r="J59" s="656"/>
      <c r="K59" s="656"/>
      <c r="L59" s="656"/>
      <c r="M59" s="293"/>
      <c r="N59" s="789"/>
      <c r="O59" s="789"/>
      <c r="P59" s="789"/>
      <c r="Q59" s="789"/>
      <c r="R59" s="789"/>
      <c r="S59" s="789"/>
      <c r="T59" s="656"/>
      <c r="U59" s="293"/>
      <c r="V59" s="656"/>
      <c r="W59" s="656"/>
      <c r="X59" s="656"/>
      <c r="Y59" s="293"/>
      <c r="Z59" s="656"/>
      <c r="AA59" s="656"/>
      <c r="AB59" s="656"/>
      <c r="AC59" s="656"/>
    </row>
    <row r="60" spans="1:29">
      <c r="A60" s="656"/>
      <c r="B60" s="656"/>
      <c r="C60" s="656"/>
      <c r="D60" s="656"/>
      <c r="E60" s="656"/>
      <c r="F60" s="656"/>
      <c r="G60" s="656"/>
      <c r="H60" s="656"/>
      <c r="I60" s="656"/>
      <c r="J60" s="656"/>
      <c r="K60" s="656"/>
      <c r="L60" s="656"/>
      <c r="M60" s="293"/>
      <c r="N60" s="789"/>
      <c r="O60" s="789"/>
      <c r="P60" s="789"/>
      <c r="Q60" s="789"/>
      <c r="R60" s="789"/>
      <c r="S60" s="789"/>
      <c r="T60" s="656"/>
      <c r="U60" s="293"/>
      <c r="V60" s="656"/>
      <c r="W60" s="656"/>
      <c r="X60" s="656"/>
      <c r="Y60" s="293"/>
      <c r="Z60" s="656"/>
      <c r="AA60" s="656"/>
      <c r="AB60" s="656"/>
      <c r="AC60" s="656"/>
    </row>
    <row r="61" spans="1:29">
      <c r="A61" s="656"/>
      <c r="B61" s="656"/>
      <c r="C61" s="656"/>
      <c r="D61" s="656"/>
      <c r="E61" s="656"/>
      <c r="F61" s="656"/>
      <c r="G61" s="656"/>
      <c r="H61" s="656"/>
      <c r="I61" s="656"/>
      <c r="J61" s="656"/>
      <c r="K61" s="656"/>
      <c r="L61" s="656"/>
      <c r="M61" s="293"/>
      <c r="N61" s="789"/>
      <c r="O61" s="789"/>
      <c r="P61" s="789"/>
      <c r="Q61" s="789"/>
      <c r="R61" s="789"/>
      <c r="S61" s="789"/>
      <c r="T61" s="656"/>
      <c r="U61" s="293"/>
      <c r="V61" s="656"/>
      <c r="W61" s="656"/>
      <c r="X61" s="656"/>
      <c r="Y61" s="293"/>
      <c r="Z61" s="656"/>
      <c r="AA61" s="656"/>
      <c r="AB61" s="656"/>
      <c r="AC61" s="656"/>
    </row>
    <row r="62" spans="1:29">
      <c r="A62" s="656"/>
      <c r="B62" s="656"/>
      <c r="C62" s="656"/>
      <c r="D62" s="656"/>
      <c r="E62" s="656"/>
      <c r="F62" s="656"/>
      <c r="G62" s="656"/>
      <c r="H62" s="656"/>
      <c r="I62" s="656"/>
      <c r="J62" s="656"/>
      <c r="K62" s="656"/>
      <c r="L62" s="656"/>
      <c r="M62" s="293"/>
      <c r="N62" s="789"/>
      <c r="O62" s="789"/>
      <c r="P62" s="789"/>
      <c r="Q62" s="789"/>
      <c r="R62" s="789"/>
      <c r="S62" s="789"/>
      <c r="T62" s="656"/>
      <c r="U62" s="293"/>
      <c r="V62" s="656"/>
      <c r="W62" s="656"/>
      <c r="X62" s="656"/>
      <c r="Y62" s="293"/>
      <c r="Z62" s="656"/>
      <c r="AA62" s="656"/>
      <c r="AB62" s="656"/>
      <c r="AC62" s="656"/>
    </row>
    <row r="63" spans="1:29">
      <c r="A63" s="656"/>
      <c r="B63" s="656"/>
      <c r="C63" s="656"/>
      <c r="D63" s="656"/>
      <c r="E63" s="656"/>
      <c r="F63" s="656"/>
      <c r="G63" s="656"/>
      <c r="H63" s="656"/>
      <c r="I63" s="656"/>
      <c r="J63" s="656"/>
      <c r="K63" s="656"/>
      <c r="L63" s="656"/>
      <c r="M63" s="293"/>
      <c r="N63" s="789"/>
      <c r="O63" s="789"/>
      <c r="P63" s="789"/>
      <c r="Q63" s="789"/>
      <c r="R63" s="789"/>
      <c r="S63" s="789"/>
      <c r="T63" s="656"/>
      <c r="U63" s="293"/>
      <c r="V63" s="656"/>
      <c r="W63" s="656"/>
      <c r="X63" s="656"/>
      <c r="Y63" s="293"/>
      <c r="Z63" s="656"/>
      <c r="AA63" s="656"/>
      <c r="AB63" s="656"/>
      <c r="AC63" s="656"/>
    </row>
    <row r="64" spans="1:29">
      <c r="A64" s="656"/>
      <c r="B64" s="656"/>
      <c r="C64" s="656"/>
      <c r="D64" s="656"/>
      <c r="E64" s="656"/>
      <c r="F64" s="656"/>
      <c r="G64" s="656"/>
      <c r="H64" s="656"/>
      <c r="I64" s="656"/>
      <c r="J64" s="656"/>
      <c r="K64" s="656"/>
      <c r="L64" s="656"/>
      <c r="M64" s="293"/>
      <c r="N64" s="789"/>
      <c r="O64" s="789"/>
      <c r="P64" s="789"/>
      <c r="Q64" s="789"/>
      <c r="R64" s="789"/>
      <c r="S64" s="789"/>
      <c r="T64" s="656"/>
      <c r="U64" s="293"/>
      <c r="V64" s="656"/>
      <c r="W64" s="656"/>
      <c r="X64" s="656"/>
      <c r="Y64" s="293"/>
      <c r="Z64" s="656"/>
      <c r="AA64" s="656"/>
      <c r="AB64" s="656"/>
      <c r="AC64" s="656"/>
    </row>
    <row r="65" spans="1:29">
      <c r="A65" s="656"/>
      <c r="B65" s="656"/>
      <c r="C65" s="656"/>
      <c r="D65" s="656"/>
      <c r="E65" s="656"/>
      <c r="F65" s="656"/>
      <c r="G65" s="656"/>
      <c r="H65" s="656"/>
      <c r="I65" s="656"/>
      <c r="J65" s="656"/>
      <c r="K65" s="656"/>
      <c r="L65" s="656"/>
      <c r="M65" s="293"/>
      <c r="N65" s="789"/>
      <c r="O65" s="789"/>
      <c r="P65" s="789"/>
      <c r="Q65" s="789"/>
      <c r="R65" s="789"/>
      <c r="S65" s="789"/>
      <c r="T65" s="656"/>
      <c r="U65" s="293"/>
      <c r="V65" s="656"/>
      <c r="W65" s="656"/>
      <c r="X65" s="656"/>
      <c r="Y65" s="293"/>
      <c r="Z65" s="656"/>
      <c r="AA65" s="656"/>
      <c r="AB65" s="656"/>
      <c r="AC65" s="656"/>
    </row>
    <row r="66" spans="1:29">
      <c r="A66" s="656"/>
      <c r="B66" s="656"/>
      <c r="C66" s="656"/>
      <c r="D66" s="656"/>
      <c r="E66" s="656"/>
      <c r="F66" s="656"/>
      <c r="G66" s="656"/>
      <c r="H66" s="656"/>
      <c r="I66" s="656"/>
      <c r="J66" s="656"/>
      <c r="K66" s="656"/>
      <c r="L66" s="656"/>
      <c r="M66" s="293"/>
      <c r="N66" s="789"/>
      <c r="O66" s="789"/>
      <c r="P66" s="789"/>
      <c r="Q66" s="789"/>
      <c r="R66" s="789"/>
      <c r="S66" s="789"/>
      <c r="T66" s="656"/>
      <c r="U66" s="293"/>
      <c r="V66" s="656"/>
      <c r="W66" s="656"/>
      <c r="X66" s="656"/>
      <c r="Y66" s="293"/>
      <c r="Z66" s="656"/>
      <c r="AA66" s="656"/>
      <c r="AB66" s="656"/>
      <c r="AC66" s="656"/>
    </row>
    <row r="67" spans="1:29">
      <c r="A67" s="656"/>
      <c r="B67" s="656"/>
      <c r="C67" s="656"/>
      <c r="D67" s="656"/>
      <c r="E67" s="656"/>
      <c r="F67" s="656"/>
      <c r="G67" s="656"/>
      <c r="H67" s="656"/>
      <c r="I67" s="656"/>
      <c r="J67" s="656"/>
      <c r="K67" s="656"/>
      <c r="L67" s="656"/>
      <c r="M67" s="293"/>
      <c r="N67" s="789"/>
      <c r="O67" s="789"/>
      <c r="P67" s="789"/>
      <c r="Q67" s="789"/>
      <c r="R67" s="789"/>
      <c r="S67" s="789"/>
      <c r="T67" s="656"/>
      <c r="U67" s="293"/>
      <c r="V67" s="656"/>
      <c r="W67" s="656"/>
      <c r="X67" s="656"/>
      <c r="Y67" s="293"/>
      <c r="Z67" s="656"/>
      <c r="AA67" s="656"/>
      <c r="AB67" s="656"/>
      <c r="AC67" s="656"/>
    </row>
    <row r="68" spans="1:29">
      <c r="A68" s="656"/>
      <c r="B68" s="656"/>
      <c r="C68" s="656"/>
      <c r="D68" s="656"/>
      <c r="E68" s="656"/>
      <c r="F68" s="656"/>
      <c r="G68" s="656"/>
      <c r="H68" s="656"/>
      <c r="I68" s="656"/>
      <c r="J68" s="656"/>
      <c r="K68" s="656"/>
      <c r="L68" s="656"/>
      <c r="M68" s="293"/>
      <c r="N68" s="789"/>
      <c r="O68" s="789"/>
      <c r="P68" s="789"/>
      <c r="Q68" s="789"/>
      <c r="R68" s="789"/>
      <c r="S68" s="789"/>
      <c r="T68" s="656"/>
      <c r="U68" s="293"/>
      <c r="V68" s="656"/>
      <c r="W68" s="656"/>
      <c r="X68" s="656"/>
      <c r="Y68" s="293"/>
      <c r="Z68" s="656"/>
      <c r="AA68" s="656"/>
      <c r="AB68" s="656"/>
      <c r="AC68" s="656"/>
    </row>
    <row r="69" spans="1:29">
      <c r="A69" s="656"/>
      <c r="B69" s="656"/>
      <c r="C69" s="656"/>
      <c r="D69" s="656"/>
      <c r="E69" s="656"/>
      <c r="F69" s="656"/>
      <c r="G69" s="656"/>
      <c r="H69" s="656"/>
      <c r="I69" s="656"/>
      <c r="J69" s="656"/>
      <c r="K69" s="656"/>
      <c r="L69" s="656"/>
      <c r="M69" s="293"/>
      <c r="N69" s="789"/>
      <c r="O69" s="789"/>
      <c r="P69" s="789"/>
      <c r="Q69" s="789"/>
      <c r="R69" s="789"/>
      <c r="S69" s="789"/>
      <c r="T69" s="656"/>
      <c r="U69" s="293"/>
      <c r="V69" s="656"/>
      <c r="W69" s="656"/>
      <c r="X69" s="656"/>
      <c r="Y69" s="293"/>
      <c r="Z69" s="656"/>
      <c r="AA69" s="656"/>
      <c r="AB69" s="656"/>
      <c r="AC69" s="656"/>
    </row>
    <row r="70" spans="1:29">
      <c r="A70" s="656"/>
      <c r="B70" s="656"/>
      <c r="C70" s="656"/>
      <c r="D70" s="656"/>
      <c r="E70" s="656"/>
      <c r="F70" s="656"/>
      <c r="G70" s="656"/>
      <c r="H70" s="656"/>
      <c r="I70" s="656"/>
      <c r="J70" s="656"/>
      <c r="K70" s="656"/>
      <c r="L70" s="656"/>
      <c r="M70" s="293"/>
      <c r="N70" s="789"/>
      <c r="O70" s="789"/>
      <c r="P70" s="789"/>
      <c r="Q70" s="789"/>
      <c r="R70" s="789"/>
      <c r="S70" s="789"/>
      <c r="T70" s="656"/>
      <c r="U70" s="293"/>
      <c r="V70" s="656"/>
      <c r="W70" s="656"/>
      <c r="X70" s="656"/>
      <c r="Y70" s="293"/>
      <c r="Z70" s="656"/>
      <c r="AA70" s="656"/>
      <c r="AB70" s="656"/>
      <c r="AC70" s="656"/>
    </row>
    <row r="71" spans="1:29">
      <c r="A71" s="656"/>
      <c r="B71" s="656"/>
      <c r="C71" s="656"/>
      <c r="D71" s="656"/>
      <c r="E71" s="656"/>
      <c r="F71" s="656"/>
      <c r="G71" s="656"/>
      <c r="H71" s="656"/>
      <c r="I71" s="656"/>
      <c r="J71" s="656"/>
      <c r="K71" s="656"/>
      <c r="L71" s="656"/>
      <c r="M71" s="293"/>
      <c r="N71" s="789"/>
      <c r="O71" s="789"/>
      <c r="P71" s="789"/>
      <c r="Q71" s="789"/>
      <c r="R71" s="789"/>
      <c r="S71" s="789"/>
      <c r="T71" s="656"/>
      <c r="U71" s="293"/>
      <c r="V71" s="656"/>
      <c r="W71" s="656"/>
      <c r="X71" s="656"/>
      <c r="Y71" s="293"/>
      <c r="Z71" s="656"/>
      <c r="AA71" s="656"/>
      <c r="AB71" s="656"/>
      <c r="AC71" s="656"/>
    </row>
    <row r="72" spans="1:29">
      <c r="A72" s="656"/>
      <c r="B72" s="656"/>
      <c r="C72" s="656"/>
      <c r="D72" s="656"/>
      <c r="E72" s="656"/>
      <c r="F72" s="656"/>
      <c r="G72" s="656"/>
      <c r="H72" s="656"/>
      <c r="I72" s="656"/>
      <c r="J72" s="656"/>
      <c r="K72" s="656"/>
      <c r="L72" s="656"/>
      <c r="M72" s="293"/>
      <c r="N72" s="789"/>
      <c r="O72" s="789"/>
      <c r="P72" s="789"/>
      <c r="Q72" s="789"/>
      <c r="R72" s="789"/>
      <c r="S72" s="789"/>
      <c r="T72" s="656"/>
      <c r="U72" s="293"/>
      <c r="V72" s="656"/>
      <c r="W72" s="656"/>
      <c r="X72" s="656"/>
      <c r="Y72" s="293"/>
      <c r="Z72" s="656"/>
      <c r="AA72" s="656"/>
      <c r="AB72" s="656"/>
      <c r="AC72" s="656"/>
    </row>
    <row r="73" spans="1:29">
      <c r="A73" s="656"/>
      <c r="B73" s="656"/>
      <c r="C73" s="656"/>
      <c r="D73" s="656"/>
      <c r="E73" s="656"/>
      <c r="F73" s="656"/>
      <c r="G73" s="656"/>
      <c r="H73" s="656"/>
      <c r="I73" s="656"/>
      <c r="J73" s="656"/>
      <c r="K73" s="656"/>
      <c r="L73" s="656"/>
      <c r="M73" s="293"/>
      <c r="N73" s="789"/>
      <c r="O73" s="789"/>
      <c r="P73" s="789"/>
      <c r="Q73" s="789"/>
      <c r="R73" s="789"/>
      <c r="S73" s="789"/>
      <c r="T73" s="656"/>
      <c r="U73" s="293"/>
      <c r="V73" s="656"/>
      <c r="W73" s="656"/>
      <c r="X73" s="656"/>
      <c r="Y73" s="293"/>
      <c r="Z73" s="656"/>
      <c r="AA73" s="656"/>
      <c r="AB73" s="656"/>
      <c r="AC73" s="656"/>
    </row>
    <row r="74" spans="1:29">
      <c r="A74" s="656"/>
      <c r="B74" s="656"/>
      <c r="C74" s="656"/>
      <c r="D74" s="656"/>
      <c r="E74" s="656"/>
      <c r="F74" s="656"/>
      <c r="G74" s="656"/>
      <c r="H74" s="656"/>
      <c r="I74" s="656"/>
      <c r="J74" s="656"/>
      <c r="K74" s="656"/>
      <c r="L74" s="656"/>
      <c r="M74" s="293"/>
      <c r="N74" s="789"/>
      <c r="O74" s="789"/>
      <c r="P74" s="789"/>
      <c r="Q74" s="789"/>
      <c r="R74" s="789"/>
      <c r="S74" s="789"/>
      <c r="T74" s="656"/>
      <c r="U74" s="293"/>
      <c r="V74" s="656"/>
      <c r="W74" s="656"/>
      <c r="X74" s="656"/>
      <c r="Y74" s="293"/>
      <c r="Z74" s="656"/>
      <c r="AA74" s="656"/>
      <c r="AB74" s="656"/>
      <c r="AC74" s="656"/>
    </row>
    <row r="75" spans="1:29">
      <c r="A75" s="656"/>
      <c r="B75" s="656"/>
      <c r="C75" s="656"/>
      <c r="D75" s="656"/>
      <c r="E75" s="656"/>
      <c r="F75" s="656"/>
      <c r="G75" s="656"/>
      <c r="H75" s="656"/>
      <c r="I75" s="656"/>
      <c r="J75" s="656"/>
      <c r="K75" s="656"/>
      <c r="L75" s="656"/>
      <c r="M75" s="293"/>
      <c r="N75" s="789"/>
      <c r="O75" s="789"/>
      <c r="P75" s="789"/>
      <c r="Q75" s="789"/>
      <c r="R75" s="789"/>
      <c r="S75" s="789"/>
      <c r="T75" s="656"/>
      <c r="U75" s="293"/>
      <c r="V75" s="656"/>
      <c r="W75" s="656"/>
      <c r="X75" s="656"/>
      <c r="Y75" s="293"/>
      <c r="Z75" s="656"/>
      <c r="AA75" s="656"/>
      <c r="AB75" s="656"/>
      <c r="AC75" s="656"/>
    </row>
    <row r="76" spans="1:29">
      <c r="A76" s="656"/>
      <c r="B76" s="656"/>
      <c r="C76" s="656"/>
      <c r="D76" s="656"/>
      <c r="E76" s="656"/>
      <c r="F76" s="656"/>
      <c r="G76" s="656"/>
      <c r="H76" s="656"/>
      <c r="I76" s="656"/>
      <c r="J76" s="656"/>
      <c r="K76" s="656"/>
      <c r="L76" s="656"/>
      <c r="M76" s="293"/>
      <c r="N76" s="789"/>
      <c r="O76" s="789"/>
      <c r="P76" s="789"/>
      <c r="Q76" s="789"/>
      <c r="R76" s="789"/>
      <c r="S76" s="789"/>
      <c r="T76" s="656"/>
      <c r="U76" s="293"/>
      <c r="V76" s="656"/>
      <c r="W76" s="656"/>
      <c r="X76" s="656"/>
      <c r="Y76" s="293"/>
      <c r="Z76" s="656"/>
      <c r="AA76" s="656"/>
      <c r="AB76" s="656"/>
      <c r="AC76" s="656"/>
    </row>
    <row r="77" spans="1:29">
      <c r="A77" s="656"/>
      <c r="B77" s="656"/>
      <c r="C77" s="656"/>
      <c r="D77" s="656"/>
      <c r="E77" s="656"/>
      <c r="F77" s="656"/>
      <c r="G77" s="656"/>
      <c r="H77" s="656"/>
      <c r="I77" s="656"/>
      <c r="J77" s="656"/>
      <c r="K77" s="656"/>
      <c r="L77" s="656"/>
      <c r="M77" s="293"/>
      <c r="N77" s="789"/>
      <c r="O77" s="789"/>
      <c r="P77" s="789"/>
      <c r="Q77" s="789"/>
      <c r="R77" s="789"/>
      <c r="S77" s="789"/>
      <c r="T77" s="656"/>
      <c r="U77" s="293"/>
      <c r="V77" s="656"/>
      <c r="W77" s="656"/>
      <c r="X77" s="656"/>
      <c r="Y77" s="293"/>
      <c r="Z77" s="656"/>
      <c r="AA77" s="656"/>
      <c r="AB77" s="656"/>
      <c r="AC77" s="656"/>
    </row>
    <row r="78" spans="1:29">
      <c r="A78" s="656"/>
      <c r="B78" s="656"/>
      <c r="C78" s="656"/>
      <c r="D78" s="656"/>
      <c r="E78" s="656"/>
      <c r="F78" s="656"/>
      <c r="G78" s="656"/>
      <c r="H78" s="656"/>
      <c r="I78" s="656"/>
      <c r="J78" s="656"/>
      <c r="K78" s="656"/>
      <c r="L78" s="656"/>
      <c r="M78" s="293"/>
      <c r="N78" s="789"/>
      <c r="O78" s="789"/>
      <c r="P78" s="789"/>
      <c r="Q78" s="789"/>
      <c r="R78" s="789"/>
      <c r="S78" s="789"/>
      <c r="T78" s="656"/>
      <c r="U78" s="293"/>
      <c r="V78" s="656"/>
      <c r="W78" s="656"/>
      <c r="X78" s="656"/>
      <c r="Y78" s="293"/>
      <c r="Z78" s="656"/>
      <c r="AA78" s="656"/>
      <c r="AB78" s="656"/>
      <c r="AC78" s="656"/>
    </row>
    <row r="79" spans="1:29">
      <c r="A79" s="656"/>
      <c r="B79" s="656"/>
      <c r="C79" s="656"/>
      <c r="D79" s="656"/>
      <c r="E79" s="656"/>
      <c r="F79" s="656"/>
      <c r="G79" s="656"/>
      <c r="H79" s="656"/>
      <c r="I79" s="656"/>
      <c r="J79" s="656"/>
      <c r="K79" s="656"/>
      <c r="L79" s="656"/>
      <c r="M79" s="293"/>
      <c r="N79" s="789"/>
      <c r="O79" s="789"/>
      <c r="P79" s="789"/>
      <c r="Q79" s="789"/>
      <c r="R79" s="789"/>
      <c r="S79" s="789"/>
      <c r="T79" s="656"/>
      <c r="U79" s="293"/>
      <c r="V79" s="656"/>
      <c r="W79" s="656"/>
      <c r="X79" s="656"/>
      <c r="Y79" s="293"/>
      <c r="Z79" s="656"/>
      <c r="AA79" s="656"/>
      <c r="AB79" s="656"/>
      <c r="AC79" s="656"/>
    </row>
    <row r="80" spans="1:29">
      <c r="A80" s="656"/>
      <c r="B80" s="656"/>
      <c r="C80" s="656"/>
      <c r="D80" s="656"/>
      <c r="E80" s="656"/>
      <c r="F80" s="656"/>
      <c r="G80" s="656"/>
      <c r="H80" s="656"/>
      <c r="I80" s="656"/>
      <c r="J80" s="656"/>
      <c r="K80" s="656"/>
      <c r="L80" s="656"/>
      <c r="M80" s="293"/>
      <c r="N80" s="789"/>
      <c r="O80" s="789"/>
      <c r="P80" s="789"/>
      <c r="Q80" s="789"/>
      <c r="R80" s="789"/>
      <c r="S80" s="789"/>
      <c r="T80" s="656"/>
      <c r="U80" s="293"/>
      <c r="V80" s="656"/>
      <c r="W80" s="656"/>
      <c r="X80" s="656"/>
      <c r="Y80" s="293"/>
      <c r="Z80" s="656"/>
      <c r="AA80" s="656"/>
      <c r="AB80" s="656"/>
      <c r="AC80" s="656"/>
    </row>
    <row r="81" spans="1:29">
      <c r="A81" s="656"/>
      <c r="B81" s="656"/>
      <c r="C81" s="656"/>
      <c r="D81" s="656"/>
      <c r="E81" s="656"/>
      <c r="F81" s="656"/>
      <c r="G81" s="656"/>
      <c r="H81" s="656"/>
      <c r="I81" s="656"/>
      <c r="J81" s="656"/>
      <c r="K81" s="656"/>
      <c r="L81" s="656"/>
      <c r="M81" s="293"/>
      <c r="N81" s="789"/>
      <c r="O81" s="789"/>
      <c r="P81" s="789"/>
      <c r="Q81" s="789"/>
      <c r="R81" s="789"/>
      <c r="S81" s="789"/>
      <c r="T81" s="656"/>
      <c r="U81" s="293"/>
      <c r="V81" s="656"/>
      <c r="W81" s="656"/>
      <c r="X81" s="656"/>
      <c r="Y81" s="293"/>
      <c r="Z81" s="656"/>
      <c r="AA81" s="656"/>
      <c r="AB81" s="656"/>
      <c r="AC81" s="656"/>
    </row>
    <row r="82" spans="1:29">
      <c r="A82" s="656"/>
      <c r="B82" s="656"/>
      <c r="C82" s="656"/>
      <c r="D82" s="656"/>
      <c r="E82" s="656"/>
      <c r="F82" s="656"/>
      <c r="G82" s="656"/>
      <c r="H82" s="656"/>
      <c r="I82" s="656"/>
      <c r="J82" s="656"/>
      <c r="K82" s="656"/>
      <c r="L82" s="656"/>
      <c r="M82" s="293"/>
      <c r="N82" s="789"/>
      <c r="O82" s="789"/>
      <c r="P82" s="789"/>
      <c r="Q82" s="789"/>
      <c r="R82" s="789"/>
      <c r="S82" s="789"/>
      <c r="T82" s="656"/>
      <c r="U82" s="293"/>
      <c r="V82" s="656"/>
      <c r="W82" s="656"/>
      <c r="X82" s="656"/>
      <c r="Y82" s="293"/>
      <c r="Z82" s="656"/>
      <c r="AA82" s="656"/>
      <c r="AB82" s="656"/>
      <c r="AC82" s="656"/>
    </row>
    <row r="83" spans="1:29">
      <c r="A83" s="656"/>
      <c r="B83" s="656"/>
      <c r="C83" s="656"/>
      <c r="D83" s="656"/>
      <c r="E83" s="656"/>
      <c r="F83" s="656"/>
      <c r="G83" s="656"/>
      <c r="H83" s="656"/>
      <c r="I83" s="656"/>
      <c r="J83" s="656"/>
      <c r="K83" s="656"/>
      <c r="L83" s="656"/>
      <c r="M83" s="293"/>
      <c r="N83" s="789"/>
      <c r="O83" s="789"/>
      <c r="P83" s="789"/>
      <c r="Q83" s="789"/>
      <c r="R83" s="789"/>
      <c r="S83" s="789"/>
      <c r="T83" s="656"/>
      <c r="U83" s="293"/>
      <c r="V83" s="656"/>
      <c r="W83" s="656"/>
      <c r="X83" s="656"/>
      <c r="Y83" s="293"/>
      <c r="Z83" s="656"/>
      <c r="AA83" s="656"/>
      <c r="AB83" s="656"/>
      <c r="AC83" s="656"/>
    </row>
    <row r="84" spans="1:29">
      <c r="A84" s="656"/>
      <c r="B84" s="656"/>
      <c r="C84" s="656"/>
      <c r="D84" s="656"/>
      <c r="E84" s="656"/>
      <c r="F84" s="656"/>
      <c r="G84" s="656"/>
      <c r="H84" s="656"/>
      <c r="I84" s="656"/>
      <c r="J84" s="656"/>
      <c r="K84" s="656"/>
      <c r="L84" s="656"/>
      <c r="M84" s="293"/>
      <c r="N84" s="789"/>
      <c r="O84" s="789"/>
      <c r="P84" s="789"/>
      <c r="Q84" s="789"/>
      <c r="R84" s="789"/>
      <c r="S84" s="789"/>
      <c r="T84" s="656"/>
      <c r="U84" s="293"/>
      <c r="V84" s="656"/>
      <c r="W84" s="656"/>
      <c r="X84" s="656"/>
      <c r="Y84" s="293"/>
      <c r="Z84" s="656"/>
      <c r="AA84" s="656"/>
      <c r="AB84" s="656"/>
      <c r="AC84" s="656"/>
    </row>
    <row r="85" spans="1:29">
      <c r="A85" s="656"/>
      <c r="B85" s="656"/>
      <c r="C85" s="656"/>
      <c r="D85" s="656"/>
      <c r="E85" s="656"/>
      <c r="F85" s="656"/>
      <c r="G85" s="656"/>
      <c r="H85" s="656"/>
      <c r="I85" s="656"/>
      <c r="J85" s="656"/>
      <c r="K85" s="656"/>
      <c r="L85" s="656"/>
      <c r="M85" s="293"/>
      <c r="N85" s="789"/>
      <c r="O85" s="789"/>
      <c r="P85" s="789"/>
      <c r="Q85" s="789"/>
      <c r="R85" s="789"/>
      <c r="S85" s="789"/>
      <c r="T85" s="656"/>
      <c r="U85" s="293"/>
      <c r="V85" s="656"/>
      <c r="W85" s="656"/>
      <c r="X85" s="656"/>
      <c r="Y85" s="293"/>
      <c r="Z85" s="656"/>
      <c r="AA85" s="656"/>
      <c r="AB85" s="656"/>
      <c r="AC85" s="656"/>
    </row>
    <row r="86" spans="1:29">
      <c r="A86" s="656"/>
      <c r="B86" s="656"/>
      <c r="C86" s="656"/>
      <c r="D86" s="656"/>
      <c r="E86" s="656"/>
      <c r="F86" s="656"/>
      <c r="G86" s="656"/>
      <c r="H86" s="656"/>
      <c r="I86" s="656"/>
      <c r="J86" s="656"/>
      <c r="K86" s="656"/>
      <c r="L86" s="656"/>
      <c r="M86" s="293"/>
      <c r="N86" s="789"/>
      <c r="O86" s="789"/>
      <c r="P86" s="789"/>
      <c r="Q86" s="789"/>
      <c r="R86" s="789"/>
      <c r="S86" s="789"/>
      <c r="T86" s="656"/>
      <c r="U86" s="293"/>
      <c r="V86" s="656"/>
      <c r="W86" s="656"/>
      <c r="X86" s="656"/>
      <c r="Y86" s="293"/>
      <c r="Z86" s="656"/>
      <c r="AA86" s="656"/>
      <c r="AB86" s="656"/>
      <c r="AC86" s="656"/>
    </row>
    <row r="87" spans="1:29">
      <c r="A87" s="656"/>
      <c r="B87" s="656"/>
      <c r="C87" s="656"/>
      <c r="D87" s="656"/>
      <c r="E87" s="656"/>
      <c r="F87" s="656"/>
      <c r="G87" s="656"/>
      <c r="H87" s="656"/>
      <c r="I87" s="656"/>
      <c r="J87" s="656"/>
      <c r="K87" s="656"/>
      <c r="L87" s="656"/>
      <c r="M87" s="293"/>
      <c r="N87" s="789"/>
      <c r="O87" s="789"/>
      <c r="P87" s="789"/>
      <c r="Q87" s="789"/>
      <c r="R87" s="789"/>
      <c r="S87" s="789"/>
      <c r="T87" s="656"/>
      <c r="U87" s="293"/>
      <c r="V87" s="656"/>
      <c r="W87" s="656"/>
      <c r="X87" s="656"/>
      <c r="Y87" s="293"/>
      <c r="Z87" s="656"/>
      <c r="AA87" s="656"/>
      <c r="AB87" s="656"/>
      <c r="AC87" s="656"/>
    </row>
    <row r="88" spans="1:29">
      <c r="A88" s="656"/>
      <c r="B88" s="656"/>
      <c r="C88" s="656"/>
      <c r="D88" s="656"/>
      <c r="E88" s="656"/>
      <c r="F88" s="656"/>
      <c r="G88" s="656"/>
      <c r="H88" s="656"/>
      <c r="I88" s="656"/>
      <c r="J88" s="656"/>
      <c r="K88" s="656"/>
      <c r="L88" s="656"/>
      <c r="M88" s="293"/>
      <c r="N88" s="789"/>
      <c r="O88" s="789"/>
      <c r="P88" s="789"/>
      <c r="Q88" s="789"/>
      <c r="R88" s="789"/>
      <c r="S88" s="789"/>
      <c r="T88" s="656"/>
      <c r="U88" s="293"/>
      <c r="V88" s="656"/>
      <c r="W88" s="656"/>
      <c r="X88" s="656"/>
      <c r="Y88" s="293"/>
      <c r="Z88" s="656"/>
      <c r="AA88" s="656"/>
      <c r="AB88" s="656"/>
      <c r="AC88" s="656"/>
    </row>
    <row r="89" spans="1:29">
      <c r="A89" s="656"/>
      <c r="B89" s="656"/>
      <c r="C89" s="656"/>
      <c r="D89" s="656"/>
      <c r="E89" s="656"/>
      <c r="F89" s="656"/>
      <c r="G89" s="656"/>
      <c r="H89" s="656"/>
      <c r="I89" s="656"/>
      <c r="J89" s="656"/>
      <c r="K89" s="656"/>
      <c r="L89" s="656"/>
      <c r="M89" s="293"/>
      <c r="N89" s="789"/>
      <c r="O89" s="789"/>
      <c r="P89" s="789"/>
      <c r="Q89" s="789"/>
      <c r="R89" s="789"/>
      <c r="S89" s="789"/>
      <c r="T89" s="656"/>
      <c r="U89" s="293"/>
      <c r="V89" s="656"/>
      <c r="W89" s="656"/>
      <c r="X89" s="656"/>
      <c r="Y89" s="293"/>
      <c r="Z89" s="656"/>
      <c r="AA89" s="656"/>
      <c r="AB89" s="656"/>
      <c r="AC89" s="656"/>
    </row>
    <row r="90" spans="1:29">
      <c r="A90" s="656"/>
      <c r="B90" s="656"/>
      <c r="C90" s="656"/>
      <c r="D90" s="656"/>
      <c r="E90" s="656"/>
      <c r="F90" s="656"/>
      <c r="G90" s="656"/>
      <c r="H90" s="656"/>
      <c r="I90" s="656"/>
      <c r="J90" s="656"/>
      <c r="K90" s="656"/>
      <c r="L90" s="656"/>
      <c r="M90" s="293"/>
      <c r="N90" s="789"/>
      <c r="O90" s="789"/>
      <c r="P90" s="789"/>
      <c r="Q90" s="789"/>
      <c r="R90" s="789"/>
      <c r="S90" s="789"/>
      <c r="T90" s="656"/>
      <c r="U90" s="293"/>
      <c r="V90" s="656"/>
      <c r="W90" s="656"/>
      <c r="X90" s="656"/>
      <c r="Y90" s="293"/>
      <c r="Z90" s="656"/>
      <c r="AA90" s="656"/>
      <c r="AB90" s="656"/>
      <c r="AC90" s="656"/>
    </row>
    <row r="91" spans="1:29">
      <c r="A91" s="656"/>
      <c r="B91" s="656"/>
      <c r="C91" s="656"/>
      <c r="D91" s="656"/>
      <c r="E91" s="656"/>
      <c r="F91" s="656"/>
      <c r="G91" s="656"/>
      <c r="H91" s="656"/>
      <c r="I91" s="656"/>
      <c r="J91" s="656"/>
      <c r="K91" s="656"/>
      <c r="L91" s="656"/>
      <c r="M91" s="293"/>
      <c r="N91" s="789"/>
      <c r="O91" s="789"/>
      <c r="P91" s="789"/>
      <c r="Q91" s="789"/>
      <c r="R91" s="789"/>
      <c r="S91" s="789"/>
      <c r="T91" s="656"/>
      <c r="U91" s="293"/>
      <c r="V91" s="656"/>
      <c r="W91" s="656"/>
      <c r="X91" s="656"/>
      <c r="Y91" s="293"/>
      <c r="Z91" s="656"/>
      <c r="AA91" s="656"/>
      <c r="AB91" s="656"/>
      <c r="AC91" s="656"/>
    </row>
    <row r="92" spans="1:29">
      <c r="A92" s="656"/>
      <c r="B92" s="656"/>
      <c r="C92" s="656"/>
      <c r="D92" s="656"/>
      <c r="E92" s="656"/>
      <c r="F92" s="656"/>
      <c r="G92" s="656"/>
      <c r="H92" s="656"/>
      <c r="I92" s="656"/>
      <c r="J92" s="656"/>
      <c r="K92" s="656"/>
      <c r="L92" s="656"/>
      <c r="M92" s="293"/>
      <c r="N92" s="789"/>
      <c r="O92" s="789"/>
      <c r="P92" s="789"/>
      <c r="Q92" s="789"/>
      <c r="R92" s="789"/>
      <c r="S92" s="789"/>
      <c r="T92" s="656"/>
      <c r="U92" s="293"/>
      <c r="V92" s="656"/>
      <c r="W92" s="656"/>
      <c r="X92" s="656"/>
      <c r="Y92" s="293"/>
      <c r="Z92" s="656"/>
      <c r="AA92" s="656"/>
      <c r="AB92" s="656"/>
      <c r="AC92" s="656"/>
    </row>
    <row r="93" spans="1:29">
      <c r="A93" s="656"/>
      <c r="B93" s="656"/>
      <c r="C93" s="656"/>
      <c r="D93" s="656"/>
      <c r="E93" s="656"/>
      <c r="F93" s="656"/>
      <c r="G93" s="656"/>
      <c r="H93" s="656"/>
      <c r="I93" s="656"/>
      <c r="J93" s="656"/>
      <c r="K93" s="656"/>
      <c r="L93" s="656"/>
      <c r="M93" s="293"/>
      <c r="N93" s="789"/>
      <c r="O93" s="789"/>
      <c r="P93" s="789"/>
      <c r="Q93" s="789"/>
      <c r="R93" s="789"/>
      <c r="S93" s="789"/>
      <c r="T93" s="656"/>
      <c r="U93" s="293"/>
      <c r="V93" s="656"/>
      <c r="W93" s="656"/>
      <c r="X93" s="656"/>
      <c r="Y93" s="293"/>
      <c r="Z93" s="656"/>
      <c r="AA93" s="656"/>
      <c r="AB93" s="656"/>
      <c r="AC93" s="656"/>
    </row>
    <row r="94" spans="1:29">
      <c r="A94" s="656"/>
      <c r="B94" s="656"/>
      <c r="C94" s="656"/>
      <c r="D94" s="656"/>
      <c r="E94" s="656"/>
      <c r="F94" s="656"/>
      <c r="G94" s="656"/>
      <c r="H94" s="656"/>
      <c r="I94" s="656"/>
      <c r="J94" s="656"/>
      <c r="K94" s="656"/>
      <c r="L94" s="656"/>
      <c r="M94" s="293"/>
      <c r="N94" s="789"/>
      <c r="O94" s="789"/>
      <c r="P94" s="789"/>
      <c r="Q94" s="789"/>
      <c r="R94" s="789"/>
      <c r="S94" s="789"/>
      <c r="T94" s="656"/>
      <c r="U94" s="293"/>
      <c r="V94" s="656"/>
      <c r="W94" s="656"/>
      <c r="X94" s="656"/>
      <c r="Y94" s="293"/>
      <c r="Z94" s="656"/>
      <c r="AA94" s="656"/>
      <c r="AB94" s="656"/>
      <c r="AC94" s="656"/>
    </row>
    <row r="95" spans="1:29">
      <c r="A95" s="656"/>
      <c r="B95" s="656"/>
      <c r="C95" s="656"/>
      <c r="D95" s="656"/>
      <c r="E95" s="656"/>
      <c r="F95" s="656"/>
      <c r="G95" s="656"/>
      <c r="H95" s="656"/>
      <c r="I95" s="656"/>
      <c r="J95" s="656"/>
      <c r="K95" s="656"/>
      <c r="L95" s="656"/>
      <c r="M95" s="293"/>
      <c r="N95" s="789"/>
      <c r="O95" s="789"/>
      <c r="P95" s="789"/>
      <c r="Q95" s="789"/>
      <c r="R95" s="789"/>
      <c r="S95" s="789"/>
      <c r="T95" s="656"/>
      <c r="U95" s="293"/>
      <c r="V95" s="656"/>
      <c r="W95" s="656"/>
      <c r="X95" s="656"/>
      <c r="Y95" s="293"/>
      <c r="Z95" s="656"/>
      <c r="AA95" s="656"/>
      <c r="AB95" s="656"/>
      <c r="AC95" s="656"/>
    </row>
    <row r="96" spans="1:29">
      <c r="A96" s="656"/>
      <c r="B96" s="656"/>
      <c r="C96" s="656"/>
      <c r="D96" s="656"/>
      <c r="E96" s="656"/>
      <c r="F96" s="656"/>
      <c r="G96" s="656"/>
      <c r="H96" s="656"/>
      <c r="I96" s="656"/>
      <c r="J96" s="656"/>
      <c r="K96" s="656"/>
      <c r="L96" s="656"/>
      <c r="M96" s="293"/>
      <c r="N96" s="789"/>
      <c r="O96" s="789"/>
      <c r="P96" s="789"/>
      <c r="Q96" s="789"/>
      <c r="R96" s="789"/>
      <c r="S96" s="789"/>
      <c r="T96" s="656"/>
      <c r="U96" s="293"/>
      <c r="V96" s="656"/>
      <c r="W96" s="656"/>
      <c r="X96" s="656"/>
      <c r="Y96" s="293"/>
      <c r="Z96" s="656"/>
      <c r="AA96" s="656"/>
      <c r="AB96" s="656"/>
      <c r="AC96" s="656"/>
    </row>
    <row r="97" spans="1:29">
      <c r="A97" s="656"/>
      <c r="B97" s="656"/>
      <c r="C97" s="656"/>
      <c r="D97" s="656"/>
      <c r="E97" s="656"/>
      <c r="F97" s="656"/>
      <c r="G97" s="656"/>
      <c r="H97" s="656"/>
      <c r="I97" s="656"/>
      <c r="J97" s="656"/>
      <c r="K97" s="656"/>
      <c r="L97" s="656"/>
      <c r="M97" s="293"/>
      <c r="N97" s="789"/>
      <c r="O97" s="789"/>
      <c r="P97" s="789"/>
      <c r="Q97" s="789"/>
      <c r="R97" s="789"/>
      <c r="S97" s="789"/>
      <c r="T97" s="656"/>
      <c r="U97" s="293"/>
      <c r="V97" s="656"/>
      <c r="W97" s="656"/>
      <c r="X97" s="656"/>
      <c r="Y97" s="293"/>
      <c r="Z97" s="656"/>
      <c r="AA97" s="656"/>
      <c r="AB97" s="656"/>
      <c r="AC97" s="656"/>
    </row>
    <row r="98" spans="1:29">
      <c r="A98" s="656"/>
      <c r="B98" s="656"/>
      <c r="C98" s="656"/>
      <c r="D98" s="656"/>
      <c r="E98" s="656"/>
      <c r="F98" s="656"/>
      <c r="G98" s="656"/>
      <c r="H98" s="656"/>
      <c r="I98" s="656"/>
      <c r="J98" s="656"/>
      <c r="K98" s="656"/>
      <c r="L98" s="656"/>
      <c r="M98" s="293"/>
      <c r="N98" s="789"/>
      <c r="O98" s="789"/>
      <c r="P98" s="789"/>
      <c r="Q98" s="789"/>
      <c r="R98" s="789"/>
      <c r="S98" s="789"/>
      <c r="T98" s="656"/>
      <c r="U98" s="293"/>
      <c r="V98" s="656"/>
      <c r="W98" s="656"/>
      <c r="X98" s="656"/>
      <c r="Y98" s="293"/>
      <c r="Z98" s="656"/>
      <c r="AA98" s="656"/>
      <c r="AB98" s="656"/>
      <c r="AC98" s="656"/>
    </row>
    <row r="99" spans="1:29">
      <c r="A99" s="656"/>
      <c r="B99" s="656"/>
      <c r="C99" s="656"/>
      <c r="D99" s="656"/>
      <c r="E99" s="656"/>
      <c r="F99" s="656"/>
      <c r="G99" s="656"/>
      <c r="H99" s="656"/>
      <c r="I99" s="656"/>
      <c r="J99" s="656"/>
      <c r="K99" s="656"/>
      <c r="L99" s="656"/>
      <c r="M99" s="293"/>
      <c r="N99" s="789"/>
      <c r="O99" s="789"/>
      <c r="P99" s="789"/>
      <c r="Q99" s="789"/>
      <c r="R99" s="789"/>
      <c r="S99" s="789"/>
      <c r="T99" s="656"/>
      <c r="U99" s="293"/>
      <c r="V99" s="656"/>
      <c r="W99" s="656"/>
      <c r="X99" s="656"/>
      <c r="Y99" s="293"/>
      <c r="Z99" s="656"/>
      <c r="AA99" s="656"/>
      <c r="AB99" s="656"/>
      <c r="AC99" s="656"/>
    </row>
    <row r="100" spans="1:29">
      <c r="A100" s="656"/>
      <c r="B100" s="656"/>
      <c r="C100" s="656"/>
      <c r="D100" s="656"/>
      <c r="E100" s="656"/>
      <c r="F100" s="656"/>
      <c r="G100" s="656"/>
      <c r="H100" s="656"/>
      <c r="I100" s="656"/>
      <c r="J100" s="656"/>
      <c r="K100" s="656"/>
      <c r="L100" s="656"/>
      <c r="M100" s="293"/>
      <c r="N100" s="789"/>
      <c r="O100" s="789"/>
      <c r="P100" s="789"/>
      <c r="Q100" s="789"/>
      <c r="R100" s="789"/>
      <c r="S100" s="789"/>
      <c r="T100" s="656"/>
      <c r="U100" s="293"/>
      <c r="V100" s="656"/>
      <c r="W100" s="656"/>
      <c r="X100" s="656"/>
      <c r="Y100" s="293"/>
      <c r="Z100" s="656"/>
      <c r="AA100" s="656"/>
      <c r="AB100" s="656"/>
      <c r="AC100" s="656"/>
    </row>
    <row r="101" spans="1:29">
      <c r="A101" s="656"/>
      <c r="B101" s="656"/>
      <c r="C101" s="656"/>
      <c r="D101" s="656"/>
      <c r="E101" s="656"/>
      <c r="F101" s="656"/>
      <c r="G101" s="656"/>
      <c r="H101" s="656"/>
      <c r="I101" s="656"/>
      <c r="J101" s="656"/>
      <c r="K101" s="656"/>
      <c r="L101" s="656"/>
      <c r="M101" s="293"/>
      <c r="N101" s="789"/>
      <c r="O101" s="789"/>
      <c r="P101" s="789"/>
      <c r="Q101" s="789"/>
      <c r="R101" s="789"/>
      <c r="S101" s="789"/>
      <c r="T101" s="656"/>
      <c r="U101" s="293"/>
      <c r="V101" s="656"/>
      <c r="W101" s="656"/>
      <c r="X101" s="656"/>
      <c r="Y101" s="293"/>
      <c r="Z101" s="656"/>
      <c r="AA101" s="656"/>
      <c r="AB101" s="656"/>
      <c r="AC101" s="656"/>
    </row>
    <row r="102" spans="1:29">
      <c r="A102" s="656"/>
      <c r="B102" s="656"/>
      <c r="C102" s="656"/>
      <c r="D102" s="656"/>
      <c r="E102" s="656"/>
      <c r="F102" s="656"/>
      <c r="G102" s="656"/>
      <c r="H102" s="656"/>
      <c r="I102" s="656"/>
      <c r="J102" s="656"/>
      <c r="K102" s="656"/>
      <c r="L102" s="656"/>
      <c r="M102" s="293"/>
      <c r="N102" s="789"/>
      <c r="O102" s="789"/>
      <c r="P102" s="789"/>
      <c r="Q102" s="789"/>
      <c r="R102" s="789"/>
      <c r="S102" s="789"/>
      <c r="T102" s="656"/>
      <c r="U102" s="293"/>
      <c r="V102" s="656"/>
      <c r="W102" s="656"/>
      <c r="X102" s="656"/>
      <c r="Y102" s="293"/>
      <c r="Z102" s="656"/>
      <c r="AA102" s="656"/>
      <c r="AB102" s="656"/>
      <c r="AC102" s="656"/>
    </row>
    <row r="103" spans="1:29">
      <c r="A103" s="656"/>
      <c r="B103" s="656"/>
      <c r="C103" s="656"/>
      <c r="D103" s="656"/>
      <c r="E103" s="656"/>
      <c r="F103" s="656"/>
      <c r="G103" s="656"/>
      <c r="H103" s="656"/>
      <c r="I103" s="656"/>
      <c r="J103" s="656"/>
      <c r="K103" s="656"/>
      <c r="L103" s="656"/>
      <c r="M103" s="293"/>
      <c r="N103" s="789"/>
      <c r="O103" s="789"/>
      <c r="P103" s="789"/>
      <c r="Q103" s="789"/>
      <c r="R103" s="789"/>
      <c r="S103" s="789"/>
      <c r="T103" s="656"/>
      <c r="U103" s="293"/>
      <c r="V103" s="656"/>
      <c r="W103" s="656"/>
      <c r="X103" s="656"/>
      <c r="Y103" s="293"/>
      <c r="Z103" s="656"/>
      <c r="AA103" s="656"/>
      <c r="AB103" s="656"/>
      <c r="AC103" s="656"/>
    </row>
    <row r="104" spans="1:29">
      <c r="A104" s="656"/>
      <c r="B104" s="656"/>
      <c r="C104" s="656"/>
      <c r="D104" s="656"/>
      <c r="E104" s="656"/>
      <c r="F104" s="656"/>
      <c r="G104" s="656"/>
      <c r="H104" s="656"/>
      <c r="I104" s="656"/>
      <c r="J104" s="656"/>
      <c r="K104" s="656"/>
      <c r="L104" s="656"/>
      <c r="M104" s="293"/>
      <c r="N104" s="789"/>
      <c r="O104" s="789"/>
      <c r="P104" s="789"/>
      <c r="Q104" s="789"/>
      <c r="R104" s="789"/>
      <c r="S104" s="789"/>
      <c r="T104" s="656"/>
      <c r="U104" s="293"/>
      <c r="V104" s="656"/>
      <c r="W104" s="656"/>
      <c r="X104" s="656"/>
      <c r="Y104" s="293"/>
      <c r="Z104" s="656"/>
      <c r="AA104" s="656"/>
      <c r="AB104" s="656"/>
      <c r="AC104" s="656"/>
    </row>
    <row r="105" spans="1:29">
      <c r="A105" s="656"/>
      <c r="B105" s="656"/>
      <c r="C105" s="656"/>
      <c r="D105" s="656"/>
      <c r="E105" s="656"/>
      <c r="F105" s="656"/>
      <c r="G105" s="656"/>
      <c r="H105" s="656"/>
      <c r="I105" s="656"/>
      <c r="J105" s="656"/>
      <c r="K105" s="656"/>
      <c r="L105" s="656"/>
      <c r="M105" s="293"/>
      <c r="N105" s="789"/>
      <c r="O105" s="789"/>
      <c r="P105" s="789"/>
      <c r="Q105" s="789"/>
      <c r="R105" s="789"/>
      <c r="S105" s="789"/>
      <c r="T105" s="656"/>
      <c r="U105" s="293"/>
      <c r="V105" s="656"/>
      <c r="W105" s="656"/>
      <c r="X105" s="656"/>
      <c r="Y105" s="293"/>
      <c r="Z105" s="656"/>
      <c r="AA105" s="656"/>
      <c r="AB105" s="656"/>
      <c r="AC105" s="656"/>
    </row>
    <row r="106" spans="1:29">
      <c r="A106" s="656"/>
      <c r="B106" s="656"/>
      <c r="C106" s="656"/>
      <c r="D106" s="656"/>
      <c r="E106" s="656"/>
      <c r="F106" s="656"/>
      <c r="G106" s="656"/>
      <c r="H106" s="656"/>
      <c r="I106" s="656"/>
      <c r="J106" s="656"/>
      <c r="K106" s="656"/>
      <c r="L106" s="656"/>
      <c r="M106" s="293"/>
      <c r="N106" s="789"/>
      <c r="O106" s="789"/>
      <c r="P106" s="789"/>
      <c r="Q106" s="789"/>
      <c r="R106" s="789"/>
      <c r="S106" s="789"/>
      <c r="T106" s="656"/>
      <c r="U106" s="293"/>
      <c r="V106" s="656"/>
      <c r="W106" s="656"/>
      <c r="X106" s="656"/>
      <c r="Y106" s="293"/>
      <c r="Z106" s="656"/>
      <c r="AA106" s="656"/>
      <c r="AB106" s="656"/>
      <c r="AC106" s="656"/>
    </row>
    <row r="107" spans="1:29">
      <c r="A107" s="656"/>
      <c r="B107" s="656"/>
      <c r="C107" s="656"/>
      <c r="D107" s="656"/>
      <c r="E107" s="656"/>
      <c r="F107" s="656"/>
      <c r="G107" s="656"/>
      <c r="H107" s="656"/>
      <c r="I107" s="656"/>
      <c r="J107" s="656"/>
      <c r="K107" s="656"/>
      <c r="L107" s="656"/>
      <c r="M107" s="293"/>
      <c r="N107" s="789"/>
      <c r="O107" s="789"/>
      <c r="P107" s="789"/>
      <c r="Q107" s="789"/>
      <c r="R107" s="789"/>
      <c r="S107" s="789"/>
      <c r="T107" s="656"/>
      <c r="U107" s="293"/>
      <c r="V107" s="656"/>
      <c r="W107" s="656"/>
      <c r="X107" s="656"/>
      <c r="Y107" s="293"/>
      <c r="Z107" s="656"/>
      <c r="AA107" s="656"/>
      <c r="AB107" s="656"/>
      <c r="AC107" s="656"/>
    </row>
    <row r="108" spans="1:29">
      <c r="A108" s="656"/>
      <c r="B108" s="656"/>
      <c r="C108" s="656"/>
      <c r="D108" s="656"/>
      <c r="E108" s="656"/>
      <c r="F108" s="656"/>
      <c r="G108" s="656"/>
      <c r="H108" s="656"/>
      <c r="I108" s="656"/>
      <c r="J108" s="656"/>
      <c r="K108" s="656"/>
      <c r="L108" s="656"/>
      <c r="M108" s="293"/>
      <c r="N108" s="789"/>
      <c r="O108" s="789"/>
      <c r="P108" s="789"/>
      <c r="Q108" s="789"/>
      <c r="R108" s="789"/>
      <c r="S108" s="789"/>
      <c r="T108" s="656"/>
      <c r="U108" s="293"/>
      <c r="V108" s="656"/>
      <c r="W108" s="656"/>
      <c r="X108" s="656"/>
      <c r="Y108" s="293"/>
      <c r="Z108" s="656"/>
      <c r="AA108" s="656"/>
      <c r="AB108" s="656"/>
      <c r="AC108" s="656"/>
    </row>
    <row r="109" spans="1:29">
      <c r="A109" s="656"/>
      <c r="B109" s="656"/>
      <c r="C109" s="656"/>
      <c r="D109" s="656"/>
      <c r="E109" s="656"/>
      <c r="F109" s="656"/>
      <c r="G109" s="656"/>
      <c r="H109" s="656"/>
      <c r="I109" s="656"/>
      <c r="J109" s="656"/>
      <c r="K109" s="656"/>
      <c r="L109" s="656"/>
      <c r="M109" s="293"/>
      <c r="N109" s="789"/>
      <c r="O109" s="789"/>
      <c r="P109" s="789"/>
      <c r="Q109" s="789"/>
      <c r="R109" s="789"/>
      <c r="S109" s="789"/>
      <c r="T109" s="656"/>
      <c r="U109" s="293"/>
      <c r="V109" s="656"/>
      <c r="W109" s="656"/>
      <c r="X109" s="656"/>
      <c r="Y109" s="293"/>
      <c r="Z109" s="656"/>
      <c r="AA109" s="656"/>
      <c r="AB109" s="656"/>
      <c r="AC109" s="656"/>
    </row>
    <row r="110" spans="1:29">
      <c r="A110" s="656"/>
      <c r="B110" s="656"/>
      <c r="C110" s="656"/>
      <c r="D110" s="656"/>
      <c r="E110" s="656"/>
      <c r="F110" s="656"/>
      <c r="G110" s="656"/>
      <c r="H110" s="656"/>
      <c r="I110" s="656"/>
      <c r="J110" s="656"/>
      <c r="K110" s="656"/>
      <c r="L110" s="656"/>
      <c r="M110" s="293"/>
      <c r="N110" s="789"/>
      <c r="O110" s="789"/>
      <c r="P110" s="789"/>
      <c r="Q110" s="789"/>
      <c r="R110" s="789"/>
      <c r="S110" s="789"/>
      <c r="T110" s="656"/>
      <c r="U110" s="293"/>
      <c r="V110" s="656"/>
      <c r="W110" s="656"/>
      <c r="X110" s="656"/>
      <c r="Y110" s="293"/>
      <c r="Z110" s="656"/>
      <c r="AA110" s="656"/>
      <c r="AB110" s="656"/>
      <c r="AC110" s="656"/>
    </row>
    <row r="111" spans="1:29">
      <c r="A111" s="656"/>
      <c r="B111" s="656"/>
      <c r="C111" s="656"/>
      <c r="D111" s="656"/>
      <c r="E111" s="656"/>
      <c r="F111" s="656"/>
      <c r="G111" s="656"/>
      <c r="H111" s="656"/>
      <c r="I111" s="656"/>
      <c r="J111" s="656"/>
      <c r="K111" s="656"/>
      <c r="L111" s="656"/>
      <c r="M111" s="293"/>
      <c r="N111" s="789"/>
      <c r="O111" s="789"/>
      <c r="P111" s="789"/>
      <c r="Q111" s="789"/>
      <c r="R111" s="789"/>
      <c r="S111" s="789"/>
      <c r="T111" s="656"/>
      <c r="U111" s="293"/>
      <c r="V111" s="656"/>
      <c r="W111" s="656"/>
      <c r="X111" s="656"/>
      <c r="Y111" s="293"/>
      <c r="Z111" s="656"/>
      <c r="AA111" s="656"/>
      <c r="AB111" s="656"/>
      <c r="AC111" s="656"/>
    </row>
    <row r="112" spans="1:29">
      <c r="A112" s="656"/>
      <c r="B112" s="656"/>
      <c r="C112" s="656"/>
      <c r="D112" s="656"/>
      <c r="E112" s="656"/>
      <c r="F112" s="656"/>
      <c r="G112" s="656"/>
      <c r="H112" s="656"/>
      <c r="I112" s="656"/>
      <c r="J112" s="656"/>
      <c r="K112" s="656"/>
      <c r="L112" s="656"/>
      <c r="M112" s="293"/>
      <c r="N112" s="789"/>
      <c r="O112" s="789"/>
      <c r="P112" s="789"/>
      <c r="Q112" s="789"/>
      <c r="R112" s="789"/>
      <c r="S112" s="789"/>
      <c r="T112" s="656"/>
      <c r="U112" s="293"/>
      <c r="V112" s="656"/>
      <c r="W112" s="656"/>
      <c r="X112" s="656"/>
      <c r="Y112" s="293"/>
      <c r="Z112" s="656"/>
      <c r="AA112" s="656"/>
      <c r="AB112" s="656"/>
      <c r="AC112" s="656"/>
    </row>
    <row r="113" spans="1:29">
      <c r="A113" s="656"/>
      <c r="B113" s="656"/>
      <c r="C113" s="656"/>
      <c r="D113" s="656"/>
      <c r="E113" s="656"/>
      <c r="F113" s="656"/>
      <c r="G113" s="656"/>
      <c r="H113" s="656"/>
      <c r="I113" s="656"/>
      <c r="J113" s="656"/>
      <c r="K113" s="656"/>
      <c r="L113" s="656"/>
      <c r="M113" s="293"/>
      <c r="N113" s="789"/>
      <c r="O113" s="789"/>
      <c r="P113" s="789"/>
      <c r="Q113" s="789"/>
      <c r="R113" s="789"/>
      <c r="S113" s="789"/>
      <c r="T113" s="656"/>
      <c r="U113" s="293"/>
      <c r="V113" s="656"/>
      <c r="W113" s="656"/>
      <c r="X113" s="656"/>
      <c r="Y113" s="293"/>
      <c r="Z113" s="656"/>
      <c r="AA113" s="656"/>
      <c r="AB113" s="656"/>
      <c r="AC113" s="656"/>
    </row>
    <row r="114" spans="1:29">
      <c r="A114" s="656"/>
      <c r="B114" s="656"/>
      <c r="C114" s="656"/>
      <c r="D114" s="656"/>
      <c r="E114" s="656"/>
      <c r="F114" s="656"/>
      <c r="G114" s="656"/>
      <c r="H114" s="656"/>
      <c r="I114" s="656"/>
      <c r="J114" s="656"/>
      <c r="K114" s="656"/>
      <c r="L114" s="656"/>
      <c r="M114" s="293"/>
      <c r="N114" s="789"/>
      <c r="O114" s="789"/>
      <c r="P114" s="789"/>
      <c r="Q114" s="789"/>
      <c r="R114" s="789"/>
      <c r="S114" s="789"/>
      <c r="T114" s="656"/>
      <c r="U114" s="293"/>
      <c r="V114" s="656"/>
      <c r="W114" s="656"/>
      <c r="X114" s="656"/>
      <c r="Y114" s="293"/>
      <c r="Z114" s="656"/>
      <c r="AA114" s="656"/>
      <c r="AB114" s="656"/>
      <c r="AC114" s="656"/>
    </row>
    <row r="115" spans="1:29">
      <c r="A115" s="656"/>
      <c r="B115" s="656"/>
      <c r="C115" s="656"/>
      <c r="D115" s="656"/>
      <c r="E115" s="656"/>
      <c r="F115" s="656"/>
      <c r="G115" s="656"/>
      <c r="H115" s="656"/>
      <c r="I115" s="656"/>
      <c r="J115" s="656"/>
      <c r="K115" s="656"/>
      <c r="L115" s="656"/>
      <c r="M115" s="293"/>
      <c r="N115" s="789"/>
      <c r="O115" s="789"/>
      <c r="P115" s="789"/>
      <c r="Q115" s="789"/>
      <c r="R115" s="789"/>
      <c r="S115" s="789"/>
      <c r="T115" s="656"/>
      <c r="U115" s="293"/>
      <c r="V115" s="656"/>
      <c r="W115" s="656"/>
      <c r="X115" s="656"/>
      <c r="Y115" s="293"/>
      <c r="Z115" s="656"/>
      <c r="AA115" s="656"/>
      <c r="AB115" s="656"/>
      <c r="AC115" s="656"/>
    </row>
    <row r="116" spans="1:29">
      <c r="A116" s="656"/>
      <c r="B116" s="656"/>
      <c r="C116" s="656"/>
      <c r="D116" s="656"/>
      <c r="E116" s="656"/>
      <c r="F116" s="656"/>
      <c r="G116" s="656"/>
      <c r="H116" s="656"/>
      <c r="I116" s="656"/>
      <c r="J116" s="656"/>
      <c r="K116" s="656"/>
      <c r="L116" s="656"/>
      <c r="M116" s="293"/>
      <c r="N116" s="789"/>
      <c r="O116" s="789"/>
      <c r="P116" s="789"/>
      <c r="Q116" s="789"/>
      <c r="R116" s="789"/>
      <c r="S116" s="789"/>
      <c r="T116" s="656"/>
      <c r="U116" s="293"/>
      <c r="V116" s="656"/>
      <c r="W116" s="656"/>
      <c r="X116" s="656"/>
      <c r="Y116" s="293"/>
      <c r="Z116" s="656"/>
      <c r="AA116" s="656"/>
      <c r="AB116" s="656"/>
      <c r="AC116" s="656"/>
    </row>
    <row r="117" spans="1:29">
      <c r="A117" s="656"/>
      <c r="B117" s="656"/>
      <c r="C117" s="656"/>
      <c r="D117" s="656"/>
      <c r="E117" s="656"/>
      <c r="F117" s="656"/>
      <c r="G117" s="656"/>
      <c r="H117" s="656"/>
      <c r="I117" s="656"/>
      <c r="J117" s="656"/>
      <c r="K117" s="656"/>
      <c r="L117" s="656"/>
      <c r="M117" s="293"/>
      <c r="N117" s="789"/>
      <c r="O117" s="789"/>
      <c r="P117" s="789"/>
      <c r="Q117" s="789"/>
      <c r="R117" s="789"/>
      <c r="S117" s="789"/>
      <c r="T117" s="656"/>
      <c r="U117" s="293"/>
      <c r="V117" s="656"/>
      <c r="W117" s="656"/>
      <c r="X117" s="656"/>
      <c r="Y117" s="293"/>
      <c r="Z117" s="656"/>
      <c r="AA117" s="656"/>
      <c r="AB117" s="656"/>
      <c r="AC117" s="656"/>
    </row>
    <row r="118" spans="1:29">
      <c r="A118" s="656"/>
      <c r="B118" s="656"/>
      <c r="C118" s="656"/>
      <c r="D118" s="656"/>
      <c r="E118" s="656"/>
      <c r="F118" s="656"/>
      <c r="G118" s="656"/>
      <c r="H118" s="656"/>
      <c r="I118" s="656"/>
      <c r="J118" s="656"/>
      <c r="K118" s="656"/>
      <c r="L118" s="656"/>
      <c r="M118" s="293"/>
      <c r="N118" s="789"/>
      <c r="O118" s="789"/>
      <c r="P118" s="789"/>
      <c r="Q118" s="789"/>
      <c r="R118" s="789"/>
      <c r="S118" s="789"/>
      <c r="T118" s="656"/>
      <c r="U118" s="293"/>
      <c r="V118" s="656"/>
      <c r="W118" s="656"/>
      <c r="X118" s="656"/>
      <c r="Y118" s="293"/>
      <c r="Z118" s="656"/>
      <c r="AA118" s="656"/>
      <c r="AB118" s="656"/>
      <c r="AC118" s="656"/>
    </row>
    <row r="119" spans="1:29">
      <c r="A119" s="656"/>
      <c r="B119" s="656"/>
      <c r="C119" s="656"/>
      <c r="D119" s="656"/>
      <c r="E119" s="656"/>
      <c r="F119" s="656"/>
      <c r="G119" s="656"/>
      <c r="H119" s="656"/>
      <c r="I119" s="656"/>
      <c r="J119" s="656"/>
      <c r="K119" s="656"/>
      <c r="L119" s="656"/>
      <c r="M119" s="293"/>
      <c r="N119" s="789"/>
      <c r="O119" s="789"/>
      <c r="P119" s="789"/>
      <c r="Q119" s="789"/>
      <c r="R119" s="789"/>
      <c r="S119" s="789"/>
      <c r="T119" s="656"/>
      <c r="U119" s="293"/>
      <c r="V119" s="656"/>
      <c r="W119" s="656"/>
      <c r="X119" s="656"/>
      <c r="Y119" s="293"/>
      <c r="Z119" s="656"/>
      <c r="AA119" s="656"/>
      <c r="AB119" s="656"/>
      <c r="AC119" s="656"/>
    </row>
    <row r="120" spans="1:29">
      <c r="A120" s="656"/>
      <c r="B120" s="656"/>
      <c r="C120" s="656"/>
      <c r="D120" s="656"/>
      <c r="E120" s="656"/>
      <c r="F120" s="656"/>
      <c r="G120" s="656"/>
      <c r="H120" s="656"/>
      <c r="I120" s="656"/>
      <c r="J120" s="656"/>
      <c r="K120" s="656"/>
      <c r="L120" s="656"/>
      <c r="M120" s="293"/>
      <c r="N120" s="789"/>
      <c r="O120" s="789"/>
      <c r="P120" s="789"/>
      <c r="Q120" s="789"/>
      <c r="R120" s="789"/>
      <c r="S120" s="789"/>
      <c r="T120" s="656"/>
      <c r="U120" s="293"/>
      <c r="V120" s="656"/>
      <c r="W120" s="656"/>
      <c r="X120" s="656"/>
      <c r="Y120" s="293"/>
      <c r="Z120" s="656"/>
      <c r="AA120" s="656"/>
      <c r="AB120" s="656"/>
      <c r="AC120" s="656"/>
    </row>
    <row r="121" spans="1:29">
      <c r="A121" s="656"/>
      <c r="B121" s="656"/>
      <c r="C121" s="656"/>
      <c r="D121" s="656"/>
      <c r="E121" s="656"/>
      <c r="F121" s="656"/>
      <c r="G121" s="656"/>
      <c r="H121" s="656"/>
      <c r="I121" s="656"/>
      <c r="J121" s="656"/>
      <c r="K121" s="656"/>
      <c r="L121" s="656"/>
      <c r="M121" s="293"/>
      <c r="N121" s="789"/>
      <c r="O121" s="789"/>
      <c r="P121" s="789"/>
      <c r="Q121" s="789"/>
      <c r="R121" s="789"/>
      <c r="S121" s="789"/>
      <c r="T121" s="656"/>
      <c r="U121" s="293"/>
      <c r="V121" s="656"/>
      <c r="W121" s="656"/>
      <c r="X121" s="656"/>
      <c r="Y121" s="293"/>
      <c r="Z121" s="656"/>
      <c r="AA121" s="656"/>
      <c r="AB121" s="656"/>
      <c r="AC121" s="656"/>
    </row>
    <row r="122" spans="1:29">
      <c r="A122" s="656"/>
      <c r="B122" s="656"/>
      <c r="C122" s="656"/>
      <c r="D122" s="656"/>
      <c r="E122" s="656"/>
      <c r="F122" s="656"/>
      <c r="G122" s="656"/>
      <c r="H122" s="656"/>
      <c r="I122" s="656"/>
      <c r="J122" s="656"/>
      <c r="K122" s="656"/>
      <c r="L122" s="656"/>
      <c r="M122" s="293"/>
      <c r="N122" s="789"/>
      <c r="O122" s="789"/>
      <c r="P122" s="789"/>
      <c r="Q122" s="789"/>
      <c r="R122" s="789"/>
      <c r="S122" s="789"/>
      <c r="T122" s="656"/>
      <c r="U122" s="293"/>
      <c r="V122" s="656"/>
      <c r="W122" s="656"/>
      <c r="X122" s="656"/>
      <c r="Y122" s="293"/>
      <c r="Z122" s="656"/>
      <c r="AA122" s="656"/>
      <c r="AB122" s="656"/>
      <c r="AC122" s="656"/>
    </row>
    <row r="123" spans="1:29">
      <c r="A123" s="656"/>
      <c r="B123" s="656"/>
      <c r="C123" s="656"/>
      <c r="D123" s="656"/>
      <c r="E123" s="656"/>
      <c r="F123" s="656"/>
      <c r="G123" s="656"/>
      <c r="H123" s="656"/>
      <c r="I123" s="656"/>
      <c r="J123" s="656"/>
      <c r="K123" s="656"/>
      <c r="L123" s="656"/>
      <c r="M123" s="293"/>
      <c r="N123" s="789"/>
      <c r="O123" s="789"/>
      <c r="P123" s="789"/>
      <c r="Q123" s="789"/>
      <c r="R123" s="789"/>
      <c r="S123" s="789"/>
      <c r="T123" s="656"/>
      <c r="U123" s="293"/>
      <c r="V123" s="656"/>
      <c r="W123" s="656"/>
      <c r="X123" s="656"/>
      <c r="Y123" s="293"/>
      <c r="Z123" s="656"/>
      <c r="AA123" s="656"/>
      <c r="AB123" s="656"/>
      <c r="AC123" s="656"/>
    </row>
    <row r="124" spans="1:29">
      <c r="A124" s="656"/>
      <c r="B124" s="656"/>
      <c r="C124" s="656"/>
      <c r="D124" s="656"/>
      <c r="E124" s="656"/>
      <c r="F124" s="656"/>
      <c r="G124" s="656"/>
      <c r="H124" s="656"/>
      <c r="I124" s="656"/>
      <c r="J124" s="656"/>
      <c r="K124" s="656"/>
      <c r="L124" s="656"/>
      <c r="M124" s="293"/>
      <c r="N124" s="789"/>
      <c r="O124" s="789"/>
      <c r="P124" s="789"/>
      <c r="Q124" s="789"/>
      <c r="R124" s="789"/>
      <c r="S124" s="789"/>
      <c r="T124" s="656"/>
      <c r="U124" s="293"/>
      <c r="V124" s="656"/>
      <c r="W124" s="656"/>
      <c r="X124" s="656"/>
      <c r="Y124" s="293"/>
      <c r="Z124" s="656"/>
      <c r="AA124" s="656"/>
      <c r="AB124" s="656"/>
      <c r="AC124" s="656"/>
    </row>
    <row r="125" spans="1:29">
      <c r="A125" s="656"/>
      <c r="B125" s="656"/>
      <c r="C125" s="656"/>
      <c r="D125" s="656"/>
      <c r="E125" s="656"/>
      <c r="F125" s="656"/>
      <c r="G125" s="656"/>
      <c r="H125" s="656"/>
      <c r="I125" s="656"/>
      <c r="J125" s="656"/>
      <c r="K125" s="656"/>
      <c r="L125" s="656"/>
      <c r="M125" s="293"/>
      <c r="N125" s="789"/>
      <c r="O125" s="789"/>
      <c r="P125" s="789"/>
      <c r="Q125" s="789"/>
      <c r="R125" s="789"/>
      <c r="S125" s="789"/>
      <c r="T125" s="656"/>
      <c r="U125" s="293"/>
      <c r="V125" s="656"/>
      <c r="W125" s="656"/>
      <c r="X125" s="656"/>
      <c r="Y125" s="293"/>
      <c r="Z125" s="656"/>
      <c r="AA125" s="656"/>
      <c r="AB125" s="656"/>
      <c r="AC125" s="656"/>
    </row>
    <row r="126" spans="1:29">
      <c r="A126" s="656"/>
      <c r="B126" s="656"/>
      <c r="C126" s="656"/>
      <c r="D126" s="656"/>
      <c r="E126" s="656"/>
      <c r="F126" s="656"/>
      <c r="G126" s="656"/>
      <c r="H126" s="656"/>
      <c r="I126" s="656"/>
      <c r="J126" s="656"/>
      <c r="K126" s="656"/>
      <c r="L126" s="656"/>
      <c r="M126" s="293"/>
      <c r="N126" s="789"/>
      <c r="O126" s="789"/>
      <c r="P126" s="789"/>
      <c r="Q126" s="789"/>
      <c r="R126" s="789"/>
      <c r="S126" s="789"/>
      <c r="T126" s="656"/>
      <c r="U126" s="293"/>
      <c r="V126" s="656"/>
      <c r="W126" s="656"/>
      <c r="X126" s="656"/>
      <c r="Y126" s="293"/>
      <c r="Z126" s="656"/>
      <c r="AA126" s="656"/>
      <c r="AB126" s="656"/>
      <c r="AC126" s="656"/>
    </row>
    <row r="127" spans="1:29">
      <c r="A127" s="656"/>
      <c r="B127" s="656"/>
      <c r="C127" s="656"/>
      <c r="D127" s="656"/>
      <c r="E127" s="656"/>
      <c r="F127" s="656"/>
      <c r="G127" s="656"/>
      <c r="H127" s="656"/>
      <c r="I127" s="656"/>
      <c r="J127" s="656"/>
      <c r="K127" s="656"/>
      <c r="L127" s="656"/>
      <c r="M127" s="293"/>
      <c r="N127" s="789"/>
      <c r="O127" s="789"/>
      <c r="P127" s="789"/>
      <c r="Q127" s="789"/>
      <c r="R127" s="789"/>
      <c r="S127" s="789"/>
      <c r="T127" s="656"/>
      <c r="U127" s="293"/>
      <c r="V127" s="656"/>
      <c r="W127" s="656"/>
      <c r="X127" s="656"/>
      <c r="Y127" s="293"/>
      <c r="Z127" s="656"/>
      <c r="AA127" s="656"/>
      <c r="AB127" s="656"/>
      <c r="AC127" s="656"/>
    </row>
    <row r="128" spans="1:29">
      <c r="A128" s="656"/>
      <c r="B128" s="656"/>
      <c r="C128" s="656"/>
      <c r="D128" s="656"/>
      <c r="E128" s="656"/>
      <c r="F128" s="656"/>
      <c r="G128" s="656"/>
      <c r="H128" s="656"/>
      <c r="I128" s="656"/>
      <c r="J128" s="656"/>
      <c r="K128" s="656"/>
      <c r="L128" s="656"/>
      <c r="M128" s="293"/>
      <c r="N128" s="789"/>
      <c r="O128" s="789"/>
      <c r="P128" s="789"/>
      <c r="Q128" s="789"/>
      <c r="R128" s="789"/>
      <c r="S128" s="789"/>
      <c r="T128" s="656"/>
      <c r="U128" s="293"/>
      <c r="V128" s="656"/>
      <c r="W128" s="656"/>
      <c r="X128" s="656"/>
      <c r="Y128" s="293"/>
      <c r="Z128" s="656"/>
      <c r="AA128" s="656"/>
      <c r="AB128" s="656"/>
      <c r="AC128" s="656"/>
    </row>
    <row r="129" spans="1:29">
      <c r="A129" s="656"/>
      <c r="B129" s="656"/>
      <c r="C129" s="656"/>
      <c r="D129" s="656"/>
      <c r="E129" s="656"/>
      <c r="F129" s="656"/>
      <c r="G129" s="656"/>
      <c r="H129" s="656"/>
      <c r="I129" s="656"/>
      <c r="J129" s="656"/>
      <c r="K129" s="656"/>
      <c r="L129" s="656"/>
      <c r="M129" s="293"/>
      <c r="N129" s="789"/>
      <c r="O129" s="789"/>
      <c r="P129" s="789"/>
      <c r="Q129" s="789"/>
      <c r="R129" s="789"/>
      <c r="S129" s="789"/>
      <c r="T129" s="656"/>
      <c r="U129" s="293"/>
      <c r="V129" s="656"/>
      <c r="W129" s="656"/>
      <c r="X129" s="656"/>
      <c r="Y129" s="293"/>
      <c r="Z129" s="656"/>
      <c r="AA129" s="656"/>
      <c r="AB129" s="656"/>
      <c r="AC129" s="656"/>
    </row>
    <row r="130" spans="1:29">
      <c r="A130" s="656"/>
      <c r="B130" s="656"/>
      <c r="C130" s="656"/>
      <c r="D130" s="656"/>
      <c r="E130" s="656"/>
      <c r="F130" s="656"/>
      <c r="G130" s="656"/>
      <c r="H130" s="656"/>
      <c r="I130" s="656"/>
      <c r="J130" s="656"/>
      <c r="K130" s="656"/>
      <c r="L130" s="656"/>
      <c r="M130" s="293"/>
      <c r="N130" s="789"/>
      <c r="O130" s="789"/>
      <c r="P130" s="789"/>
      <c r="Q130" s="789"/>
      <c r="R130" s="789"/>
      <c r="S130" s="789"/>
      <c r="T130" s="656"/>
      <c r="U130" s="293"/>
      <c r="V130" s="656"/>
      <c r="W130" s="656"/>
      <c r="X130" s="656"/>
      <c r="Y130" s="293"/>
      <c r="Z130" s="656"/>
      <c r="AA130" s="656"/>
      <c r="AB130" s="656"/>
      <c r="AC130" s="656"/>
    </row>
    <row r="131" spans="1:29">
      <c r="A131" s="656"/>
      <c r="B131" s="656"/>
      <c r="C131" s="656"/>
      <c r="D131" s="656"/>
      <c r="E131" s="656"/>
      <c r="F131" s="656"/>
      <c r="G131" s="656"/>
      <c r="H131" s="656"/>
      <c r="I131" s="656"/>
      <c r="J131" s="656"/>
      <c r="K131" s="656"/>
      <c r="L131" s="656"/>
      <c r="M131" s="293"/>
      <c r="N131" s="789"/>
      <c r="O131" s="789"/>
      <c r="P131" s="789"/>
      <c r="Q131" s="789"/>
      <c r="R131" s="789"/>
      <c r="S131" s="789"/>
      <c r="T131" s="656"/>
      <c r="U131" s="293"/>
      <c r="V131" s="656"/>
      <c r="W131" s="656"/>
      <c r="X131" s="656"/>
      <c r="Y131" s="293"/>
      <c r="Z131" s="656"/>
      <c r="AA131" s="656"/>
      <c r="AB131" s="656"/>
      <c r="AC131" s="656"/>
    </row>
    <row r="132" spans="1:29">
      <c r="A132" s="656"/>
      <c r="B132" s="656"/>
      <c r="C132" s="656"/>
      <c r="D132" s="656"/>
      <c r="E132" s="656"/>
      <c r="F132" s="656"/>
      <c r="G132" s="656"/>
      <c r="H132" s="656"/>
      <c r="I132" s="656"/>
      <c r="J132" s="656"/>
      <c r="K132" s="656"/>
      <c r="L132" s="656"/>
      <c r="M132" s="293"/>
      <c r="N132" s="789"/>
      <c r="O132" s="789"/>
      <c r="P132" s="789"/>
      <c r="Q132" s="789"/>
      <c r="R132" s="789"/>
      <c r="S132" s="789"/>
      <c r="T132" s="656"/>
      <c r="U132" s="293"/>
      <c r="V132" s="656"/>
      <c r="W132" s="656"/>
      <c r="X132" s="656"/>
      <c r="Y132" s="293"/>
      <c r="Z132" s="656"/>
      <c r="AA132" s="656"/>
      <c r="AB132" s="656"/>
      <c r="AC132" s="656"/>
    </row>
    <row r="133" spans="1:29">
      <c r="A133" s="656"/>
      <c r="B133" s="656"/>
      <c r="C133" s="656"/>
      <c r="D133" s="656"/>
      <c r="E133" s="656"/>
      <c r="F133" s="656"/>
      <c r="G133" s="656"/>
      <c r="H133" s="656"/>
      <c r="I133" s="656"/>
      <c r="J133" s="656"/>
      <c r="K133" s="656"/>
      <c r="L133" s="656"/>
      <c r="M133" s="293"/>
      <c r="N133" s="789"/>
      <c r="O133" s="789"/>
      <c r="P133" s="789"/>
      <c r="Q133" s="789"/>
      <c r="R133" s="789"/>
      <c r="S133" s="789"/>
      <c r="T133" s="656"/>
      <c r="U133" s="293"/>
      <c r="V133" s="656"/>
      <c r="W133" s="656"/>
      <c r="X133" s="656"/>
      <c r="Y133" s="293"/>
      <c r="Z133" s="656"/>
      <c r="AA133" s="656"/>
      <c r="AB133" s="656"/>
      <c r="AC133" s="656"/>
    </row>
    <row r="134" spans="1:29">
      <c r="A134" s="656"/>
      <c r="B134" s="656"/>
      <c r="C134" s="656"/>
      <c r="D134" s="656"/>
      <c r="E134" s="656"/>
      <c r="F134" s="656"/>
      <c r="G134" s="656"/>
      <c r="H134" s="656"/>
      <c r="I134" s="656"/>
      <c r="J134" s="656"/>
      <c r="K134" s="656"/>
      <c r="L134" s="656"/>
      <c r="M134" s="293"/>
      <c r="N134" s="789"/>
      <c r="O134" s="789"/>
      <c r="P134" s="789"/>
      <c r="Q134" s="789"/>
      <c r="R134" s="789"/>
      <c r="S134" s="789"/>
      <c r="T134" s="656"/>
      <c r="U134" s="293"/>
      <c r="V134" s="656"/>
      <c r="W134" s="656"/>
      <c r="X134" s="656"/>
      <c r="Y134" s="293"/>
      <c r="Z134" s="656"/>
      <c r="AA134" s="656"/>
      <c r="AB134" s="656"/>
      <c r="AC134" s="656"/>
    </row>
    <row r="135" spans="1:29">
      <c r="A135" s="656"/>
      <c r="B135" s="656"/>
      <c r="C135" s="656"/>
      <c r="D135" s="656"/>
      <c r="E135" s="656"/>
      <c r="F135" s="656"/>
      <c r="G135" s="656"/>
      <c r="H135" s="656"/>
      <c r="I135" s="656"/>
      <c r="J135" s="656"/>
      <c r="K135" s="656"/>
      <c r="L135" s="656"/>
      <c r="M135" s="293"/>
      <c r="N135" s="789"/>
      <c r="O135" s="789"/>
      <c r="P135" s="789"/>
      <c r="Q135" s="789"/>
      <c r="R135" s="789"/>
      <c r="S135" s="789"/>
      <c r="T135" s="656"/>
      <c r="U135" s="293"/>
      <c r="V135" s="656"/>
      <c r="W135" s="656"/>
      <c r="X135" s="656"/>
      <c r="Y135" s="293"/>
      <c r="Z135" s="656"/>
      <c r="AA135" s="656"/>
      <c r="AB135" s="656"/>
      <c r="AC135" s="656"/>
    </row>
    <row r="136" spans="1:29">
      <c r="A136" s="656"/>
      <c r="B136" s="656"/>
      <c r="C136" s="656"/>
      <c r="D136" s="656"/>
      <c r="E136" s="656"/>
      <c r="F136" s="656"/>
      <c r="G136" s="656"/>
      <c r="H136" s="656"/>
      <c r="I136" s="656"/>
      <c r="J136" s="656"/>
      <c r="K136" s="656"/>
      <c r="L136" s="656"/>
      <c r="M136" s="293"/>
      <c r="N136" s="789"/>
      <c r="O136" s="789"/>
      <c r="P136" s="789"/>
      <c r="Q136" s="789"/>
      <c r="R136" s="789"/>
      <c r="S136" s="789"/>
      <c r="T136" s="656"/>
      <c r="U136" s="293"/>
      <c r="V136" s="656"/>
      <c r="W136" s="656"/>
      <c r="X136" s="656"/>
      <c r="Y136" s="293"/>
      <c r="Z136" s="656"/>
      <c r="AA136" s="656"/>
      <c r="AB136" s="656"/>
      <c r="AC136" s="656"/>
    </row>
    <row r="137" spans="1:29">
      <c r="A137" s="656"/>
      <c r="B137" s="656"/>
      <c r="C137" s="656"/>
      <c r="D137" s="656"/>
      <c r="E137" s="656"/>
      <c r="F137" s="656"/>
      <c r="G137" s="656"/>
      <c r="H137" s="656"/>
      <c r="I137" s="656"/>
      <c r="J137" s="656"/>
      <c r="K137" s="656"/>
      <c r="L137" s="656"/>
      <c r="M137" s="293"/>
      <c r="N137" s="789"/>
      <c r="O137" s="789"/>
      <c r="P137" s="789"/>
      <c r="Q137" s="789"/>
      <c r="R137" s="789"/>
      <c r="S137" s="789"/>
      <c r="T137" s="656"/>
      <c r="U137" s="293"/>
      <c r="V137" s="656"/>
      <c r="W137" s="656"/>
      <c r="X137" s="656"/>
      <c r="Y137" s="293"/>
      <c r="Z137" s="656"/>
      <c r="AA137" s="656"/>
      <c r="AB137" s="656"/>
      <c r="AC137" s="656"/>
    </row>
    <row r="138" spans="1:29">
      <c r="A138" s="656"/>
      <c r="B138" s="656"/>
      <c r="C138" s="656"/>
      <c r="D138" s="656"/>
      <c r="E138" s="656"/>
      <c r="F138" s="656"/>
      <c r="G138" s="656"/>
      <c r="H138" s="656"/>
      <c r="I138" s="656"/>
      <c r="J138" s="656"/>
      <c r="K138" s="656"/>
      <c r="L138" s="656"/>
      <c r="M138" s="293"/>
      <c r="N138" s="789"/>
      <c r="O138" s="789"/>
      <c r="P138" s="789"/>
      <c r="Q138" s="789"/>
      <c r="R138" s="789"/>
      <c r="S138" s="789"/>
      <c r="T138" s="656"/>
      <c r="U138" s="293"/>
      <c r="V138" s="656"/>
      <c r="W138" s="656"/>
      <c r="X138" s="656"/>
      <c r="Y138" s="293"/>
      <c r="Z138" s="656"/>
      <c r="AA138" s="656"/>
      <c r="AB138" s="656"/>
      <c r="AC138" s="656"/>
    </row>
    <row r="139" spans="1:29">
      <c r="A139" s="656"/>
      <c r="B139" s="656"/>
      <c r="C139" s="656"/>
      <c r="D139" s="656"/>
      <c r="E139" s="656"/>
      <c r="F139" s="656"/>
      <c r="G139" s="656"/>
      <c r="H139" s="656"/>
      <c r="I139" s="656"/>
      <c r="J139" s="656"/>
      <c r="K139" s="656"/>
      <c r="L139" s="656"/>
      <c r="M139" s="293"/>
      <c r="N139" s="789"/>
      <c r="O139" s="789"/>
      <c r="P139" s="789"/>
      <c r="Q139" s="789"/>
      <c r="R139" s="789"/>
      <c r="S139" s="789"/>
      <c r="T139" s="656"/>
      <c r="U139" s="293"/>
      <c r="V139" s="656"/>
      <c r="W139" s="656"/>
      <c r="X139" s="656"/>
      <c r="Y139" s="293"/>
      <c r="Z139" s="656"/>
      <c r="AA139" s="656"/>
      <c r="AB139" s="656"/>
      <c r="AC139" s="656"/>
    </row>
    <row r="140" spans="1:29">
      <c r="A140" s="656"/>
      <c r="B140" s="656"/>
      <c r="C140" s="656"/>
      <c r="D140" s="656"/>
      <c r="E140" s="656"/>
      <c r="F140" s="656"/>
      <c r="G140" s="656"/>
      <c r="H140" s="656"/>
      <c r="I140" s="656"/>
      <c r="J140" s="656"/>
      <c r="K140" s="656"/>
      <c r="L140" s="656"/>
      <c r="M140" s="293"/>
      <c r="N140" s="789"/>
      <c r="O140" s="789"/>
      <c r="P140" s="789"/>
      <c r="Q140" s="789"/>
      <c r="R140" s="789"/>
      <c r="S140" s="789"/>
      <c r="T140" s="656"/>
      <c r="U140" s="293"/>
      <c r="V140" s="656"/>
      <c r="W140" s="656"/>
      <c r="X140" s="656"/>
      <c r="Y140" s="293"/>
      <c r="Z140" s="656"/>
      <c r="AA140" s="656"/>
      <c r="AB140" s="656"/>
      <c r="AC140" s="656"/>
    </row>
    <row r="141" spans="1:29">
      <c r="A141" s="656"/>
      <c r="B141" s="656"/>
      <c r="C141" s="656"/>
      <c r="D141" s="656"/>
      <c r="E141" s="656"/>
      <c r="F141" s="656"/>
      <c r="G141" s="656"/>
      <c r="H141" s="656"/>
      <c r="I141" s="656"/>
      <c r="J141" s="656"/>
      <c r="K141" s="656"/>
      <c r="L141" s="656"/>
      <c r="M141" s="293"/>
      <c r="N141" s="789"/>
      <c r="O141" s="789"/>
      <c r="P141" s="789"/>
      <c r="Q141" s="789"/>
      <c r="R141" s="789"/>
      <c r="S141" s="789"/>
      <c r="T141" s="656"/>
      <c r="U141" s="293"/>
      <c r="V141" s="656"/>
      <c r="W141" s="656"/>
      <c r="X141" s="656"/>
      <c r="Y141" s="293"/>
      <c r="Z141" s="656"/>
      <c r="AA141" s="656"/>
      <c r="AB141" s="656"/>
      <c r="AC141" s="656"/>
    </row>
    <row r="142" spans="1:29">
      <c r="A142" s="656"/>
      <c r="B142" s="656"/>
      <c r="C142" s="656"/>
      <c r="D142" s="656"/>
      <c r="E142" s="656"/>
      <c r="F142" s="656"/>
      <c r="G142" s="656"/>
      <c r="H142" s="656"/>
      <c r="I142" s="656"/>
      <c r="J142" s="656"/>
      <c r="K142" s="656"/>
      <c r="L142" s="656"/>
      <c r="M142" s="293"/>
      <c r="N142" s="789"/>
      <c r="O142" s="789"/>
      <c r="P142" s="789"/>
      <c r="Q142" s="789"/>
      <c r="R142" s="789"/>
      <c r="S142" s="789"/>
      <c r="T142" s="656"/>
      <c r="U142" s="293"/>
      <c r="V142" s="656"/>
      <c r="W142" s="656"/>
      <c r="X142" s="656"/>
      <c r="Y142" s="293"/>
      <c r="Z142" s="656"/>
      <c r="AA142" s="656"/>
      <c r="AB142" s="656"/>
      <c r="AC142" s="656"/>
    </row>
    <row r="143" spans="1:29">
      <c r="A143" s="656"/>
      <c r="B143" s="656"/>
      <c r="C143" s="656"/>
      <c r="D143" s="656"/>
      <c r="E143" s="656"/>
      <c r="F143" s="656"/>
      <c r="G143" s="656"/>
      <c r="H143" s="656"/>
      <c r="I143" s="656"/>
      <c r="J143" s="656"/>
      <c r="K143" s="656"/>
      <c r="L143" s="656"/>
      <c r="M143" s="293"/>
      <c r="N143" s="789"/>
      <c r="O143" s="789"/>
      <c r="P143" s="789"/>
      <c r="Q143" s="789"/>
      <c r="R143" s="789"/>
      <c r="S143" s="789"/>
      <c r="T143" s="656"/>
      <c r="U143" s="293"/>
      <c r="V143" s="656"/>
      <c r="W143" s="656"/>
      <c r="X143" s="656"/>
      <c r="Y143" s="293"/>
      <c r="Z143" s="656"/>
      <c r="AA143" s="656"/>
      <c r="AB143" s="656"/>
      <c r="AC143" s="656"/>
    </row>
    <row r="144" spans="1:29">
      <c r="A144" s="656"/>
      <c r="B144" s="656"/>
      <c r="C144" s="656"/>
      <c r="D144" s="656"/>
      <c r="E144" s="656"/>
      <c r="F144" s="656"/>
      <c r="G144" s="656"/>
      <c r="H144" s="656"/>
      <c r="I144" s="656"/>
      <c r="J144" s="656"/>
      <c r="K144" s="656"/>
      <c r="L144" s="656"/>
      <c r="M144" s="293"/>
      <c r="N144" s="789"/>
      <c r="O144" s="789"/>
      <c r="P144" s="789"/>
      <c r="Q144" s="789"/>
      <c r="R144" s="789"/>
      <c r="S144" s="789"/>
      <c r="T144" s="656"/>
      <c r="U144" s="293"/>
      <c r="V144" s="656"/>
      <c r="W144" s="656"/>
      <c r="X144" s="656"/>
      <c r="Y144" s="293"/>
      <c r="Z144" s="656"/>
      <c r="AA144" s="656"/>
      <c r="AB144" s="656"/>
      <c r="AC144" s="656"/>
    </row>
    <row r="145" spans="1:29">
      <c r="A145" s="656"/>
      <c r="B145" s="656"/>
      <c r="C145" s="656"/>
      <c r="D145" s="656"/>
      <c r="E145" s="656"/>
      <c r="F145" s="656"/>
      <c r="G145" s="656"/>
      <c r="H145" s="656"/>
      <c r="I145" s="656"/>
      <c r="J145" s="656"/>
      <c r="K145" s="656"/>
      <c r="L145" s="656"/>
      <c r="M145" s="293"/>
      <c r="N145" s="789"/>
      <c r="O145" s="789"/>
      <c r="P145" s="789"/>
      <c r="Q145" s="789"/>
      <c r="R145" s="789"/>
      <c r="S145" s="789"/>
      <c r="T145" s="656"/>
      <c r="U145" s="293"/>
      <c r="V145" s="656"/>
      <c r="W145" s="656"/>
      <c r="X145" s="656"/>
      <c r="Y145" s="293"/>
      <c r="Z145" s="656"/>
      <c r="AA145" s="656"/>
      <c r="AB145" s="656"/>
      <c r="AC145" s="656"/>
    </row>
    <row r="146" spans="1:29">
      <c r="A146" s="656"/>
      <c r="B146" s="656"/>
      <c r="C146" s="656"/>
      <c r="D146" s="656"/>
      <c r="E146" s="656"/>
      <c r="F146" s="656"/>
      <c r="G146" s="656"/>
      <c r="H146" s="656"/>
      <c r="I146" s="656"/>
      <c r="J146" s="656"/>
      <c r="K146" s="656"/>
      <c r="L146" s="656"/>
      <c r="M146" s="293"/>
      <c r="N146" s="789"/>
      <c r="O146" s="789"/>
      <c r="P146" s="789"/>
      <c r="Q146" s="789"/>
      <c r="R146" s="789"/>
      <c r="S146" s="789"/>
      <c r="T146" s="656"/>
      <c r="U146" s="293"/>
      <c r="V146" s="656"/>
      <c r="W146" s="656"/>
      <c r="X146" s="656"/>
      <c r="Y146" s="293"/>
      <c r="Z146" s="656"/>
      <c r="AA146" s="656"/>
      <c r="AB146" s="656"/>
      <c r="AC146" s="656"/>
    </row>
    <row r="147" spans="1:29">
      <c r="A147" s="656"/>
      <c r="B147" s="656"/>
      <c r="C147" s="656"/>
      <c r="D147" s="656"/>
      <c r="E147" s="656"/>
      <c r="F147" s="656"/>
      <c r="G147" s="656"/>
      <c r="H147" s="656"/>
      <c r="I147" s="656"/>
      <c r="J147" s="656"/>
      <c r="K147" s="656"/>
      <c r="L147" s="656"/>
      <c r="M147" s="293"/>
      <c r="N147" s="789"/>
      <c r="O147" s="789"/>
      <c r="P147" s="789"/>
      <c r="Q147" s="789"/>
      <c r="R147" s="789"/>
      <c r="S147" s="789"/>
      <c r="T147" s="656"/>
      <c r="U147" s="293"/>
      <c r="V147" s="656"/>
      <c r="W147" s="656"/>
      <c r="X147" s="656"/>
      <c r="Y147" s="293"/>
      <c r="Z147" s="656"/>
      <c r="AA147" s="656"/>
      <c r="AB147" s="656"/>
      <c r="AC147" s="656"/>
    </row>
    <row r="148" spans="1:29">
      <c r="A148" s="656"/>
      <c r="B148" s="656"/>
      <c r="C148" s="656"/>
      <c r="D148" s="656"/>
      <c r="E148" s="656"/>
      <c r="F148" s="656"/>
      <c r="G148" s="656"/>
      <c r="H148" s="656"/>
      <c r="I148" s="656"/>
      <c r="J148" s="656"/>
      <c r="K148" s="656"/>
      <c r="L148" s="656"/>
      <c r="M148" s="293"/>
      <c r="N148" s="789"/>
      <c r="O148" s="789"/>
      <c r="P148" s="789"/>
      <c r="Q148" s="789"/>
      <c r="R148" s="789"/>
      <c r="S148" s="789"/>
      <c r="T148" s="656"/>
      <c r="U148" s="293"/>
      <c r="V148" s="656"/>
      <c r="W148" s="656"/>
      <c r="X148" s="656"/>
      <c r="Y148" s="293"/>
      <c r="Z148" s="656"/>
      <c r="AA148" s="656"/>
      <c r="AB148" s="656"/>
      <c r="AC148" s="656"/>
    </row>
    <row r="149" spans="1:29">
      <c r="A149" s="656"/>
      <c r="B149" s="656"/>
      <c r="C149" s="656"/>
      <c r="D149" s="656"/>
      <c r="E149" s="656"/>
      <c r="F149" s="656"/>
      <c r="G149" s="656"/>
      <c r="H149" s="656"/>
      <c r="I149" s="656"/>
      <c r="J149" s="656"/>
      <c r="K149" s="656"/>
      <c r="L149" s="656"/>
      <c r="M149" s="293"/>
      <c r="N149" s="789"/>
      <c r="O149" s="789"/>
      <c r="P149" s="789"/>
      <c r="Q149" s="789"/>
      <c r="R149" s="789"/>
      <c r="S149" s="789"/>
      <c r="T149" s="656"/>
      <c r="U149" s="293"/>
      <c r="V149" s="656"/>
      <c r="W149" s="656"/>
      <c r="X149" s="656"/>
      <c r="Y149" s="293"/>
      <c r="Z149" s="656"/>
      <c r="AA149" s="656"/>
      <c r="AB149" s="656"/>
      <c r="AC149" s="656"/>
    </row>
    <row r="150" spans="1:29">
      <c r="A150" s="656"/>
      <c r="B150" s="656"/>
      <c r="C150" s="656"/>
      <c r="D150" s="656"/>
      <c r="E150" s="656"/>
      <c r="F150" s="656"/>
      <c r="G150" s="656"/>
      <c r="H150" s="656"/>
      <c r="I150" s="656"/>
      <c r="J150" s="656"/>
      <c r="K150" s="656"/>
      <c r="L150" s="656"/>
      <c r="M150" s="293"/>
      <c r="N150" s="789"/>
      <c r="O150" s="789"/>
      <c r="P150" s="789"/>
      <c r="Q150" s="789"/>
      <c r="R150" s="789"/>
      <c r="S150" s="789"/>
      <c r="T150" s="656"/>
      <c r="U150" s="293"/>
      <c r="V150" s="656"/>
      <c r="W150" s="656"/>
      <c r="X150" s="656"/>
      <c r="Y150" s="293"/>
      <c r="Z150" s="656"/>
      <c r="AA150" s="656"/>
      <c r="AB150" s="656"/>
      <c r="AC150" s="656"/>
    </row>
    <row r="151" spans="1:29">
      <c r="A151" s="656"/>
      <c r="B151" s="656"/>
      <c r="C151" s="656"/>
      <c r="D151" s="656"/>
      <c r="E151" s="656"/>
      <c r="F151" s="656"/>
      <c r="G151" s="656"/>
      <c r="H151" s="656"/>
      <c r="I151" s="656"/>
      <c r="J151" s="656"/>
      <c r="K151" s="656"/>
      <c r="L151" s="656"/>
      <c r="M151" s="293"/>
      <c r="N151" s="789"/>
      <c r="O151" s="789"/>
      <c r="P151" s="789"/>
      <c r="Q151" s="789"/>
      <c r="R151" s="789"/>
      <c r="S151" s="789"/>
      <c r="T151" s="656"/>
      <c r="U151" s="293"/>
      <c r="V151" s="656"/>
      <c r="W151" s="656"/>
      <c r="X151" s="656"/>
      <c r="Y151" s="293"/>
      <c r="Z151" s="656"/>
      <c r="AA151" s="656"/>
      <c r="AB151" s="656"/>
      <c r="AC151" s="656"/>
    </row>
    <row r="152" spans="1:29">
      <c r="A152" s="656"/>
      <c r="B152" s="656"/>
      <c r="C152" s="656"/>
      <c r="D152" s="656"/>
      <c r="E152" s="656"/>
      <c r="F152" s="656"/>
      <c r="G152" s="656"/>
      <c r="H152" s="656"/>
      <c r="I152" s="656"/>
      <c r="J152" s="656"/>
      <c r="K152" s="656"/>
      <c r="L152" s="656"/>
      <c r="M152" s="293"/>
      <c r="N152" s="789"/>
      <c r="O152" s="789"/>
      <c r="P152" s="789"/>
      <c r="Q152" s="789"/>
      <c r="R152" s="789"/>
      <c r="S152" s="789"/>
      <c r="T152" s="656"/>
      <c r="U152" s="293"/>
      <c r="V152" s="656"/>
      <c r="W152" s="656"/>
      <c r="X152" s="656"/>
      <c r="Y152" s="293"/>
      <c r="Z152" s="656"/>
      <c r="AA152" s="656"/>
      <c r="AB152" s="656"/>
      <c r="AC152" s="656"/>
    </row>
    <row r="153" spans="1:29">
      <c r="A153" s="656"/>
      <c r="B153" s="656"/>
      <c r="C153" s="656"/>
      <c r="D153" s="656"/>
      <c r="E153" s="656"/>
      <c r="F153" s="656"/>
      <c r="G153" s="656"/>
      <c r="H153" s="656"/>
      <c r="I153" s="656"/>
      <c r="J153" s="656"/>
      <c r="K153" s="656"/>
      <c r="L153" s="656"/>
      <c r="M153" s="293"/>
      <c r="N153" s="789"/>
      <c r="O153" s="789"/>
      <c r="P153" s="789"/>
      <c r="Q153" s="789"/>
      <c r="R153" s="789"/>
      <c r="S153" s="789"/>
      <c r="T153" s="656"/>
      <c r="U153" s="293"/>
      <c r="V153" s="656"/>
      <c r="W153" s="656"/>
      <c r="X153" s="656"/>
      <c r="Y153" s="293"/>
      <c r="Z153" s="656"/>
      <c r="AA153" s="656"/>
      <c r="AB153" s="656"/>
      <c r="AC153" s="656"/>
    </row>
    <row r="154" spans="1:29">
      <c r="A154" s="656"/>
      <c r="B154" s="656"/>
      <c r="C154" s="656"/>
      <c r="D154" s="656"/>
      <c r="E154" s="656"/>
      <c r="F154" s="656"/>
      <c r="G154" s="656"/>
      <c r="H154" s="656"/>
      <c r="I154" s="656"/>
      <c r="J154" s="656"/>
      <c r="K154" s="656"/>
      <c r="L154" s="656"/>
      <c r="M154" s="293"/>
      <c r="N154" s="789"/>
      <c r="O154" s="789"/>
      <c r="P154" s="789"/>
      <c r="Q154" s="789"/>
      <c r="R154" s="789"/>
      <c r="S154" s="789"/>
      <c r="T154" s="656"/>
      <c r="U154" s="293"/>
      <c r="V154" s="656"/>
      <c r="W154" s="656"/>
      <c r="X154" s="656"/>
      <c r="Y154" s="293"/>
      <c r="Z154" s="656"/>
      <c r="AA154" s="656"/>
      <c r="AB154" s="656"/>
      <c r="AC154" s="656"/>
    </row>
    <row r="155" spans="1:29">
      <c r="A155" s="656"/>
      <c r="B155" s="656"/>
      <c r="C155" s="656"/>
      <c r="D155" s="656"/>
      <c r="E155" s="656"/>
      <c r="F155" s="656"/>
      <c r="G155" s="656"/>
      <c r="H155" s="656"/>
      <c r="I155" s="656"/>
      <c r="J155" s="656"/>
      <c r="K155" s="656"/>
      <c r="L155" s="656"/>
      <c r="M155" s="293"/>
      <c r="N155" s="789"/>
      <c r="O155" s="789"/>
      <c r="P155" s="789"/>
      <c r="Q155" s="789"/>
      <c r="R155" s="789"/>
      <c r="S155" s="789"/>
      <c r="T155" s="656"/>
      <c r="U155" s="293"/>
      <c r="V155" s="656"/>
      <c r="W155" s="656"/>
      <c r="X155" s="656"/>
      <c r="Y155" s="293"/>
      <c r="Z155" s="656"/>
      <c r="AA155" s="656"/>
      <c r="AB155" s="656"/>
      <c r="AC155" s="656"/>
    </row>
    <row r="156" spans="1:29">
      <c r="A156" s="656"/>
      <c r="B156" s="656"/>
      <c r="C156" s="656"/>
      <c r="D156" s="656"/>
      <c r="E156" s="656"/>
      <c r="F156" s="656"/>
      <c r="G156" s="656"/>
      <c r="H156" s="656"/>
      <c r="I156" s="656"/>
      <c r="J156" s="656"/>
      <c r="K156" s="656"/>
      <c r="L156" s="656"/>
      <c r="M156" s="293"/>
      <c r="N156" s="789"/>
      <c r="O156" s="789"/>
      <c r="P156" s="789"/>
      <c r="Q156" s="789"/>
      <c r="R156" s="789"/>
      <c r="S156" s="789"/>
      <c r="T156" s="656"/>
      <c r="U156" s="293"/>
      <c r="V156" s="656"/>
      <c r="W156" s="656"/>
      <c r="X156" s="656"/>
      <c r="Y156" s="293"/>
      <c r="Z156" s="656"/>
      <c r="AA156" s="656"/>
      <c r="AB156" s="656"/>
      <c r="AC156" s="656"/>
    </row>
    <row r="157" spans="1:29">
      <c r="A157" s="656"/>
      <c r="B157" s="656"/>
      <c r="C157" s="656"/>
      <c r="D157" s="656"/>
      <c r="E157" s="656"/>
      <c r="F157" s="656"/>
      <c r="G157" s="656"/>
      <c r="H157" s="656"/>
      <c r="I157" s="656"/>
      <c r="J157" s="656"/>
      <c r="K157" s="656"/>
      <c r="L157" s="656"/>
      <c r="M157" s="293"/>
      <c r="N157" s="789"/>
      <c r="O157" s="789"/>
      <c r="P157" s="789"/>
      <c r="Q157" s="789"/>
      <c r="R157" s="789"/>
      <c r="S157" s="789"/>
      <c r="T157" s="656"/>
      <c r="U157" s="293"/>
      <c r="V157" s="656"/>
      <c r="W157" s="656"/>
      <c r="X157" s="656"/>
      <c r="Y157" s="293"/>
      <c r="Z157" s="656"/>
      <c r="AA157" s="656"/>
      <c r="AB157" s="656"/>
      <c r="AC157" s="656"/>
    </row>
    <row r="158" spans="1:29">
      <c r="A158" s="656"/>
      <c r="B158" s="656"/>
      <c r="C158" s="656"/>
      <c r="D158" s="656"/>
      <c r="E158" s="656"/>
      <c r="F158" s="656"/>
      <c r="G158" s="656"/>
      <c r="H158" s="656"/>
      <c r="I158" s="656"/>
      <c r="J158" s="656"/>
      <c r="K158" s="656"/>
      <c r="L158" s="656"/>
      <c r="M158" s="293"/>
      <c r="N158" s="789"/>
      <c r="O158" s="789"/>
      <c r="P158" s="789"/>
      <c r="Q158" s="789"/>
      <c r="R158" s="789"/>
      <c r="S158" s="789"/>
      <c r="T158" s="656"/>
      <c r="U158" s="293"/>
      <c r="V158" s="656"/>
      <c r="W158" s="656"/>
      <c r="X158" s="656"/>
      <c r="Y158" s="293"/>
      <c r="Z158" s="656"/>
      <c r="AA158" s="656"/>
      <c r="AB158" s="656"/>
      <c r="AC158" s="656"/>
    </row>
    <row r="159" spans="1:29">
      <c r="A159" s="656"/>
      <c r="B159" s="656"/>
      <c r="C159" s="656"/>
      <c r="D159" s="656"/>
      <c r="E159" s="656"/>
      <c r="F159" s="656"/>
      <c r="G159" s="656"/>
      <c r="H159" s="656"/>
      <c r="I159" s="656"/>
      <c r="J159" s="656"/>
      <c r="K159" s="656"/>
      <c r="L159" s="656"/>
      <c r="M159" s="293"/>
      <c r="N159" s="789"/>
      <c r="O159" s="789"/>
      <c r="P159" s="789"/>
      <c r="Q159" s="789"/>
      <c r="R159" s="789"/>
      <c r="S159" s="789"/>
      <c r="T159" s="656"/>
      <c r="U159" s="293"/>
      <c r="V159" s="656"/>
      <c r="W159" s="656"/>
      <c r="X159" s="656"/>
      <c r="Y159" s="293"/>
      <c r="Z159" s="656"/>
      <c r="AA159" s="656"/>
      <c r="AB159" s="656"/>
      <c r="AC159" s="656"/>
    </row>
    <row r="160" spans="1:29">
      <c r="A160" s="656"/>
      <c r="B160" s="656"/>
      <c r="C160" s="656"/>
      <c r="D160" s="656"/>
      <c r="E160" s="656"/>
      <c r="F160" s="656"/>
      <c r="G160" s="656"/>
      <c r="H160" s="656"/>
      <c r="I160" s="656"/>
      <c r="J160" s="656"/>
      <c r="K160" s="656"/>
      <c r="L160" s="656"/>
      <c r="M160" s="293"/>
      <c r="N160" s="789"/>
      <c r="O160" s="789"/>
      <c r="P160" s="789"/>
      <c r="Q160" s="789"/>
      <c r="R160" s="789"/>
      <c r="S160" s="789"/>
      <c r="T160" s="656"/>
      <c r="U160" s="293"/>
      <c r="V160" s="656"/>
      <c r="W160" s="656"/>
      <c r="X160" s="656"/>
      <c r="Y160" s="293"/>
      <c r="Z160" s="656"/>
      <c r="AA160" s="656"/>
      <c r="AB160" s="656"/>
      <c r="AC160" s="656"/>
    </row>
    <row r="161" spans="1:29">
      <c r="A161" s="656"/>
      <c r="B161" s="656"/>
      <c r="C161" s="656"/>
      <c r="D161" s="656"/>
      <c r="E161" s="656"/>
      <c r="F161" s="656"/>
      <c r="G161" s="656"/>
      <c r="H161" s="656"/>
      <c r="I161" s="656"/>
      <c r="J161" s="656"/>
      <c r="K161" s="656"/>
      <c r="L161" s="656"/>
      <c r="M161" s="293"/>
      <c r="N161" s="789"/>
      <c r="O161" s="789"/>
      <c r="P161" s="789"/>
      <c r="Q161" s="789"/>
      <c r="R161" s="789"/>
      <c r="S161" s="789"/>
      <c r="T161" s="656"/>
      <c r="U161" s="293"/>
      <c r="V161" s="656"/>
      <c r="W161" s="656"/>
      <c r="X161" s="656"/>
      <c r="Y161" s="293"/>
      <c r="Z161" s="656"/>
      <c r="AA161" s="656"/>
      <c r="AB161" s="656"/>
      <c r="AC161" s="656"/>
    </row>
    <row r="162" spans="1:29">
      <c r="A162" s="656"/>
      <c r="B162" s="656"/>
      <c r="C162" s="656"/>
      <c r="D162" s="656"/>
      <c r="E162" s="656"/>
      <c r="F162" s="656"/>
      <c r="G162" s="656"/>
      <c r="H162" s="656"/>
      <c r="I162" s="656"/>
      <c r="J162" s="656"/>
      <c r="K162" s="656"/>
      <c r="L162" s="656"/>
      <c r="M162" s="293"/>
      <c r="N162" s="789"/>
      <c r="O162" s="789"/>
      <c r="P162" s="789"/>
      <c r="Q162" s="789"/>
      <c r="R162" s="789"/>
      <c r="S162" s="789"/>
      <c r="T162" s="656"/>
      <c r="U162" s="293"/>
      <c r="V162" s="656"/>
      <c r="W162" s="656"/>
      <c r="X162" s="656"/>
      <c r="Y162" s="293"/>
      <c r="Z162" s="656"/>
      <c r="AA162" s="656"/>
      <c r="AB162" s="656"/>
      <c r="AC162" s="656"/>
    </row>
    <row r="163" spans="1:29">
      <c r="A163" s="656"/>
      <c r="B163" s="656"/>
      <c r="C163" s="656"/>
      <c r="D163" s="656"/>
      <c r="E163" s="656"/>
      <c r="F163" s="656"/>
      <c r="G163" s="656"/>
      <c r="H163" s="656"/>
      <c r="I163" s="656"/>
      <c r="J163" s="656"/>
      <c r="K163" s="656"/>
      <c r="L163" s="656"/>
      <c r="M163" s="293"/>
      <c r="N163" s="789"/>
      <c r="O163" s="789"/>
      <c r="P163" s="789"/>
      <c r="Q163" s="789"/>
      <c r="R163" s="789"/>
      <c r="S163" s="789"/>
      <c r="T163" s="656"/>
      <c r="U163" s="293"/>
      <c r="V163" s="656"/>
      <c r="W163" s="656"/>
      <c r="X163" s="656"/>
      <c r="Y163" s="293"/>
      <c r="Z163" s="656"/>
      <c r="AA163" s="656"/>
      <c r="AB163" s="656"/>
      <c r="AC163" s="656"/>
    </row>
    <row r="164" spans="1:29">
      <c r="A164" s="656"/>
      <c r="B164" s="656"/>
      <c r="C164" s="656"/>
      <c r="D164" s="656"/>
      <c r="E164" s="656"/>
      <c r="F164" s="656"/>
      <c r="G164" s="656"/>
      <c r="H164" s="656"/>
      <c r="I164" s="656"/>
      <c r="J164" s="656"/>
      <c r="K164" s="656"/>
      <c r="L164" s="656"/>
      <c r="M164" s="293"/>
      <c r="N164" s="789"/>
      <c r="O164" s="789"/>
      <c r="P164" s="789"/>
      <c r="Q164" s="789"/>
      <c r="R164" s="789"/>
      <c r="S164" s="789"/>
      <c r="T164" s="656"/>
      <c r="U164" s="293"/>
      <c r="V164" s="656"/>
      <c r="W164" s="656"/>
      <c r="X164" s="656"/>
      <c r="Y164" s="293"/>
      <c r="Z164" s="656"/>
      <c r="AA164" s="656"/>
      <c r="AB164" s="656"/>
      <c r="AC164" s="656"/>
    </row>
    <row r="165" spans="1:29">
      <c r="A165" s="656"/>
      <c r="B165" s="656"/>
      <c r="C165" s="656"/>
      <c r="D165" s="656"/>
      <c r="E165" s="656"/>
      <c r="F165" s="656"/>
      <c r="G165" s="656"/>
      <c r="H165" s="656"/>
      <c r="I165" s="656"/>
      <c r="J165" s="656"/>
      <c r="K165" s="656"/>
      <c r="L165" s="656"/>
      <c r="M165" s="293"/>
      <c r="N165" s="789"/>
      <c r="O165" s="789"/>
      <c r="P165" s="789"/>
      <c r="Q165" s="789"/>
      <c r="R165" s="789"/>
      <c r="S165" s="789"/>
      <c r="T165" s="656"/>
      <c r="U165" s="293"/>
      <c r="V165" s="656"/>
      <c r="W165" s="656"/>
      <c r="X165" s="656"/>
      <c r="Y165" s="293"/>
      <c r="Z165" s="656"/>
      <c r="AA165" s="656"/>
      <c r="AB165" s="656"/>
      <c r="AC165" s="656"/>
    </row>
    <row r="166" spans="1:29">
      <c r="A166" s="656"/>
      <c r="B166" s="656"/>
      <c r="C166" s="656"/>
      <c r="D166" s="656"/>
      <c r="E166" s="656"/>
      <c r="F166" s="656"/>
      <c r="G166" s="656"/>
      <c r="H166" s="656"/>
      <c r="I166" s="656"/>
      <c r="J166" s="656"/>
      <c r="K166" s="656"/>
      <c r="L166" s="656"/>
      <c r="M166" s="293"/>
      <c r="N166" s="789"/>
      <c r="O166" s="789"/>
      <c r="P166" s="789"/>
      <c r="Q166" s="789"/>
      <c r="R166" s="789"/>
      <c r="S166" s="789"/>
      <c r="T166" s="656"/>
      <c r="U166" s="293"/>
      <c r="V166" s="656"/>
      <c r="W166" s="656"/>
      <c r="X166" s="656"/>
      <c r="Y166" s="293"/>
      <c r="Z166" s="656"/>
      <c r="AA166" s="656"/>
      <c r="AB166" s="656"/>
      <c r="AC166" s="656"/>
    </row>
    <row r="167" spans="1:29">
      <c r="A167" s="656"/>
      <c r="B167" s="656"/>
      <c r="C167" s="656"/>
      <c r="D167" s="656"/>
      <c r="E167" s="656"/>
      <c r="F167" s="656"/>
      <c r="G167" s="656"/>
      <c r="H167" s="656"/>
      <c r="I167" s="656"/>
      <c r="J167" s="656"/>
      <c r="K167" s="656"/>
      <c r="L167" s="656"/>
      <c r="M167" s="293"/>
      <c r="N167" s="789"/>
      <c r="O167" s="789"/>
      <c r="P167" s="789"/>
      <c r="Q167" s="789"/>
      <c r="R167" s="789"/>
      <c r="S167" s="789"/>
      <c r="T167" s="656"/>
      <c r="U167" s="293"/>
      <c r="V167" s="656"/>
      <c r="W167" s="656"/>
      <c r="X167" s="656"/>
      <c r="Y167" s="293"/>
      <c r="Z167" s="656"/>
      <c r="AA167" s="656"/>
      <c r="AB167" s="656"/>
      <c r="AC167" s="656"/>
    </row>
    <row r="168" spans="1:29">
      <c r="A168" s="656"/>
      <c r="B168" s="656"/>
      <c r="C168" s="656"/>
      <c r="D168" s="656"/>
      <c r="E168" s="656"/>
      <c r="F168" s="656"/>
      <c r="G168" s="656"/>
      <c r="H168" s="656"/>
      <c r="I168" s="656"/>
      <c r="J168" s="656"/>
      <c r="K168" s="656"/>
      <c r="L168" s="656"/>
      <c r="M168" s="293"/>
      <c r="N168" s="789"/>
      <c r="O168" s="789"/>
      <c r="P168" s="789"/>
      <c r="Q168" s="789"/>
      <c r="R168" s="789"/>
      <c r="S168" s="789"/>
      <c r="T168" s="656"/>
      <c r="U168" s="293"/>
      <c r="V168" s="656"/>
      <c r="W168" s="656"/>
      <c r="X168" s="656"/>
      <c r="Y168" s="293"/>
      <c r="Z168" s="656"/>
      <c r="AA168" s="656"/>
      <c r="AB168" s="656"/>
      <c r="AC168" s="656"/>
    </row>
    <row r="169" spans="1:29">
      <c r="A169" s="656"/>
      <c r="B169" s="656"/>
      <c r="C169" s="656"/>
      <c r="D169" s="656"/>
      <c r="E169" s="656"/>
      <c r="F169" s="656"/>
      <c r="G169" s="656"/>
      <c r="H169" s="656"/>
      <c r="I169" s="656"/>
      <c r="J169" s="656"/>
      <c r="K169" s="656"/>
      <c r="L169" s="656"/>
      <c r="M169" s="293"/>
      <c r="N169" s="789"/>
      <c r="O169" s="789"/>
      <c r="P169" s="789"/>
      <c r="Q169" s="789"/>
      <c r="R169" s="789"/>
      <c r="S169" s="789"/>
      <c r="T169" s="656"/>
      <c r="U169" s="293"/>
      <c r="V169" s="656"/>
      <c r="W169" s="656"/>
      <c r="X169" s="656"/>
      <c r="Y169" s="293"/>
      <c r="Z169" s="656"/>
      <c r="AA169" s="656"/>
      <c r="AB169" s="656"/>
      <c r="AC169" s="656"/>
    </row>
    <row r="170" spans="1:29">
      <c r="A170" s="656"/>
      <c r="B170" s="656"/>
      <c r="C170" s="656"/>
      <c r="D170" s="656"/>
      <c r="E170" s="656"/>
      <c r="F170" s="656"/>
      <c r="G170" s="656"/>
      <c r="H170" s="656"/>
      <c r="I170" s="656"/>
      <c r="J170" s="656"/>
      <c r="K170" s="656"/>
      <c r="L170" s="656"/>
      <c r="M170" s="293"/>
      <c r="N170" s="789"/>
      <c r="O170" s="789"/>
      <c r="P170" s="789"/>
      <c r="Q170" s="789"/>
      <c r="R170" s="789"/>
      <c r="S170" s="789"/>
      <c r="T170" s="656"/>
      <c r="U170" s="293"/>
      <c r="V170" s="656"/>
      <c r="W170" s="656"/>
      <c r="X170" s="656"/>
      <c r="Y170" s="293"/>
      <c r="Z170" s="656"/>
      <c r="AA170" s="656"/>
      <c r="AB170" s="656"/>
      <c r="AC170" s="656"/>
    </row>
    <row r="171" spans="1:29">
      <c r="A171" s="656"/>
      <c r="B171" s="656"/>
      <c r="C171" s="656"/>
      <c r="D171" s="656"/>
      <c r="E171" s="656"/>
      <c r="F171" s="656"/>
      <c r="G171" s="656"/>
      <c r="H171" s="656"/>
      <c r="I171" s="656"/>
      <c r="J171" s="656"/>
      <c r="K171" s="656"/>
      <c r="L171" s="656"/>
      <c r="M171" s="293"/>
      <c r="N171" s="789"/>
      <c r="O171" s="789"/>
      <c r="P171" s="789"/>
      <c r="Q171" s="789"/>
      <c r="R171" s="789"/>
      <c r="S171" s="789"/>
      <c r="T171" s="656"/>
      <c r="U171" s="293"/>
      <c r="V171" s="656"/>
      <c r="W171" s="656"/>
      <c r="X171" s="656"/>
      <c r="Y171" s="293"/>
      <c r="Z171" s="656"/>
      <c r="AA171" s="656"/>
      <c r="AB171" s="656"/>
      <c r="AC171" s="656"/>
    </row>
    <row r="172" spans="1:29">
      <c r="A172" s="656"/>
      <c r="B172" s="656"/>
      <c r="C172" s="656"/>
      <c r="D172" s="656"/>
      <c r="E172" s="656"/>
      <c r="F172" s="656"/>
      <c r="G172" s="656"/>
      <c r="H172" s="656"/>
      <c r="I172" s="656"/>
      <c r="J172" s="656"/>
      <c r="K172" s="656"/>
      <c r="L172" s="656"/>
      <c r="M172" s="293"/>
      <c r="N172" s="789"/>
      <c r="O172" s="789"/>
      <c r="P172" s="789"/>
      <c r="Q172" s="789"/>
      <c r="R172" s="789"/>
      <c r="S172" s="789"/>
      <c r="T172" s="656"/>
      <c r="U172" s="293"/>
      <c r="V172" s="656"/>
      <c r="W172" s="656"/>
      <c r="X172" s="656"/>
      <c r="Y172" s="293"/>
      <c r="Z172" s="656"/>
      <c r="AA172" s="656"/>
      <c r="AB172" s="656"/>
      <c r="AC172" s="656"/>
    </row>
    <row r="173" spans="1:29">
      <c r="A173" s="656"/>
      <c r="B173" s="656"/>
      <c r="C173" s="656"/>
      <c r="D173" s="656"/>
      <c r="E173" s="656"/>
      <c r="F173" s="656"/>
      <c r="G173" s="656"/>
      <c r="H173" s="656"/>
      <c r="I173" s="656"/>
      <c r="J173" s="656"/>
      <c r="K173" s="656"/>
      <c r="L173" s="656"/>
      <c r="M173" s="293"/>
      <c r="N173" s="789"/>
      <c r="O173" s="789"/>
      <c r="P173" s="789"/>
      <c r="Q173" s="789"/>
      <c r="R173" s="789"/>
      <c r="S173" s="789"/>
      <c r="T173" s="656"/>
      <c r="U173" s="293"/>
      <c r="V173" s="656"/>
      <c r="W173" s="656"/>
      <c r="X173" s="656"/>
      <c r="Y173" s="293"/>
      <c r="Z173" s="656"/>
      <c r="AA173" s="656"/>
      <c r="AB173" s="656"/>
      <c r="AC173" s="656"/>
    </row>
    <row r="174" spans="1:29">
      <c r="A174" s="656"/>
      <c r="B174" s="656"/>
      <c r="C174" s="656"/>
      <c r="D174" s="656"/>
      <c r="E174" s="656"/>
      <c r="F174" s="656"/>
      <c r="G174" s="656"/>
      <c r="H174" s="656"/>
      <c r="I174" s="656"/>
      <c r="J174" s="656"/>
      <c r="K174" s="656"/>
      <c r="L174" s="656"/>
      <c r="M174" s="293"/>
      <c r="N174" s="789"/>
      <c r="O174" s="789"/>
      <c r="P174" s="789"/>
      <c r="Q174" s="789"/>
      <c r="R174" s="789"/>
      <c r="S174" s="789"/>
      <c r="T174" s="656"/>
      <c r="U174" s="293"/>
      <c r="V174" s="656"/>
      <c r="W174" s="656"/>
      <c r="X174" s="656"/>
      <c r="Y174" s="293"/>
      <c r="Z174" s="656"/>
      <c r="AA174" s="656"/>
      <c r="AB174" s="656"/>
      <c r="AC174" s="656"/>
    </row>
    <row r="175" spans="1:29">
      <c r="A175" s="656"/>
      <c r="B175" s="656"/>
      <c r="C175" s="656"/>
      <c r="D175" s="656"/>
      <c r="E175" s="656"/>
      <c r="F175" s="656"/>
      <c r="G175" s="656"/>
      <c r="H175" s="656"/>
      <c r="I175" s="656"/>
      <c r="J175" s="656"/>
      <c r="K175" s="656"/>
      <c r="L175" s="656"/>
      <c r="M175" s="293"/>
      <c r="N175" s="789"/>
      <c r="O175" s="789"/>
      <c r="P175" s="789"/>
      <c r="Q175" s="789"/>
      <c r="R175" s="789"/>
      <c r="S175" s="789"/>
      <c r="T175" s="656"/>
      <c r="U175" s="293"/>
      <c r="V175" s="656"/>
      <c r="W175" s="656"/>
      <c r="X175" s="656"/>
      <c r="Y175" s="293"/>
      <c r="Z175" s="656"/>
      <c r="AA175" s="656"/>
      <c r="AB175" s="656"/>
      <c r="AC175" s="656"/>
    </row>
    <row r="176" spans="1:29">
      <c r="A176" s="656"/>
      <c r="B176" s="656"/>
      <c r="C176" s="656"/>
      <c r="D176" s="656"/>
      <c r="E176" s="656"/>
      <c r="F176" s="656"/>
      <c r="G176" s="656"/>
      <c r="H176" s="656"/>
      <c r="I176" s="656"/>
      <c r="J176" s="656"/>
      <c r="K176" s="656"/>
      <c r="L176" s="656"/>
      <c r="M176" s="293"/>
      <c r="N176" s="789"/>
      <c r="O176" s="789"/>
      <c r="P176" s="789"/>
      <c r="Q176" s="789"/>
      <c r="R176" s="789"/>
      <c r="S176" s="789"/>
      <c r="T176" s="656"/>
      <c r="U176" s="293"/>
      <c r="V176" s="656"/>
      <c r="W176" s="656"/>
      <c r="X176" s="656"/>
      <c r="Y176" s="293"/>
      <c r="Z176" s="656"/>
      <c r="AA176" s="656"/>
      <c r="AB176" s="656"/>
      <c r="AC176" s="656"/>
    </row>
    <row r="177" spans="1:29">
      <c r="A177" s="656"/>
      <c r="B177" s="656"/>
      <c r="C177" s="656"/>
      <c r="D177" s="656"/>
      <c r="E177" s="656"/>
      <c r="F177" s="656"/>
      <c r="G177" s="656"/>
      <c r="H177" s="656"/>
      <c r="I177" s="656"/>
      <c r="J177" s="656"/>
      <c r="K177" s="656"/>
      <c r="L177" s="656"/>
      <c r="M177" s="293"/>
      <c r="N177" s="789"/>
      <c r="O177" s="789"/>
      <c r="P177" s="789"/>
      <c r="Q177" s="789"/>
      <c r="R177" s="789"/>
      <c r="S177" s="789"/>
      <c r="T177" s="656"/>
      <c r="U177" s="293"/>
      <c r="V177" s="656"/>
      <c r="W177" s="656"/>
      <c r="X177" s="656"/>
      <c r="Y177" s="293"/>
      <c r="Z177" s="656"/>
      <c r="AA177" s="656"/>
      <c r="AB177" s="656"/>
      <c r="AC177" s="656"/>
    </row>
    <row r="178" spans="1:29">
      <c r="A178" s="656"/>
      <c r="B178" s="656"/>
      <c r="C178" s="656"/>
      <c r="D178" s="656"/>
      <c r="E178" s="656"/>
      <c r="F178" s="656"/>
      <c r="G178" s="656"/>
      <c r="H178" s="656"/>
      <c r="I178" s="656"/>
      <c r="J178" s="656"/>
      <c r="K178" s="656"/>
      <c r="L178" s="656"/>
      <c r="M178" s="293"/>
      <c r="N178" s="789"/>
      <c r="O178" s="789"/>
      <c r="P178" s="789"/>
      <c r="Q178" s="789"/>
      <c r="R178" s="789"/>
      <c r="S178" s="789"/>
      <c r="T178" s="656"/>
      <c r="U178" s="293"/>
      <c r="V178" s="656"/>
      <c r="W178" s="656"/>
      <c r="X178" s="656"/>
      <c r="Y178" s="293"/>
      <c r="Z178" s="656"/>
      <c r="AA178" s="656"/>
      <c r="AB178" s="656"/>
      <c r="AC178" s="656"/>
    </row>
    <row r="179" spans="1:29">
      <c r="A179" s="656"/>
      <c r="B179" s="656"/>
      <c r="C179" s="656"/>
      <c r="D179" s="656"/>
      <c r="E179" s="656"/>
      <c r="F179" s="656"/>
      <c r="G179" s="656"/>
      <c r="H179" s="656"/>
      <c r="I179" s="656"/>
      <c r="J179" s="656"/>
      <c r="K179" s="656"/>
      <c r="L179" s="656"/>
      <c r="M179" s="293"/>
      <c r="N179" s="789"/>
      <c r="O179" s="789"/>
      <c r="P179" s="789"/>
      <c r="Q179" s="789"/>
      <c r="R179" s="789"/>
      <c r="S179" s="789"/>
      <c r="T179" s="656"/>
      <c r="U179" s="293"/>
      <c r="V179" s="656"/>
      <c r="W179" s="656"/>
      <c r="X179" s="656"/>
      <c r="Y179" s="293"/>
      <c r="Z179" s="656"/>
      <c r="AA179" s="656"/>
      <c r="AB179" s="656"/>
      <c r="AC179" s="656"/>
    </row>
    <row r="180" spans="1:29">
      <c r="A180" s="656"/>
      <c r="B180" s="656"/>
      <c r="C180" s="656"/>
      <c r="D180" s="656"/>
      <c r="E180" s="656"/>
      <c r="F180" s="656"/>
      <c r="G180" s="656"/>
      <c r="H180" s="656"/>
      <c r="I180" s="656"/>
      <c r="J180" s="656"/>
      <c r="K180" s="656"/>
      <c r="L180" s="656"/>
      <c r="M180" s="293"/>
      <c r="N180" s="789"/>
      <c r="O180" s="789"/>
      <c r="P180" s="789"/>
      <c r="Q180" s="789"/>
      <c r="R180" s="789"/>
      <c r="S180" s="789"/>
      <c r="T180" s="656"/>
      <c r="U180" s="293"/>
      <c r="V180" s="656"/>
      <c r="W180" s="656"/>
      <c r="X180" s="656"/>
      <c r="Y180" s="293"/>
      <c r="Z180" s="656"/>
      <c r="AA180" s="656"/>
      <c r="AB180" s="656"/>
      <c r="AC180" s="656"/>
    </row>
    <row r="181" spans="1:29">
      <c r="A181" s="656"/>
      <c r="B181" s="656"/>
      <c r="C181" s="656"/>
      <c r="D181" s="656"/>
      <c r="E181" s="656"/>
      <c r="F181" s="656"/>
      <c r="G181" s="656"/>
      <c r="H181" s="656"/>
      <c r="I181" s="656"/>
      <c r="J181" s="656"/>
      <c r="K181" s="656"/>
      <c r="L181" s="656"/>
      <c r="M181" s="293"/>
      <c r="N181" s="789"/>
      <c r="O181" s="789"/>
      <c r="P181" s="789"/>
      <c r="Q181" s="789"/>
      <c r="R181" s="789"/>
      <c r="S181" s="789"/>
      <c r="T181" s="656"/>
      <c r="U181" s="293"/>
      <c r="V181" s="656"/>
      <c r="W181" s="656"/>
      <c r="X181" s="656"/>
      <c r="Y181" s="293"/>
      <c r="Z181" s="656"/>
      <c r="AA181" s="656"/>
      <c r="AB181" s="656"/>
      <c r="AC181" s="656"/>
    </row>
    <row r="182" spans="1:29">
      <c r="A182" s="656"/>
      <c r="B182" s="656"/>
      <c r="C182" s="656"/>
      <c r="D182" s="656"/>
      <c r="E182" s="656"/>
      <c r="F182" s="656"/>
      <c r="G182" s="656"/>
      <c r="H182" s="656"/>
      <c r="I182" s="656"/>
      <c r="J182" s="656"/>
      <c r="K182" s="656"/>
      <c r="L182" s="656"/>
      <c r="M182" s="293"/>
      <c r="N182" s="789"/>
      <c r="O182" s="789"/>
      <c r="P182" s="789"/>
      <c r="Q182" s="789"/>
      <c r="R182" s="789"/>
      <c r="S182" s="789"/>
      <c r="T182" s="656"/>
      <c r="U182" s="293"/>
      <c r="V182" s="656"/>
      <c r="W182" s="656"/>
      <c r="X182" s="656"/>
      <c r="Y182" s="293"/>
      <c r="Z182" s="656"/>
      <c r="AA182" s="656"/>
      <c r="AB182" s="656"/>
      <c r="AC182" s="656"/>
    </row>
    <row r="183" spans="1:29">
      <c r="A183" s="656"/>
      <c r="B183" s="656"/>
      <c r="C183" s="656"/>
      <c r="D183" s="656"/>
      <c r="E183" s="656"/>
      <c r="F183" s="656"/>
      <c r="G183" s="656"/>
      <c r="H183" s="656"/>
      <c r="I183" s="656"/>
      <c r="J183" s="656"/>
      <c r="K183" s="656"/>
      <c r="L183" s="656"/>
      <c r="M183" s="293"/>
      <c r="N183" s="789"/>
      <c r="O183" s="789"/>
      <c r="P183" s="789"/>
      <c r="Q183" s="789"/>
      <c r="R183" s="789"/>
      <c r="S183" s="789"/>
      <c r="T183" s="656"/>
      <c r="U183" s="293"/>
      <c r="V183" s="656"/>
      <c r="W183" s="656"/>
      <c r="X183" s="656"/>
      <c r="Y183" s="293"/>
      <c r="Z183" s="656"/>
      <c r="AA183" s="656"/>
      <c r="AB183" s="656"/>
      <c r="AC183" s="656"/>
    </row>
    <row r="184" spans="1:29">
      <c r="A184" s="656"/>
      <c r="B184" s="656"/>
      <c r="C184" s="656"/>
      <c r="D184" s="656"/>
      <c r="E184" s="656"/>
      <c r="F184" s="656"/>
      <c r="G184" s="656"/>
      <c r="H184" s="656"/>
      <c r="I184" s="656"/>
      <c r="J184" s="656"/>
      <c r="K184" s="656"/>
      <c r="L184" s="656"/>
      <c r="M184" s="293"/>
      <c r="N184" s="789"/>
      <c r="O184" s="789"/>
      <c r="P184" s="789"/>
      <c r="Q184" s="789"/>
      <c r="R184" s="789"/>
      <c r="S184" s="789"/>
      <c r="T184" s="656"/>
      <c r="U184" s="293"/>
      <c r="V184" s="656"/>
      <c r="W184" s="656"/>
      <c r="X184" s="656"/>
      <c r="Y184" s="293"/>
      <c r="Z184" s="656"/>
      <c r="AA184" s="656"/>
      <c r="AB184" s="656"/>
      <c r="AC184" s="656"/>
    </row>
    <row r="185" spans="1:29">
      <c r="A185" s="656"/>
      <c r="B185" s="656"/>
      <c r="C185" s="656"/>
      <c r="D185" s="656"/>
      <c r="E185" s="656"/>
      <c r="F185" s="656"/>
      <c r="G185" s="656"/>
      <c r="H185" s="656"/>
      <c r="I185" s="656"/>
      <c r="J185" s="656"/>
      <c r="K185" s="656"/>
      <c r="L185" s="656"/>
      <c r="M185" s="293"/>
      <c r="N185" s="789"/>
      <c r="O185" s="789"/>
      <c r="P185" s="789"/>
      <c r="Q185" s="789"/>
      <c r="R185" s="789"/>
      <c r="S185" s="789"/>
      <c r="T185" s="656"/>
      <c r="U185" s="293"/>
      <c r="V185" s="656"/>
      <c r="W185" s="656"/>
      <c r="X185" s="656"/>
      <c r="Y185" s="293"/>
      <c r="Z185" s="656"/>
      <c r="AA185" s="656"/>
      <c r="AB185" s="656"/>
      <c r="AC185" s="656"/>
    </row>
    <row r="186" spans="1:29">
      <c r="A186" s="656"/>
      <c r="B186" s="656"/>
      <c r="C186" s="656"/>
      <c r="D186" s="656"/>
      <c r="E186" s="656"/>
      <c r="F186" s="656"/>
      <c r="G186" s="656"/>
      <c r="H186" s="656"/>
      <c r="I186" s="656"/>
      <c r="J186" s="656"/>
      <c r="K186" s="656"/>
      <c r="L186" s="656"/>
      <c r="M186" s="293"/>
      <c r="N186" s="789"/>
      <c r="O186" s="789"/>
      <c r="P186" s="789"/>
      <c r="Q186" s="789"/>
      <c r="R186" s="789"/>
      <c r="S186" s="789"/>
      <c r="T186" s="656"/>
      <c r="U186" s="293"/>
      <c r="V186" s="656"/>
      <c r="W186" s="656"/>
      <c r="X186" s="656"/>
      <c r="Y186" s="293"/>
      <c r="Z186" s="656"/>
      <c r="AA186" s="656"/>
      <c r="AB186" s="656"/>
      <c r="AC186" s="656"/>
    </row>
    <row r="187" spans="1:29">
      <c r="A187" s="656"/>
      <c r="B187" s="656"/>
      <c r="C187" s="656"/>
      <c r="D187" s="656"/>
      <c r="E187" s="656"/>
      <c r="F187" s="656"/>
      <c r="G187" s="656"/>
      <c r="H187" s="656"/>
      <c r="I187" s="656"/>
      <c r="J187" s="656"/>
      <c r="K187" s="656"/>
      <c r="L187" s="656"/>
      <c r="M187" s="293"/>
      <c r="N187" s="789"/>
      <c r="O187" s="789"/>
      <c r="P187" s="789"/>
      <c r="Q187" s="789"/>
      <c r="R187" s="789"/>
      <c r="S187" s="789"/>
      <c r="T187" s="656"/>
      <c r="U187" s="293"/>
      <c r="V187" s="656"/>
      <c r="W187" s="656"/>
      <c r="X187" s="656"/>
      <c r="Y187" s="293"/>
      <c r="Z187" s="656"/>
      <c r="AA187" s="656"/>
      <c r="AB187" s="656"/>
      <c r="AC187" s="656"/>
    </row>
    <row r="188" spans="1:29">
      <c r="A188" s="656"/>
      <c r="B188" s="656"/>
      <c r="C188" s="656"/>
      <c r="D188" s="656"/>
      <c r="E188" s="656"/>
      <c r="F188" s="656"/>
      <c r="G188" s="656"/>
      <c r="H188" s="656"/>
      <c r="I188" s="656"/>
      <c r="J188" s="656"/>
      <c r="K188" s="656"/>
      <c r="L188" s="656"/>
      <c r="M188" s="293"/>
      <c r="N188" s="789"/>
      <c r="O188" s="789"/>
      <c r="P188" s="789"/>
      <c r="Q188" s="789"/>
      <c r="R188" s="789"/>
      <c r="S188" s="789"/>
      <c r="T188" s="656"/>
      <c r="U188" s="293"/>
      <c r="V188" s="656"/>
      <c r="W188" s="656"/>
      <c r="X188" s="656"/>
      <c r="Y188" s="293"/>
      <c r="Z188" s="656"/>
      <c r="AA188" s="656"/>
      <c r="AB188" s="656"/>
      <c r="AC188" s="656"/>
    </row>
    <row r="189" spans="1:29">
      <c r="A189" s="656"/>
      <c r="B189" s="656"/>
      <c r="C189" s="656"/>
      <c r="D189" s="656"/>
      <c r="E189" s="656"/>
      <c r="F189" s="656"/>
      <c r="G189" s="656"/>
      <c r="H189" s="656"/>
      <c r="I189" s="656"/>
      <c r="J189" s="656"/>
      <c r="K189" s="656"/>
      <c r="L189" s="656"/>
      <c r="M189" s="293"/>
      <c r="N189" s="789"/>
      <c r="O189" s="789"/>
      <c r="P189" s="789"/>
      <c r="Q189" s="789"/>
      <c r="R189" s="789"/>
      <c r="S189" s="789"/>
      <c r="T189" s="656"/>
      <c r="U189" s="293"/>
      <c r="V189" s="656"/>
      <c r="W189" s="656"/>
      <c r="X189" s="656"/>
      <c r="Y189" s="293"/>
      <c r="Z189" s="656"/>
      <c r="AA189" s="656"/>
      <c r="AB189" s="656"/>
      <c r="AC189" s="656"/>
    </row>
    <row r="190" spans="1:29">
      <c r="A190" s="656"/>
      <c r="B190" s="656"/>
      <c r="C190" s="656"/>
      <c r="D190" s="656"/>
      <c r="E190" s="656"/>
      <c r="F190" s="656"/>
      <c r="G190" s="656"/>
      <c r="H190" s="656"/>
      <c r="I190" s="656"/>
      <c r="J190" s="656"/>
      <c r="K190" s="656"/>
      <c r="L190" s="656"/>
      <c r="M190" s="293"/>
      <c r="N190" s="789"/>
      <c r="O190" s="789"/>
      <c r="P190" s="789"/>
      <c r="Q190" s="789"/>
      <c r="R190" s="789"/>
      <c r="S190" s="789"/>
      <c r="T190" s="656"/>
      <c r="U190" s="293"/>
      <c r="V190" s="656"/>
      <c r="W190" s="656"/>
      <c r="X190" s="656"/>
      <c r="Y190" s="293"/>
      <c r="Z190" s="656"/>
      <c r="AA190" s="656"/>
      <c r="AB190" s="656"/>
      <c r="AC190" s="656"/>
    </row>
    <row r="191" spans="1:29">
      <c r="A191" s="656"/>
      <c r="B191" s="656"/>
      <c r="C191" s="656"/>
      <c r="D191" s="656"/>
      <c r="E191" s="656"/>
      <c r="F191" s="656"/>
      <c r="G191" s="656"/>
      <c r="H191" s="656"/>
      <c r="I191" s="656"/>
      <c r="J191" s="656"/>
      <c r="K191" s="656"/>
      <c r="L191" s="656"/>
      <c r="M191" s="293"/>
      <c r="N191" s="789"/>
      <c r="O191" s="789"/>
      <c r="P191" s="789"/>
      <c r="Q191" s="789"/>
      <c r="R191" s="789"/>
      <c r="S191" s="789"/>
      <c r="T191" s="656"/>
      <c r="U191" s="293"/>
      <c r="V191" s="656"/>
      <c r="W191" s="656"/>
      <c r="X191" s="656"/>
      <c r="Y191" s="293"/>
      <c r="Z191" s="656"/>
      <c r="AA191" s="656"/>
      <c r="AB191" s="656"/>
      <c r="AC191" s="656"/>
    </row>
    <row r="192" spans="1:29">
      <c r="A192" s="656"/>
      <c r="B192" s="656"/>
      <c r="C192" s="656"/>
      <c r="D192" s="656"/>
      <c r="E192" s="656"/>
      <c r="F192" s="656"/>
      <c r="G192" s="656"/>
      <c r="H192" s="656"/>
      <c r="I192" s="656"/>
      <c r="J192" s="656"/>
      <c r="K192" s="656"/>
      <c r="L192" s="656"/>
      <c r="M192" s="293"/>
      <c r="N192" s="789"/>
      <c r="O192" s="789"/>
      <c r="P192" s="789"/>
      <c r="Q192" s="789"/>
      <c r="R192" s="789"/>
      <c r="S192" s="789"/>
      <c r="T192" s="656"/>
      <c r="U192" s="293"/>
      <c r="V192" s="656"/>
      <c r="W192" s="656"/>
      <c r="X192" s="656"/>
      <c r="Y192" s="293"/>
      <c r="Z192" s="656"/>
      <c r="AA192" s="656"/>
      <c r="AB192" s="656"/>
      <c r="AC192" s="656"/>
    </row>
    <row r="193" spans="1:29">
      <c r="A193" s="656"/>
      <c r="B193" s="656"/>
      <c r="C193" s="656"/>
      <c r="D193" s="656"/>
      <c r="E193" s="656"/>
      <c r="F193" s="656"/>
      <c r="G193" s="656"/>
      <c r="H193" s="656"/>
      <c r="I193" s="656"/>
      <c r="J193" s="656"/>
      <c r="K193" s="656"/>
      <c r="L193" s="656"/>
      <c r="M193" s="293"/>
      <c r="N193" s="789"/>
      <c r="O193" s="789"/>
      <c r="P193" s="789"/>
      <c r="Q193" s="789"/>
      <c r="R193" s="789"/>
      <c r="S193" s="789"/>
      <c r="T193" s="656"/>
      <c r="U193" s="293"/>
      <c r="V193" s="656"/>
      <c r="W193" s="656"/>
      <c r="X193" s="656"/>
      <c r="Y193" s="293"/>
      <c r="Z193" s="656"/>
      <c r="AA193" s="656"/>
      <c r="AB193" s="656"/>
      <c r="AC193" s="656"/>
    </row>
    <row r="194" spans="1:29">
      <c r="A194" s="656"/>
      <c r="B194" s="656"/>
      <c r="C194" s="656"/>
      <c r="D194" s="656"/>
      <c r="E194" s="656"/>
      <c r="F194" s="656"/>
      <c r="G194" s="656"/>
      <c r="H194" s="656"/>
      <c r="I194" s="656"/>
      <c r="J194" s="656"/>
      <c r="K194" s="656"/>
      <c r="L194" s="656"/>
      <c r="M194" s="293"/>
      <c r="N194" s="789"/>
      <c r="O194" s="789"/>
      <c r="P194" s="789"/>
      <c r="Q194" s="789"/>
      <c r="R194" s="789"/>
      <c r="S194" s="789"/>
      <c r="T194" s="656"/>
      <c r="U194" s="293"/>
      <c r="V194" s="656"/>
      <c r="W194" s="656"/>
      <c r="X194" s="656"/>
      <c r="Y194" s="293"/>
      <c r="Z194" s="656"/>
      <c r="AA194" s="656"/>
      <c r="AB194" s="656"/>
      <c r="AC194" s="656"/>
    </row>
    <row r="195" spans="1:29">
      <c r="A195" s="656"/>
      <c r="B195" s="656"/>
      <c r="C195" s="656"/>
      <c r="D195" s="656"/>
      <c r="E195" s="656"/>
      <c r="F195" s="656"/>
      <c r="G195" s="656"/>
      <c r="H195" s="656"/>
      <c r="I195" s="656"/>
      <c r="J195" s="656"/>
      <c r="K195" s="656"/>
      <c r="L195" s="656"/>
      <c r="M195" s="293"/>
      <c r="N195" s="789"/>
      <c r="O195" s="789"/>
      <c r="P195" s="789"/>
      <c r="Q195" s="789"/>
      <c r="R195" s="789"/>
      <c r="S195" s="789"/>
      <c r="T195" s="656"/>
      <c r="U195" s="293"/>
      <c r="V195" s="656"/>
      <c r="W195" s="656"/>
      <c r="X195" s="656"/>
      <c r="Y195" s="293"/>
      <c r="Z195" s="656"/>
      <c r="AA195" s="656"/>
      <c r="AB195" s="656"/>
      <c r="AC195" s="656"/>
    </row>
    <row r="196" spans="1:29">
      <c r="A196" s="656"/>
      <c r="B196" s="656"/>
      <c r="C196" s="656"/>
      <c r="D196" s="656"/>
      <c r="E196" s="656"/>
      <c r="F196" s="656"/>
      <c r="G196" s="656"/>
      <c r="H196" s="656"/>
      <c r="I196" s="656"/>
      <c r="J196" s="656"/>
      <c r="K196" s="656"/>
      <c r="L196" s="656"/>
      <c r="M196" s="293"/>
      <c r="N196" s="789"/>
      <c r="O196" s="789"/>
      <c r="P196" s="789"/>
      <c r="Q196" s="789"/>
      <c r="R196" s="789"/>
      <c r="S196" s="789"/>
      <c r="T196" s="656"/>
      <c r="U196" s="293"/>
      <c r="V196" s="656"/>
      <c r="W196" s="656"/>
      <c r="X196" s="656"/>
      <c r="Y196" s="293"/>
      <c r="Z196" s="656"/>
      <c r="AA196" s="656"/>
      <c r="AB196" s="656"/>
      <c r="AC196" s="656"/>
    </row>
    <row r="197" spans="1:29">
      <c r="A197" s="656"/>
      <c r="B197" s="656"/>
      <c r="C197" s="656"/>
      <c r="D197" s="656"/>
      <c r="E197" s="656"/>
      <c r="F197" s="656"/>
      <c r="G197" s="656"/>
      <c r="H197" s="656"/>
      <c r="I197" s="656"/>
      <c r="J197" s="656"/>
      <c r="K197" s="656"/>
      <c r="L197" s="656"/>
      <c r="M197" s="293"/>
      <c r="N197" s="789"/>
      <c r="O197" s="789"/>
      <c r="P197" s="789"/>
      <c r="Q197" s="789"/>
      <c r="R197" s="789"/>
      <c r="S197" s="789"/>
      <c r="T197" s="656"/>
      <c r="U197" s="293"/>
      <c r="V197" s="656"/>
      <c r="W197" s="656"/>
      <c r="X197" s="656"/>
      <c r="Y197" s="293"/>
      <c r="Z197" s="656"/>
      <c r="AA197" s="656"/>
      <c r="AB197" s="656"/>
      <c r="AC197" s="656"/>
    </row>
    <row r="198" spans="1:29">
      <c r="A198" s="656"/>
      <c r="B198" s="656"/>
      <c r="C198" s="656"/>
      <c r="D198" s="656"/>
      <c r="E198" s="656"/>
      <c r="F198" s="656"/>
      <c r="G198" s="656"/>
      <c r="H198" s="656"/>
      <c r="I198" s="656"/>
      <c r="J198" s="656"/>
      <c r="K198" s="656"/>
      <c r="L198" s="656"/>
      <c r="M198" s="293"/>
      <c r="N198" s="789"/>
      <c r="O198" s="789"/>
      <c r="P198" s="789"/>
      <c r="Q198" s="789"/>
      <c r="R198" s="789"/>
      <c r="S198" s="789"/>
      <c r="T198" s="656"/>
      <c r="U198" s="293"/>
      <c r="V198" s="656"/>
      <c r="W198" s="656"/>
      <c r="X198" s="656"/>
      <c r="Y198" s="293"/>
      <c r="Z198" s="656"/>
      <c r="AA198" s="656"/>
      <c r="AB198" s="656"/>
      <c r="AC198" s="656"/>
    </row>
    <row r="199" spans="1:29">
      <c r="A199" s="656"/>
      <c r="B199" s="656"/>
      <c r="C199" s="656"/>
      <c r="D199" s="656"/>
      <c r="E199" s="656"/>
      <c r="F199" s="656"/>
      <c r="G199" s="656"/>
      <c r="H199" s="656"/>
      <c r="I199" s="656"/>
      <c r="J199" s="656"/>
      <c r="K199" s="656"/>
      <c r="L199" s="656"/>
      <c r="M199" s="293"/>
      <c r="N199" s="789"/>
      <c r="O199" s="789"/>
      <c r="P199" s="789"/>
      <c r="Q199" s="789"/>
      <c r="R199" s="789"/>
      <c r="S199" s="789"/>
      <c r="T199" s="656"/>
      <c r="U199" s="293"/>
      <c r="V199" s="656"/>
      <c r="W199" s="656"/>
      <c r="X199" s="656"/>
      <c r="Y199" s="293"/>
      <c r="Z199" s="656"/>
      <c r="AA199" s="656"/>
      <c r="AB199" s="656"/>
      <c r="AC199" s="656"/>
    </row>
    <row r="200" spans="1:29">
      <c r="A200" s="656"/>
      <c r="B200" s="656"/>
      <c r="C200" s="656"/>
      <c r="D200" s="656"/>
      <c r="E200" s="656"/>
      <c r="F200" s="656"/>
      <c r="G200" s="656"/>
      <c r="H200" s="656"/>
      <c r="I200" s="656"/>
      <c r="J200" s="656"/>
      <c r="K200" s="656"/>
      <c r="L200" s="656"/>
      <c r="M200" s="293"/>
      <c r="N200" s="789"/>
      <c r="O200" s="789"/>
      <c r="P200" s="789"/>
      <c r="Q200" s="789"/>
      <c r="R200" s="789"/>
      <c r="S200" s="789"/>
      <c r="T200" s="656"/>
      <c r="U200" s="293"/>
      <c r="V200" s="656"/>
      <c r="W200" s="656"/>
      <c r="X200" s="656"/>
      <c r="Y200" s="293"/>
      <c r="Z200" s="656"/>
      <c r="AA200" s="656"/>
      <c r="AB200" s="656"/>
      <c r="AC200" s="656"/>
    </row>
    <row r="201" spans="1:29">
      <c r="A201" s="656"/>
      <c r="B201" s="656"/>
      <c r="C201" s="656"/>
      <c r="D201" s="656"/>
      <c r="E201" s="656"/>
      <c r="F201" s="656"/>
      <c r="G201" s="656"/>
      <c r="H201" s="656"/>
      <c r="I201" s="656"/>
      <c r="J201" s="656"/>
      <c r="K201" s="656"/>
      <c r="L201" s="656"/>
      <c r="M201" s="293"/>
      <c r="N201" s="789"/>
      <c r="O201" s="789"/>
      <c r="P201" s="789"/>
      <c r="Q201" s="789"/>
      <c r="R201" s="789"/>
      <c r="S201" s="789"/>
      <c r="T201" s="656"/>
      <c r="U201" s="293"/>
      <c r="V201" s="656"/>
      <c r="W201" s="656"/>
      <c r="X201" s="656"/>
      <c r="Y201" s="293"/>
      <c r="Z201" s="656"/>
      <c r="AA201" s="656"/>
      <c r="AB201" s="656"/>
      <c r="AC201" s="656"/>
    </row>
    <row r="202" spans="1:29">
      <c r="A202" s="656"/>
      <c r="B202" s="656"/>
      <c r="C202" s="656"/>
      <c r="D202" s="656"/>
      <c r="E202" s="656"/>
      <c r="F202" s="656"/>
      <c r="G202" s="656"/>
      <c r="H202" s="656"/>
      <c r="I202" s="656"/>
      <c r="J202" s="656"/>
      <c r="K202" s="656"/>
      <c r="L202" s="656"/>
      <c r="M202" s="293"/>
      <c r="N202" s="789"/>
      <c r="O202" s="789"/>
      <c r="P202" s="789"/>
      <c r="Q202" s="789"/>
      <c r="R202" s="789"/>
      <c r="S202" s="789"/>
      <c r="T202" s="656"/>
      <c r="U202" s="293"/>
      <c r="V202" s="656"/>
      <c r="W202" s="656"/>
      <c r="X202" s="656"/>
      <c r="Y202" s="293"/>
      <c r="Z202" s="656"/>
      <c r="AA202" s="656"/>
      <c r="AB202" s="656"/>
      <c r="AC202" s="656"/>
    </row>
    <row r="203" spans="1:29">
      <c r="A203" s="656"/>
      <c r="B203" s="656"/>
      <c r="C203" s="656"/>
      <c r="D203" s="656"/>
      <c r="E203" s="656"/>
      <c r="F203" s="656"/>
      <c r="G203" s="656"/>
      <c r="H203" s="656"/>
      <c r="I203" s="656"/>
      <c r="J203" s="656"/>
      <c r="K203" s="656"/>
      <c r="L203" s="656"/>
      <c r="M203" s="293"/>
      <c r="N203" s="789"/>
      <c r="O203" s="789"/>
      <c r="P203" s="789"/>
      <c r="Q203" s="789"/>
      <c r="R203" s="789"/>
      <c r="S203" s="789"/>
      <c r="T203" s="656"/>
      <c r="U203" s="293"/>
      <c r="V203" s="656"/>
      <c r="W203" s="656"/>
      <c r="X203" s="656"/>
      <c r="Y203" s="293"/>
      <c r="Z203" s="656"/>
      <c r="AA203" s="656"/>
      <c r="AB203" s="656"/>
      <c r="AC203" s="656"/>
    </row>
    <row r="204" spans="1:29">
      <c r="A204" s="656"/>
      <c r="B204" s="656"/>
      <c r="C204" s="656"/>
      <c r="D204" s="656"/>
      <c r="E204" s="656"/>
      <c r="F204" s="656"/>
      <c r="G204" s="656"/>
      <c r="H204" s="656"/>
      <c r="I204" s="656"/>
      <c r="J204" s="656"/>
      <c r="K204" s="656"/>
      <c r="L204" s="656"/>
      <c r="M204" s="293"/>
      <c r="N204" s="789"/>
      <c r="O204" s="789"/>
      <c r="P204" s="789"/>
      <c r="Q204" s="789"/>
      <c r="R204" s="789"/>
      <c r="S204" s="789"/>
      <c r="T204" s="656"/>
      <c r="U204" s="293"/>
      <c r="V204" s="656"/>
      <c r="W204" s="656"/>
      <c r="X204" s="656"/>
      <c r="Y204" s="293"/>
      <c r="Z204" s="656"/>
      <c r="AA204" s="656"/>
      <c r="AB204" s="656"/>
      <c r="AC204" s="656"/>
    </row>
    <row r="205" spans="1:29">
      <c r="A205" s="656"/>
      <c r="B205" s="656"/>
      <c r="C205" s="656"/>
      <c r="D205" s="656"/>
      <c r="E205" s="656"/>
      <c r="F205" s="656"/>
      <c r="G205" s="656"/>
      <c r="H205" s="656"/>
      <c r="I205" s="656"/>
      <c r="J205" s="656"/>
      <c r="K205" s="656"/>
      <c r="L205" s="656"/>
      <c r="M205" s="293"/>
      <c r="N205" s="789"/>
      <c r="O205" s="789"/>
      <c r="P205" s="789"/>
      <c r="Q205" s="789"/>
      <c r="R205" s="789"/>
      <c r="S205" s="789"/>
      <c r="T205" s="656"/>
      <c r="U205" s="293"/>
      <c r="V205" s="656"/>
      <c r="W205" s="656"/>
      <c r="X205" s="656"/>
      <c r="Y205" s="293"/>
      <c r="Z205" s="656"/>
      <c r="AA205" s="656"/>
      <c r="AB205" s="656"/>
      <c r="AC205" s="656"/>
    </row>
    <row r="206" spans="1:29">
      <c r="A206" s="656"/>
      <c r="B206" s="656"/>
      <c r="C206" s="656"/>
      <c r="D206" s="656"/>
      <c r="E206" s="656"/>
      <c r="F206" s="656"/>
      <c r="G206" s="656"/>
      <c r="H206" s="656"/>
      <c r="I206" s="656"/>
      <c r="J206" s="656"/>
      <c r="K206" s="656"/>
      <c r="L206" s="656"/>
      <c r="M206" s="293"/>
      <c r="N206" s="789"/>
      <c r="O206" s="789"/>
      <c r="P206" s="789"/>
      <c r="Q206" s="789"/>
      <c r="R206" s="789"/>
      <c r="S206" s="789"/>
      <c r="T206" s="656"/>
      <c r="U206" s="293"/>
      <c r="V206" s="656"/>
      <c r="W206" s="656"/>
      <c r="X206" s="656"/>
      <c r="Y206" s="293"/>
      <c r="Z206" s="656"/>
      <c r="AA206" s="656"/>
      <c r="AB206" s="656"/>
      <c r="AC206" s="656"/>
    </row>
    <row r="207" spans="1:29">
      <c r="A207" s="656"/>
      <c r="B207" s="656"/>
      <c r="C207" s="656"/>
      <c r="D207" s="656"/>
      <c r="E207" s="656"/>
      <c r="F207" s="656"/>
      <c r="G207" s="656"/>
      <c r="H207" s="656"/>
      <c r="I207" s="656"/>
      <c r="J207" s="656"/>
      <c r="K207" s="656"/>
      <c r="L207" s="656"/>
      <c r="M207" s="293"/>
      <c r="N207" s="789"/>
      <c r="O207" s="789"/>
      <c r="P207" s="789"/>
      <c r="Q207" s="789"/>
      <c r="R207" s="789"/>
      <c r="S207" s="789"/>
      <c r="T207" s="656"/>
      <c r="U207" s="293"/>
      <c r="V207" s="656"/>
      <c r="W207" s="656"/>
      <c r="X207" s="656"/>
      <c r="Y207" s="293"/>
      <c r="Z207" s="656"/>
      <c r="AA207" s="656"/>
      <c r="AB207" s="656"/>
      <c r="AC207" s="656"/>
    </row>
    <row r="208" spans="1:29">
      <c r="A208" s="656"/>
      <c r="B208" s="656"/>
      <c r="C208" s="656"/>
      <c r="D208" s="656"/>
      <c r="E208" s="656"/>
      <c r="F208" s="656"/>
      <c r="G208" s="656"/>
      <c r="H208" s="656"/>
      <c r="I208" s="656"/>
      <c r="J208" s="656"/>
      <c r="K208" s="656"/>
      <c r="L208" s="656"/>
      <c r="M208" s="293"/>
      <c r="N208" s="789"/>
      <c r="O208" s="789"/>
      <c r="P208" s="789"/>
      <c r="Q208" s="789"/>
      <c r="R208" s="789"/>
      <c r="S208" s="789"/>
      <c r="T208" s="656"/>
      <c r="U208" s="293"/>
      <c r="V208" s="656"/>
      <c r="W208" s="656"/>
      <c r="X208" s="656"/>
      <c r="Y208" s="293"/>
      <c r="Z208" s="656"/>
      <c r="AA208" s="656"/>
      <c r="AB208" s="656"/>
      <c r="AC208" s="656"/>
    </row>
    <row r="209" spans="1:29">
      <c r="A209" s="656"/>
      <c r="B209" s="656"/>
      <c r="C209" s="656"/>
      <c r="D209" s="656"/>
      <c r="E209" s="656"/>
      <c r="F209" s="656"/>
      <c r="G209" s="656"/>
      <c r="H209" s="656"/>
      <c r="I209" s="656"/>
      <c r="J209" s="656"/>
      <c r="K209" s="656"/>
      <c r="L209" s="656"/>
      <c r="M209" s="293"/>
      <c r="N209" s="789"/>
      <c r="O209" s="789"/>
      <c r="P209" s="789"/>
      <c r="Q209" s="789"/>
      <c r="R209" s="789"/>
      <c r="S209" s="789"/>
      <c r="T209" s="656"/>
      <c r="U209" s="293"/>
      <c r="V209" s="656"/>
      <c r="W209" s="656"/>
      <c r="X209" s="656"/>
      <c r="Y209" s="293"/>
      <c r="Z209" s="656"/>
      <c r="AA209" s="656"/>
      <c r="AB209" s="656"/>
      <c r="AC209" s="656"/>
    </row>
    <row r="210" spans="1:29">
      <c r="A210" s="656"/>
      <c r="B210" s="656"/>
      <c r="C210" s="656"/>
      <c r="D210" s="656"/>
      <c r="E210" s="656"/>
      <c r="F210" s="656"/>
      <c r="G210" s="656"/>
      <c r="H210" s="656"/>
      <c r="I210" s="656"/>
      <c r="J210" s="656"/>
      <c r="K210" s="656"/>
      <c r="L210" s="656"/>
      <c r="M210" s="293"/>
      <c r="N210" s="789"/>
      <c r="O210" s="789"/>
      <c r="P210" s="789"/>
      <c r="Q210" s="789"/>
      <c r="R210" s="789"/>
      <c r="S210" s="789"/>
      <c r="T210" s="656"/>
      <c r="U210" s="293"/>
      <c r="V210" s="656"/>
      <c r="W210" s="656"/>
      <c r="X210" s="656"/>
      <c r="Y210" s="293"/>
      <c r="Z210" s="656"/>
      <c r="AA210" s="656"/>
      <c r="AB210" s="656"/>
      <c r="AC210" s="656"/>
    </row>
    <row r="211" spans="1:29">
      <c r="A211" s="656"/>
      <c r="B211" s="656"/>
      <c r="C211" s="656"/>
      <c r="D211" s="656"/>
      <c r="E211" s="656"/>
      <c r="F211" s="656"/>
      <c r="G211" s="656"/>
      <c r="H211" s="656"/>
      <c r="I211" s="656"/>
      <c r="J211" s="656"/>
      <c r="K211" s="656"/>
      <c r="L211" s="656"/>
      <c r="M211" s="293"/>
      <c r="N211" s="789"/>
      <c r="O211" s="789"/>
      <c r="P211" s="789"/>
      <c r="Q211" s="789"/>
      <c r="R211" s="789"/>
      <c r="S211" s="789"/>
      <c r="T211" s="656"/>
      <c r="U211" s="293"/>
      <c r="V211" s="656"/>
      <c r="W211" s="656"/>
      <c r="X211" s="656"/>
      <c r="Y211" s="293"/>
      <c r="Z211" s="656"/>
      <c r="AA211" s="656"/>
      <c r="AB211" s="656"/>
      <c r="AC211" s="656"/>
    </row>
    <row r="212" spans="1:29">
      <c r="A212" s="656"/>
      <c r="B212" s="656"/>
      <c r="C212" s="656"/>
      <c r="D212" s="656"/>
      <c r="E212" s="656"/>
      <c r="F212" s="656"/>
      <c r="G212" s="656"/>
      <c r="H212" s="656"/>
      <c r="I212" s="656"/>
      <c r="J212" s="656"/>
      <c r="K212" s="656"/>
      <c r="L212" s="656"/>
      <c r="M212" s="293"/>
      <c r="N212" s="789"/>
      <c r="O212" s="789"/>
      <c r="P212" s="789"/>
      <c r="Q212" s="789"/>
      <c r="R212" s="789"/>
      <c r="S212" s="789"/>
      <c r="T212" s="656"/>
      <c r="U212" s="293"/>
      <c r="V212" s="656"/>
      <c r="W212" s="656"/>
      <c r="X212" s="656"/>
      <c r="Y212" s="293"/>
      <c r="Z212" s="656"/>
      <c r="AA212" s="656"/>
      <c r="AB212" s="656"/>
      <c r="AC212" s="656"/>
    </row>
    <row r="213" spans="1:29">
      <c r="A213" s="656"/>
      <c r="B213" s="656"/>
      <c r="C213" s="656"/>
      <c r="D213" s="656"/>
      <c r="E213" s="656"/>
      <c r="F213" s="656"/>
      <c r="G213" s="656"/>
      <c r="H213" s="656"/>
      <c r="I213" s="656"/>
      <c r="J213" s="656"/>
      <c r="K213" s="656"/>
      <c r="L213" s="656"/>
      <c r="M213" s="293"/>
      <c r="N213" s="789"/>
      <c r="O213" s="789"/>
      <c r="P213" s="789"/>
      <c r="Q213" s="789"/>
      <c r="R213" s="789"/>
      <c r="S213" s="789"/>
      <c r="T213" s="656"/>
      <c r="U213" s="293"/>
      <c r="V213" s="656"/>
      <c r="W213" s="656"/>
      <c r="X213" s="656"/>
      <c r="Y213" s="293"/>
      <c r="Z213" s="656"/>
      <c r="AA213" s="656"/>
      <c r="AB213" s="656"/>
      <c r="AC213" s="656"/>
    </row>
    <row r="214" spans="1:29">
      <c r="A214" s="656"/>
      <c r="B214" s="656"/>
      <c r="C214" s="656"/>
      <c r="D214" s="656"/>
      <c r="E214" s="656"/>
      <c r="F214" s="656"/>
      <c r="G214" s="656"/>
      <c r="H214" s="656"/>
      <c r="I214" s="656"/>
      <c r="J214" s="656"/>
      <c r="K214" s="656"/>
      <c r="L214" s="656"/>
      <c r="M214" s="293"/>
      <c r="N214" s="789"/>
      <c r="O214" s="789"/>
      <c r="P214" s="789"/>
      <c r="Q214" s="789"/>
      <c r="R214" s="789"/>
      <c r="S214" s="789"/>
      <c r="T214" s="656"/>
      <c r="U214" s="293"/>
      <c r="V214" s="656"/>
      <c r="W214" s="656"/>
      <c r="X214" s="656"/>
      <c r="Y214" s="293"/>
      <c r="Z214" s="656"/>
      <c r="AA214" s="656"/>
      <c r="AB214" s="656"/>
      <c r="AC214" s="656"/>
    </row>
    <row r="215" spans="1:29">
      <c r="A215" s="656"/>
      <c r="B215" s="656"/>
      <c r="C215" s="656"/>
      <c r="D215" s="656"/>
      <c r="E215" s="656"/>
      <c r="F215" s="656"/>
      <c r="G215" s="656"/>
      <c r="H215" s="656"/>
      <c r="I215" s="656"/>
      <c r="J215" s="656"/>
      <c r="K215" s="656"/>
      <c r="L215" s="656"/>
      <c r="M215" s="293"/>
      <c r="N215" s="789"/>
      <c r="O215" s="789"/>
      <c r="P215" s="789"/>
      <c r="Q215" s="789"/>
      <c r="R215" s="789"/>
      <c r="S215" s="789"/>
      <c r="T215" s="656"/>
      <c r="U215" s="293"/>
      <c r="V215" s="656"/>
      <c r="W215" s="656"/>
      <c r="X215" s="656"/>
      <c r="Y215" s="293"/>
      <c r="Z215" s="656"/>
      <c r="AA215" s="656"/>
      <c r="AB215" s="656"/>
      <c r="AC215" s="656"/>
    </row>
    <row r="216" spans="1:29">
      <c r="A216" s="656"/>
      <c r="B216" s="656"/>
      <c r="C216" s="656"/>
      <c r="D216" s="656"/>
      <c r="E216" s="656"/>
      <c r="F216" s="656"/>
      <c r="G216" s="656"/>
      <c r="H216" s="656"/>
      <c r="I216" s="656"/>
      <c r="J216" s="656"/>
      <c r="K216" s="656"/>
      <c r="L216" s="656"/>
      <c r="M216" s="293"/>
      <c r="N216" s="789"/>
      <c r="O216" s="789"/>
      <c r="P216" s="789"/>
      <c r="Q216" s="789"/>
      <c r="R216" s="789"/>
      <c r="S216" s="789"/>
      <c r="T216" s="656"/>
      <c r="U216" s="293"/>
      <c r="V216" s="656"/>
      <c r="W216" s="656"/>
      <c r="X216" s="656"/>
      <c r="Y216" s="293"/>
      <c r="Z216" s="656"/>
      <c r="AA216" s="656"/>
      <c r="AB216" s="656"/>
      <c r="AC216" s="656"/>
    </row>
    <row r="217" spans="1:29">
      <c r="A217" s="656"/>
      <c r="B217" s="656"/>
      <c r="C217" s="656"/>
      <c r="D217" s="656"/>
      <c r="E217" s="656"/>
      <c r="F217" s="656"/>
      <c r="G217" s="656"/>
      <c r="H217" s="656"/>
      <c r="I217" s="656"/>
      <c r="J217" s="656"/>
      <c r="K217" s="656"/>
      <c r="L217" s="656"/>
      <c r="M217" s="293"/>
      <c r="N217" s="789"/>
      <c r="O217" s="789"/>
      <c r="P217" s="789"/>
      <c r="Q217" s="789"/>
      <c r="R217" s="789"/>
      <c r="S217" s="789"/>
      <c r="T217" s="656"/>
      <c r="U217" s="293"/>
      <c r="V217" s="656"/>
      <c r="W217" s="656"/>
      <c r="X217" s="656"/>
      <c r="Y217" s="293"/>
      <c r="Z217" s="656"/>
      <c r="AA217" s="656"/>
      <c r="AB217" s="656"/>
      <c r="AC217" s="656"/>
    </row>
    <row r="218" spans="1:29">
      <c r="A218" s="656"/>
      <c r="B218" s="656"/>
      <c r="C218" s="656"/>
      <c r="D218" s="656"/>
      <c r="E218" s="656"/>
      <c r="F218" s="656"/>
      <c r="G218" s="656"/>
      <c r="H218" s="656"/>
      <c r="I218" s="656"/>
      <c r="J218" s="656"/>
      <c r="K218" s="656"/>
      <c r="L218" s="656"/>
      <c r="M218" s="293"/>
      <c r="N218" s="789"/>
      <c r="O218" s="789"/>
      <c r="P218" s="789"/>
      <c r="Q218" s="789"/>
      <c r="R218" s="789"/>
      <c r="S218" s="789"/>
      <c r="T218" s="656"/>
      <c r="U218" s="293"/>
      <c r="V218" s="656"/>
      <c r="W218" s="656"/>
      <c r="X218" s="656"/>
      <c r="Y218" s="293"/>
      <c r="Z218" s="656"/>
      <c r="AA218" s="656"/>
      <c r="AB218" s="656"/>
      <c r="AC218" s="656"/>
    </row>
    <row r="219" spans="1:29">
      <c r="A219" s="656"/>
      <c r="B219" s="656"/>
      <c r="C219" s="656"/>
      <c r="D219" s="656"/>
      <c r="E219" s="656"/>
      <c r="F219" s="656"/>
      <c r="G219" s="656"/>
      <c r="H219" s="656"/>
      <c r="I219" s="656"/>
      <c r="J219" s="656"/>
      <c r="K219" s="656"/>
      <c r="L219" s="656"/>
      <c r="M219" s="293"/>
      <c r="N219" s="789"/>
      <c r="O219" s="789"/>
      <c r="P219" s="789"/>
      <c r="Q219" s="789"/>
      <c r="R219" s="789"/>
      <c r="S219" s="789"/>
      <c r="T219" s="656"/>
      <c r="U219" s="293"/>
      <c r="V219" s="656"/>
      <c r="W219" s="656"/>
      <c r="X219" s="656"/>
      <c r="Y219" s="293"/>
      <c r="Z219" s="656"/>
      <c r="AA219" s="656"/>
      <c r="AB219" s="656"/>
      <c r="AC219" s="656"/>
    </row>
    <row r="220" spans="1:29">
      <c r="A220" s="656"/>
      <c r="B220" s="656"/>
      <c r="C220" s="656"/>
      <c r="D220" s="656"/>
      <c r="E220" s="656"/>
      <c r="F220" s="656"/>
      <c r="G220" s="656"/>
      <c r="H220" s="656"/>
      <c r="I220" s="656"/>
      <c r="J220" s="656"/>
      <c r="K220" s="656"/>
      <c r="L220" s="656"/>
      <c r="M220" s="293"/>
      <c r="N220" s="789"/>
      <c r="O220" s="789"/>
      <c r="P220" s="789"/>
      <c r="Q220" s="789"/>
      <c r="R220" s="789"/>
      <c r="S220" s="789"/>
      <c r="T220" s="656"/>
      <c r="U220" s="293"/>
      <c r="V220" s="656"/>
      <c r="W220" s="656"/>
      <c r="X220" s="656"/>
      <c r="Y220" s="293"/>
      <c r="Z220" s="656"/>
      <c r="AA220" s="656"/>
      <c r="AB220" s="656"/>
      <c r="AC220" s="656"/>
    </row>
    <row r="221" spans="1:29">
      <c r="A221" s="656"/>
      <c r="B221" s="656"/>
      <c r="C221" s="656"/>
      <c r="D221" s="656"/>
      <c r="E221" s="656"/>
      <c r="F221" s="656"/>
      <c r="G221" s="656"/>
      <c r="H221" s="656"/>
      <c r="I221" s="656"/>
      <c r="J221" s="656"/>
      <c r="K221" s="656"/>
      <c r="L221" s="656"/>
      <c r="M221" s="293"/>
      <c r="N221" s="789"/>
      <c r="O221" s="789"/>
      <c r="P221" s="789"/>
      <c r="Q221" s="789"/>
      <c r="R221" s="789"/>
      <c r="S221" s="789"/>
      <c r="T221" s="656"/>
      <c r="U221" s="293"/>
      <c r="V221" s="656"/>
      <c r="W221" s="656"/>
      <c r="X221" s="656"/>
      <c r="Y221" s="293"/>
      <c r="Z221" s="656"/>
      <c r="AA221" s="656"/>
      <c r="AB221" s="656"/>
      <c r="AC221" s="656"/>
    </row>
    <row r="222" spans="1:29">
      <c r="A222" s="656"/>
      <c r="B222" s="656"/>
      <c r="C222" s="656"/>
      <c r="D222" s="656"/>
      <c r="E222" s="656"/>
      <c r="F222" s="656"/>
      <c r="G222" s="656"/>
      <c r="H222" s="656"/>
      <c r="I222" s="656"/>
      <c r="J222" s="656"/>
      <c r="K222" s="656"/>
      <c r="L222" s="656"/>
      <c r="M222" s="293"/>
      <c r="N222" s="789"/>
      <c r="O222" s="789"/>
      <c r="P222" s="789"/>
      <c r="Q222" s="789"/>
      <c r="R222" s="789"/>
      <c r="S222" s="789"/>
      <c r="T222" s="656"/>
      <c r="U222" s="293"/>
      <c r="V222" s="656"/>
      <c r="W222" s="656"/>
      <c r="X222" s="656"/>
      <c r="Y222" s="293"/>
      <c r="Z222" s="656"/>
      <c r="AA222" s="656"/>
      <c r="AB222" s="656"/>
      <c r="AC222" s="656"/>
    </row>
    <row r="223" spans="1:29">
      <c r="A223" s="656"/>
      <c r="B223" s="656"/>
      <c r="C223" s="656"/>
      <c r="D223" s="656"/>
      <c r="E223" s="656"/>
      <c r="F223" s="656"/>
      <c r="G223" s="656"/>
      <c r="H223" s="656"/>
      <c r="I223" s="656"/>
      <c r="J223" s="656"/>
      <c r="K223" s="656"/>
      <c r="L223" s="656"/>
      <c r="M223" s="293"/>
      <c r="N223" s="789"/>
      <c r="O223" s="789"/>
      <c r="P223" s="789"/>
      <c r="Q223" s="789"/>
      <c r="R223" s="789"/>
      <c r="S223" s="789"/>
      <c r="T223" s="656"/>
      <c r="U223" s="293"/>
      <c r="V223" s="656"/>
      <c r="W223" s="656"/>
      <c r="X223" s="656"/>
      <c r="Y223" s="293"/>
      <c r="Z223" s="656"/>
      <c r="AA223" s="656"/>
      <c r="AB223" s="656"/>
      <c r="AC223" s="656"/>
    </row>
    <row r="224" spans="1:29">
      <c r="A224" s="656"/>
      <c r="B224" s="656"/>
      <c r="C224" s="656"/>
      <c r="D224" s="656"/>
      <c r="E224" s="656"/>
      <c r="F224" s="656"/>
      <c r="G224" s="656"/>
      <c r="H224" s="656"/>
      <c r="I224" s="656"/>
      <c r="J224" s="656"/>
      <c r="K224" s="656"/>
      <c r="L224" s="656"/>
      <c r="M224" s="293"/>
      <c r="N224" s="789"/>
      <c r="O224" s="789"/>
      <c r="P224" s="789"/>
      <c r="Q224" s="789"/>
      <c r="R224" s="789"/>
      <c r="S224" s="789"/>
      <c r="T224" s="656"/>
      <c r="U224" s="293"/>
      <c r="V224" s="656"/>
      <c r="W224" s="656"/>
      <c r="X224" s="656"/>
      <c r="Y224" s="293"/>
      <c r="Z224" s="656"/>
      <c r="AA224" s="656"/>
      <c r="AB224" s="656"/>
      <c r="AC224" s="656"/>
    </row>
    <row r="225" spans="1:29">
      <c r="A225" s="656"/>
      <c r="B225" s="656"/>
      <c r="C225" s="656"/>
      <c r="D225" s="656"/>
      <c r="E225" s="656"/>
      <c r="F225" s="656"/>
      <c r="G225" s="656"/>
      <c r="H225" s="656"/>
      <c r="I225" s="656"/>
      <c r="J225" s="656"/>
      <c r="K225" s="656"/>
      <c r="L225" s="656"/>
      <c r="M225" s="293"/>
      <c r="N225" s="789"/>
      <c r="O225" s="789"/>
      <c r="P225" s="789"/>
      <c r="Q225" s="789"/>
      <c r="R225" s="789"/>
      <c r="S225" s="789"/>
      <c r="T225" s="656"/>
      <c r="U225" s="293"/>
      <c r="V225" s="656"/>
      <c r="W225" s="656"/>
      <c r="X225" s="656"/>
      <c r="Y225" s="293"/>
      <c r="Z225" s="656"/>
      <c r="AA225" s="656"/>
      <c r="AB225" s="656"/>
      <c r="AC225" s="656"/>
    </row>
    <row r="226" spans="1:29">
      <c r="A226" s="656"/>
      <c r="B226" s="656"/>
      <c r="C226" s="656"/>
      <c r="D226" s="656"/>
      <c r="E226" s="656"/>
      <c r="F226" s="656"/>
      <c r="G226" s="656"/>
      <c r="H226" s="656"/>
      <c r="I226" s="656"/>
      <c r="J226" s="656"/>
      <c r="K226" s="656"/>
      <c r="L226" s="656"/>
      <c r="M226" s="293"/>
      <c r="N226" s="789"/>
      <c r="O226" s="789"/>
      <c r="P226" s="789"/>
      <c r="Q226" s="789"/>
      <c r="R226" s="789"/>
      <c r="S226" s="789"/>
      <c r="T226" s="656"/>
      <c r="U226" s="293"/>
      <c r="V226" s="656"/>
      <c r="W226" s="656"/>
      <c r="X226" s="656"/>
      <c r="Y226" s="293"/>
      <c r="Z226" s="656"/>
      <c r="AA226" s="656"/>
      <c r="AB226" s="656"/>
      <c r="AC226" s="656"/>
    </row>
    <row r="227" spans="1:29">
      <c r="A227" s="656"/>
      <c r="B227" s="656"/>
      <c r="C227" s="656"/>
      <c r="D227" s="656"/>
      <c r="E227" s="656"/>
      <c r="F227" s="656"/>
      <c r="G227" s="656"/>
      <c r="H227" s="656"/>
      <c r="I227" s="656"/>
      <c r="J227" s="656"/>
      <c r="K227" s="656"/>
      <c r="L227" s="656"/>
      <c r="M227" s="293"/>
      <c r="N227" s="789"/>
      <c r="O227" s="789"/>
      <c r="P227" s="789"/>
      <c r="Q227" s="789"/>
      <c r="R227" s="789"/>
      <c r="S227" s="789"/>
      <c r="T227" s="656"/>
      <c r="U227" s="293"/>
      <c r="V227" s="656"/>
      <c r="W227" s="656"/>
      <c r="X227" s="656"/>
      <c r="Y227" s="293"/>
      <c r="Z227" s="656"/>
      <c r="AA227" s="656"/>
      <c r="AB227" s="656"/>
      <c r="AC227" s="656"/>
    </row>
    <row r="228" spans="1:29">
      <c r="A228" s="656"/>
      <c r="B228" s="656"/>
      <c r="C228" s="656"/>
      <c r="D228" s="656"/>
      <c r="E228" s="656"/>
      <c r="F228" s="656"/>
      <c r="G228" s="656"/>
      <c r="H228" s="656"/>
      <c r="I228" s="656"/>
      <c r="J228" s="656"/>
      <c r="K228" s="656"/>
      <c r="L228" s="656"/>
      <c r="M228" s="293"/>
      <c r="N228" s="789"/>
      <c r="O228" s="789"/>
      <c r="P228" s="789"/>
      <c r="Q228" s="789"/>
      <c r="R228" s="789"/>
      <c r="S228" s="789"/>
      <c r="T228" s="656"/>
      <c r="U228" s="293"/>
      <c r="V228" s="656"/>
      <c r="W228" s="656"/>
      <c r="X228" s="656"/>
      <c r="Y228" s="293"/>
      <c r="Z228" s="656"/>
      <c r="AA228" s="656"/>
      <c r="AB228" s="656"/>
      <c r="AC228" s="656"/>
    </row>
    <row r="229" spans="1:29">
      <c r="A229" s="656"/>
      <c r="B229" s="656"/>
      <c r="C229" s="656"/>
      <c r="D229" s="656"/>
      <c r="E229" s="656"/>
      <c r="F229" s="656"/>
      <c r="G229" s="656"/>
      <c r="H229" s="656"/>
      <c r="I229" s="656"/>
      <c r="J229" s="656"/>
      <c r="K229" s="656"/>
      <c r="L229" s="656"/>
      <c r="M229" s="293"/>
      <c r="N229" s="789"/>
      <c r="O229" s="789"/>
      <c r="P229" s="789"/>
      <c r="Q229" s="789"/>
      <c r="R229" s="789"/>
      <c r="S229" s="789"/>
      <c r="T229" s="656"/>
      <c r="U229" s="293"/>
      <c r="V229" s="656"/>
      <c r="W229" s="656"/>
      <c r="X229" s="656"/>
      <c r="Y229" s="293"/>
      <c r="Z229" s="656"/>
      <c r="AA229" s="656"/>
      <c r="AB229" s="656"/>
      <c r="AC229" s="656"/>
    </row>
    <row r="230" spans="1:29">
      <c r="A230" s="656"/>
      <c r="B230" s="656"/>
      <c r="C230" s="656"/>
      <c r="D230" s="656"/>
      <c r="E230" s="656"/>
      <c r="F230" s="656"/>
      <c r="G230" s="656"/>
      <c r="H230" s="656"/>
      <c r="I230" s="656"/>
      <c r="J230" s="656"/>
      <c r="K230" s="656"/>
      <c r="L230" s="656"/>
      <c r="M230" s="293"/>
      <c r="N230" s="789"/>
      <c r="O230" s="789"/>
      <c r="P230" s="789"/>
      <c r="Q230" s="789"/>
      <c r="R230" s="789"/>
      <c r="S230" s="789"/>
      <c r="T230" s="656"/>
      <c r="U230" s="293"/>
      <c r="V230" s="656"/>
      <c r="W230" s="656"/>
      <c r="X230" s="656"/>
      <c r="Y230" s="293"/>
      <c r="Z230" s="656"/>
      <c r="AA230" s="656"/>
      <c r="AB230" s="656"/>
      <c r="AC230" s="656"/>
    </row>
    <row r="231" spans="1:29">
      <c r="A231" s="656"/>
      <c r="B231" s="656"/>
      <c r="C231" s="656"/>
      <c r="D231" s="656"/>
      <c r="E231" s="656"/>
      <c r="F231" s="656"/>
      <c r="G231" s="656"/>
      <c r="H231" s="656"/>
      <c r="I231" s="656"/>
      <c r="J231" s="656"/>
      <c r="K231" s="656"/>
      <c r="L231" s="656"/>
      <c r="M231" s="293"/>
      <c r="N231" s="789"/>
      <c r="O231" s="789"/>
      <c r="P231" s="789"/>
      <c r="Q231" s="789"/>
      <c r="R231" s="789"/>
      <c r="S231" s="789"/>
      <c r="T231" s="656"/>
      <c r="U231" s="293"/>
      <c r="V231" s="656"/>
      <c r="W231" s="656"/>
      <c r="X231" s="656"/>
      <c r="Y231" s="293"/>
      <c r="Z231" s="656"/>
      <c r="AA231" s="656"/>
      <c r="AB231" s="656"/>
      <c r="AC231" s="656"/>
    </row>
    <row r="232" spans="1:29">
      <c r="A232" s="656"/>
      <c r="B232" s="656"/>
      <c r="C232" s="656"/>
      <c r="D232" s="656"/>
      <c r="E232" s="656"/>
      <c r="F232" s="656"/>
      <c r="G232" s="656"/>
      <c r="H232" s="656"/>
      <c r="I232" s="656"/>
      <c r="J232" s="656"/>
      <c r="K232" s="656"/>
      <c r="L232" s="656"/>
      <c r="M232" s="293"/>
      <c r="N232" s="789"/>
      <c r="O232" s="789"/>
      <c r="P232" s="789"/>
      <c r="Q232" s="789"/>
      <c r="R232" s="789"/>
      <c r="S232" s="789"/>
      <c r="T232" s="656"/>
      <c r="U232" s="293"/>
      <c r="V232" s="656"/>
      <c r="W232" s="656"/>
      <c r="X232" s="656"/>
      <c r="Y232" s="293"/>
      <c r="Z232" s="656"/>
      <c r="AA232" s="656"/>
      <c r="AB232" s="656"/>
      <c r="AC232" s="656"/>
    </row>
    <row r="233" spans="1:29">
      <c r="A233" s="656"/>
      <c r="B233" s="656"/>
      <c r="C233" s="656"/>
      <c r="D233" s="656"/>
      <c r="E233" s="656"/>
      <c r="F233" s="656"/>
      <c r="G233" s="656"/>
      <c r="H233" s="656"/>
      <c r="I233" s="656"/>
      <c r="J233" s="656"/>
      <c r="K233" s="656"/>
      <c r="L233" s="656"/>
      <c r="M233" s="293"/>
      <c r="N233" s="789"/>
      <c r="O233" s="789"/>
      <c r="P233" s="789"/>
      <c r="Q233" s="789"/>
      <c r="R233" s="789"/>
      <c r="S233" s="789"/>
      <c r="T233" s="656"/>
      <c r="U233" s="293"/>
      <c r="V233" s="656"/>
      <c r="W233" s="656"/>
      <c r="X233" s="656"/>
      <c r="Y233" s="293"/>
      <c r="Z233" s="656"/>
      <c r="AA233" s="656"/>
      <c r="AB233" s="656"/>
      <c r="AC233" s="656"/>
    </row>
    <row r="234" spans="1:29">
      <c r="A234" s="656"/>
      <c r="B234" s="656"/>
      <c r="C234" s="656"/>
      <c r="D234" s="656"/>
      <c r="E234" s="656"/>
      <c r="F234" s="656"/>
      <c r="G234" s="656"/>
      <c r="H234" s="656"/>
      <c r="I234" s="656"/>
      <c r="J234" s="656"/>
      <c r="K234" s="656"/>
      <c r="L234" s="656"/>
      <c r="M234" s="293"/>
      <c r="N234" s="789"/>
      <c r="O234" s="789"/>
      <c r="P234" s="789"/>
      <c r="Q234" s="789"/>
      <c r="R234" s="789"/>
      <c r="S234" s="789"/>
      <c r="T234" s="656"/>
      <c r="U234" s="293"/>
      <c r="V234" s="656"/>
      <c r="W234" s="656"/>
      <c r="X234" s="656"/>
      <c r="Y234" s="293"/>
      <c r="Z234" s="656"/>
      <c r="AA234" s="656"/>
      <c r="AB234" s="656"/>
      <c r="AC234" s="656"/>
    </row>
    <row r="235" spans="1:29">
      <c r="A235" s="656"/>
      <c r="B235" s="656"/>
      <c r="C235" s="656"/>
      <c r="D235" s="656"/>
      <c r="E235" s="656"/>
      <c r="F235" s="656"/>
      <c r="G235" s="656"/>
      <c r="H235" s="656"/>
      <c r="I235" s="656"/>
      <c r="J235" s="656"/>
      <c r="K235" s="656"/>
      <c r="L235" s="656"/>
      <c r="M235" s="293"/>
      <c r="N235" s="789"/>
      <c r="O235" s="789"/>
      <c r="P235" s="789"/>
      <c r="Q235" s="789"/>
      <c r="R235" s="789"/>
      <c r="S235" s="789"/>
      <c r="T235" s="656"/>
      <c r="U235" s="293"/>
      <c r="V235" s="656"/>
      <c r="W235" s="656"/>
      <c r="X235" s="656"/>
      <c r="Y235" s="293"/>
      <c r="Z235" s="656"/>
      <c r="AA235" s="656"/>
      <c r="AB235" s="656"/>
      <c r="AC235" s="656"/>
    </row>
    <row r="236" spans="1:29">
      <c r="A236" s="656"/>
      <c r="B236" s="656"/>
      <c r="C236" s="656"/>
      <c r="D236" s="656"/>
      <c r="E236" s="656"/>
      <c r="F236" s="656"/>
      <c r="G236" s="656"/>
      <c r="H236" s="656"/>
      <c r="I236" s="656"/>
      <c r="J236" s="656"/>
      <c r="K236" s="656"/>
      <c r="L236" s="656"/>
      <c r="M236" s="293"/>
      <c r="N236" s="789"/>
      <c r="O236" s="789"/>
      <c r="P236" s="789"/>
      <c r="Q236" s="789"/>
      <c r="R236" s="789"/>
      <c r="S236" s="789"/>
      <c r="T236" s="656"/>
      <c r="U236" s="293"/>
      <c r="V236" s="656"/>
      <c r="W236" s="656"/>
      <c r="X236" s="656"/>
      <c r="Y236" s="293"/>
      <c r="Z236" s="656"/>
      <c r="AA236" s="656"/>
      <c r="AB236" s="656"/>
      <c r="AC236" s="656"/>
    </row>
    <row r="237" spans="1:29">
      <c r="A237" s="656"/>
      <c r="B237" s="656"/>
      <c r="C237" s="656"/>
      <c r="D237" s="656"/>
      <c r="E237" s="656"/>
      <c r="F237" s="656"/>
      <c r="G237" s="656"/>
      <c r="H237" s="656"/>
      <c r="I237" s="656"/>
      <c r="J237" s="656"/>
      <c r="K237" s="656"/>
      <c r="L237" s="656"/>
      <c r="M237" s="293"/>
      <c r="N237" s="789"/>
      <c r="O237" s="789"/>
      <c r="P237" s="789"/>
      <c r="Q237" s="789"/>
      <c r="R237" s="789"/>
      <c r="S237" s="789"/>
      <c r="T237" s="656"/>
      <c r="U237" s="293"/>
      <c r="V237" s="656"/>
      <c r="W237" s="656"/>
      <c r="X237" s="656"/>
      <c r="Y237" s="293"/>
      <c r="Z237" s="656"/>
      <c r="AA237" s="656"/>
      <c r="AB237" s="656"/>
      <c r="AC237" s="656"/>
    </row>
    <row r="238" spans="1:29">
      <c r="A238" s="656"/>
      <c r="B238" s="656"/>
      <c r="C238" s="656"/>
      <c r="D238" s="656"/>
      <c r="E238" s="656"/>
      <c r="F238" s="656"/>
      <c r="G238" s="656"/>
      <c r="H238" s="656"/>
      <c r="I238" s="656"/>
      <c r="J238" s="656"/>
      <c r="K238" s="656"/>
      <c r="L238" s="656"/>
      <c r="M238" s="293"/>
      <c r="N238" s="789"/>
      <c r="O238" s="789"/>
      <c r="P238" s="789"/>
      <c r="Q238" s="789"/>
      <c r="R238" s="789"/>
      <c r="S238" s="789"/>
      <c r="T238" s="656"/>
      <c r="U238" s="293"/>
      <c r="V238" s="656"/>
      <c r="W238" s="656"/>
      <c r="X238" s="656"/>
      <c r="Y238" s="293"/>
      <c r="Z238" s="656"/>
      <c r="AA238" s="656"/>
      <c r="AB238" s="656"/>
      <c r="AC238" s="656"/>
    </row>
    <row r="239" spans="1:29">
      <c r="A239" s="656"/>
      <c r="B239" s="656"/>
      <c r="C239" s="656"/>
      <c r="D239" s="656"/>
      <c r="E239" s="656"/>
      <c r="F239" s="656"/>
      <c r="G239" s="656"/>
      <c r="H239" s="656"/>
      <c r="I239" s="656"/>
      <c r="J239" s="656"/>
      <c r="K239" s="656"/>
      <c r="L239" s="656"/>
      <c r="M239" s="293"/>
      <c r="N239" s="789"/>
      <c r="O239" s="789"/>
      <c r="P239" s="789"/>
      <c r="Q239" s="789"/>
      <c r="R239" s="789"/>
      <c r="S239" s="789"/>
      <c r="T239" s="656"/>
      <c r="U239" s="293"/>
      <c r="V239" s="656"/>
      <c r="W239" s="656"/>
      <c r="X239" s="656"/>
      <c r="Y239" s="293"/>
      <c r="Z239" s="656"/>
      <c r="AA239" s="656"/>
      <c r="AB239" s="656"/>
      <c r="AC239" s="656"/>
    </row>
    <row r="240" spans="1:29">
      <c r="A240" s="656"/>
      <c r="B240" s="656"/>
      <c r="C240" s="656"/>
      <c r="D240" s="656"/>
      <c r="E240" s="656"/>
      <c r="F240" s="656"/>
      <c r="G240" s="656"/>
      <c r="H240" s="656"/>
      <c r="I240" s="656"/>
      <c r="J240" s="656"/>
      <c r="K240" s="656"/>
      <c r="L240" s="656"/>
      <c r="M240" s="293"/>
      <c r="N240" s="789"/>
      <c r="O240" s="789"/>
      <c r="P240" s="789"/>
      <c r="Q240" s="789"/>
      <c r="R240" s="789"/>
      <c r="S240" s="789"/>
      <c r="T240" s="656"/>
      <c r="U240" s="293"/>
      <c r="V240" s="656"/>
      <c r="W240" s="656"/>
      <c r="X240" s="656"/>
      <c r="Y240" s="293"/>
      <c r="Z240" s="656"/>
      <c r="AA240" s="656"/>
      <c r="AB240" s="656"/>
      <c r="AC240" s="656"/>
    </row>
    <row r="241" spans="1:29">
      <c r="A241" s="656"/>
      <c r="B241" s="656"/>
      <c r="C241" s="656"/>
      <c r="D241" s="656"/>
      <c r="E241" s="656"/>
      <c r="F241" s="656"/>
      <c r="G241" s="656"/>
      <c r="H241" s="656"/>
      <c r="I241" s="656"/>
      <c r="J241" s="656"/>
      <c r="K241" s="656"/>
      <c r="L241" s="656"/>
      <c r="M241" s="293"/>
      <c r="N241" s="789"/>
      <c r="O241" s="789"/>
      <c r="P241" s="789"/>
      <c r="Q241" s="789"/>
      <c r="R241" s="789"/>
      <c r="S241" s="789"/>
      <c r="T241" s="656"/>
      <c r="U241" s="293"/>
      <c r="V241" s="656"/>
      <c r="W241" s="656"/>
      <c r="X241" s="656"/>
      <c r="Y241" s="293"/>
      <c r="Z241" s="656"/>
      <c r="AA241" s="656"/>
      <c r="AB241" s="656"/>
      <c r="AC241" s="656"/>
    </row>
    <row r="242" spans="1:29">
      <c r="A242" s="656"/>
      <c r="B242" s="656"/>
      <c r="C242" s="656"/>
      <c r="D242" s="656"/>
      <c r="E242" s="656"/>
      <c r="F242" s="656"/>
      <c r="G242" s="656"/>
      <c r="H242" s="656"/>
      <c r="I242" s="656"/>
      <c r="J242" s="656"/>
      <c r="K242" s="656"/>
      <c r="L242" s="656"/>
      <c r="M242" s="293"/>
      <c r="N242" s="789"/>
      <c r="O242" s="789"/>
      <c r="P242" s="789"/>
      <c r="Q242" s="789"/>
      <c r="R242" s="789"/>
      <c r="S242" s="789"/>
      <c r="T242" s="656"/>
      <c r="U242" s="293"/>
      <c r="V242" s="656"/>
      <c r="W242" s="656"/>
      <c r="X242" s="656"/>
      <c r="Y242" s="293"/>
      <c r="Z242" s="656"/>
      <c r="AA242" s="656"/>
      <c r="AB242" s="656"/>
      <c r="AC242" s="656"/>
    </row>
    <row r="243" spans="1:29">
      <c r="A243" s="656"/>
      <c r="B243" s="656"/>
      <c r="C243" s="656"/>
      <c r="D243" s="656"/>
      <c r="E243" s="656"/>
      <c r="F243" s="656"/>
      <c r="G243" s="656"/>
      <c r="H243" s="656"/>
      <c r="I243" s="656"/>
      <c r="J243" s="656"/>
      <c r="K243" s="656"/>
      <c r="L243" s="656"/>
      <c r="M243" s="293"/>
      <c r="N243" s="789"/>
      <c r="O243" s="789"/>
      <c r="P243" s="789"/>
      <c r="Q243" s="789"/>
      <c r="R243" s="789"/>
      <c r="S243" s="789"/>
      <c r="T243" s="656"/>
      <c r="U243" s="293"/>
      <c r="V243" s="656"/>
      <c r="W243" s="656"/>
      <c r="X243" s="656"/>
      <c r="Y243" s="293"/>
      <c r="Z243" s="656"/>
      <c r="AA243" s="656"/>
      <c r="AB243" s="656"/>
      <c r="AC243" s="656"/>
    </row>
    <row r="244" spans="1:29">
      <c r="A244" s="656"/>
      <c r="B244" s="656"/>
      <c r="C244" s="656"/>
      <c r="D244" s="656"/>
      <c r="E244" s="656"/>
      <c r="F244" s="656"/>
      <c r="G244" s="656"/>
      <c r="H244" s="656"/>
      <c r="I244" s="656"/>
      <c r="J244" s="656"/>
      <c r="K244" s="656"/>
      <c r="L244" s="656"/>
      <c r="M244" s="293"/>
      <c r="N244" s="789"/>
      <c r="O244" s="789"/>
      <c r="P244" s="789"/>
      <c r="Q244" s="789"/>
      <c r="R244" s="789"/>
      <c r="S244" s="789"/>
      <c r="T244" s="656"/>
      <c r="U244" s="293"/>
      <c r="V244" s="656"/>
      <c r="W244" s="656"/>
      <c r="X244" s="656"/>
      <c r="Y244" s="293"/>
      <c r="Z244" s="656"/>
      <c r="AA244" s="656"/>
      <c r="AB244" s="656"/>
      <c r="AC244" s="656"/>
    </row>
    <row r="245" spans="1:29">
      <c r="A245" s="656"/>
      <c r="B245" s="656"/>
      <c r="C245" s="656"/>
      <c r="D245" s="656"/>
      <c r="E245" s="656"/>
      <c r="F245" s="656"/>
      <c r="G245" s="656"/>
      <c r="H245" s="656"/>
      <c r="I245" s="656"/>
      <c r="J245" s="656"/>
      <c r="K245" s="656"/>
      <c r="L245" s="656"/>
      <c r="M245" s="293"/>
      <c r="N245" s="789"/>
      <c r="O245" s="789"/>
      <c r="P245" s="789"/>
      <c r="Q245" s="789"/>
      <c r="R245" s="789"/>
      <c r="S245" s="789"/>
      <c r="T245" s="656"/>
      <c r="U245" s="293"/>
      <c r="V245" s="656"/>
      <c r="W245" s="656"/>
      <c r="X245" s="656"/>
      <c r="Y245" s="293"/>
      <c r="Z245" s="656"/>
      <c r="AA245" s="656"/>
      <c r="AB245" s="656"/>
      <c r="AC245" s="656"/>
    </row>
    <row r="246" spans="1:29">
      <c r="A246" s="656"/>
      <c r="B246" s="656"/>
      <c r="C246" s="656"/>
      <c r="D246" s="656"/>
      <c r="E246" s="656"/>
      <c r="F246" s="656"/>
      <c r="G246" s="656"/>
      <c r="H246" s="656"/>
      <c r="I246" s="656"/>
      <c r="J246" s="656"/>
      <c r="K246" s="656"/>
      <c r="L246" s="656"/>
      <c r="M246" s="293"/>
      <c r="N246" s="789"/>
      <c r="O246" s="789"/>
      <c r="P246" s="789"/>
      <c r="Q246" s="789"/>
      <c r="R246" s="789"/>
      <c r="S246" s="789"/>
      <c r="T246" s="656"/>
      <c r="U246" s="293"/>
      <c r="V246" s="656"/>
      <c r="W246" s="656"/>
      <c r="X246" s="656"/>
      <c r="Y246" s="293"/>
      <c r="Z246" s="656"/>
      <c r="AA246" s="656"/>
      <c r="AB246" s="656"/>
      <c r="AC246" s="656"/>
    </row>
    <row r="247" spans="1:29">
      <c r="A247" s="656"/>
      <c r="B247" s="656"/>
      <c r="C247" s="656"/>
      <c r="D247" s="656"/>
      <c r="E247" s="656"/>
      <c r="F247" s="656"/>
      <c r="G247" s="656"/>
      <c r="H247" s="656"/>
      <c r="I247" s="656"/>
      <c r="J247" s="656"/>
      <c r="K247" s="656"/>
      <c r="L247" s="656"/>
      <c r="M247" s="293"/>
      <c r="N247" s="789"/>
      <c r="O247" s="789"/>
      <c r="P247" s="789"/>
      <c r="Q247" s="789"/>
      <c r="R247" s="789"/>
      <c r="S247" s="789"/>
      <c r="T247" s="656"/>
      <c r="U247" s="293"/>
      <c r="V247" s="656"/>
      <c r="W247" s="656"/>
      <c r="X247" s="656"/>
      <c r="Y247" s="293"/>
      <c r="Z247" s="656"/>
      <c r="AA247" s="656"/>
      <c r="AB247" s="656"/>
      <c r="AC247" s="656"/>
    </row>
    <row r="248" spans="1:29">
      <c r="A248" s="656"/>
      <c r="B248" s="656"/>
      <c r="C248" s="656"/>
      <c r="D248" s="656"/>
      <c r="E248" s="656"/>
      <c r="F248" s="656"/>
      <c r="G248" s="656"/>
      <c r="H248" s="656"/>
      <c r="I248" s="656"/>
      <c r="J248" s="656"/>
      <c r="K248" s="656"/>
      <c r="L248" s="656"/>
      <c r="M248" s="293"/>
      <c r="N248" s="789"/>
      <c r="O248" s="789"/>
      <c r="P248" s="789"/>
      <c r="Q248" s="789"/>
      <c r="R248" s="789"/>
      <c r="S248" s="789"/>
      <c r="T248" s="656"/>
      <c r="U248" s="293"/>
      <c r="V248" s="656"/>
      <c r="W248" s="656"/>
      <c r="X248" s="656"/>
      <c r="Y248" s="293"/>
      <c r="Z248" s="656"/>
      <c r="AA248" s="656"/>
      <c r="AB248" s="656"/>
      <c r="AC248" s="656"/>
    </row>
    <row r="249" spans="1:29">
      <c r="A249" s="656"/>
      <c r="B249" s="656"/>
      <c r="C249" s="656"/>
      <c r="D249" s="656"/>
      <c r="E249" s="656"/>
      <c r="F249" s="656"/>
      <c r="G249" s="656"/>
      <c r="H249" s="656"/>
      <c r="I249" s="656"/>
      <c r="J249" s="656"/>
      <c r="K249" s="656"/>
      <c r="L249" s="656"/>
      <c r="M249" s="293"/>
      <c r="N249" s="789"/>
      <c r="O249" s="789"/>
      <c r="P249" s="789"/>
      <c r="Q249" s="789"/>
      <c r="R249" s="789"/>
      <c r="S249" s="789"/>
      <c r="T249" s="656"/>
      <c r="U249" s="293"/>
      <c r="V249" s="656"/>
      <c r="W249" s="656"/>
      <c r="X249" s="656"/>
      <c r="Y249" s="293"/>
      <c r="Z249" s="656"/>
      <c r="AA249" s="656"/>
      <c r="AB249" s="656"/>
      <c r="AC249" s="656"/>
    </row>
    <row r="250" spans="1:29">
      <c r="A250" s="656"/>
      <c r="B250" s="656"/>
      <c r="C250" s="656"/>
      <c r="D250" s="656"/>
      <c r="E250" s="656"/>
      <c r="F250" s="656"/>
      <c r="G250" s="656"/>
      <c r="H250" s="656"/>
      <c r="I250" s="656"/>
      <c r="J250" s="656"/>
      <c r="K250" s="656"/>
      <c r="L250" s="656"/>
      <c r="M250" s="293"/>
      <c r="N250" s="789"/>
      <c r="O250" s="789"/>
      <c r="P250" s="789"/>
      <c r="Q250" s="789"/>
      <c r="R250" s="789"/>
      <c r="S250" s="789"/>
      <c r="T250" s="656"/>
      <c r="U250" s="293"/>
      <c r="V250" s="656"/>
      <c r="W250" s="656"/>
      <c r="X250" s="656"/>
      <c r="Y250" s="293"/>
      <c r="Z250" s="656"/>
      <c r="AA250" s="656"/>
      <c r="AB250" s="656"/>
      <c r="AC250" s="656"/>
    </row>
    <row r="251" spans="1:29">
      <c r="A251" s="656"/>
      <c r="B251" s="656"/>
      <c r="C251" s="656"/>
      <c r="D251" s="656"/>
      <c r="E251" s="656"/>
      <c r="F251" s="656"/>
      <c r="G251" s="656"/>
      <c r="H251" s="656"/>
      <c r="I251" s="656"/>
      <c r="J251" s="656"/>
      <c r="K251" s="656"/>
      <c r="L251" s="656"/>
      <c r="M251" s="293"/>
      <c r="N251" s="789"/>
      <c r="O251" s="789"/>
      <c r="P251" s="789"/>
      <c r="Q251" s="789"/>
      <c r="R251" s="789"/>
      <c r="S251" s="789"/>
      <c r="T251" s="656"/>
      <c r="U251" s="293"/>
      <c r="V251" s="656"/>
      <c r="W251" s="656"/>
      <c r="X251" s="656"/>
      <c r="Y251" s="293"/>
      <c r="Z251" s="656"/>
      <c r="AA251" s="656"/>
      <c r="AB251" s="656"/>
      <c r="AC251" s="656"/>
    </row>
    <row r="252" spans="1:29">
      <c r="A252" s="656"/>
      <c r="B252" s="656"/>
      <c r="C252" s="656"/>
      <c r="D252" s="656"/>
      <c r="E252" s="656"/>
      <c r="F252" s="656"/>
      <c r="G252" s="656"/>
      <c r="H252" s="656"/>
      <c r="I252" s="656"/>
      <c r="J252" s="656"/>
      <c r="K252" s="656"/>
      <c r="L252" s="656"/>
      <c r="M252" s="293"/>
      <c r="N252" s="789"/>
      <c r="O252" s="789"/>
      <c r="P252" s="789"/>
      <c r="Q252" s="789"/>
      <c r="R252" s="789"/>
      <c r="S252" s="789"/>
      <c r="T252" s="656"/>
      <c r="U252" s="293"/>
      <c r="V252" s="656"/>
      <c r="W252" s="656"/>
      <c r="X252" s="656"/>
      <c r="Y252" s="293"/>
      <c r="Z252" s="656"/>
      <c r="AA252" s="656"/>
      <c r="AB252" s="656"/>
      <c r="AC252" s="656"/>
    </row>
    <row r="253" spans="1:29">
      <c r="A253" s="656"/>
      <c r="B253" s="656"/>
      <c r="C253" s="656"/>
      <c r="D253" s="656"/>
      <c r="E253" s="656"/>
      <c r="F253" s="656"/>
      <c r="G253" s="656"/>
      <c r="H253" s="656"/>
      <c r="I253" s="656"/>
      <c r="J253" s="656"/>
      <c r="K253" s="656"/>
      <c r="L253" s="656"/>
      <c r="M253" s="293"/>
      <c r="N253" s="789"/>
      <c r="O253" s="789"/>
      <c r="P253" s="789"/>
      <c r="Q253" s="789"/>
      <c r="R253" s="789"/>
      <c r="S253" s="789"/>
      <c r="T253" s="656"/>
      <c r="U253" s="293"/>
      <c r="V253" s="656"/>
      <c r="W253" s="656"/>
      <c r="X253" s="656"/>
      <c r="Y253" s="293"/>
      <c r="Z253" s="656"/>
      <c r="AA253" s="656"/>
      <c r="AB253" s="656"/>
      <c r="AC253" s="656"/>
    </row>
    <row r="254" spans="1:29">
      <c r="A254" s="656"/>
      <c r="B254" s="656"/>
      <c r="C254" s="656"/>
      <c r="D254" s="656"/>
      <c r="E254" s="656"/>
      <c r="F254" s="656"/>
      <c r="G254" s="656"/>
      <c r="H254" s="656"/>
      <c r="I254" s="656"/>
      <c r="J254" s="656"/>
      <c r="K254" s="656"/>
      <c r="L254" s="656"/>
      <c r="M254" s="293"/>
      <c r="N254" s="789"/>
      <c r="O254" s="789"/>
      <c r="P254" s="789"/>
      <c r="Q254" s="789"/>
      <c r="R254" s="789"/>
      <c r="S254" s="789"/>
      <c r="T254" s="656"/>
      <c r="U254" s="293"/>
      <c r="V254" s="656"/>
      <c r="W254" s="656"/>
      <c r="X254" s="656"/>
      <c r="Y254" s="293"/>
      <c r="Z254" s="656"/>
      <c r="AA254" s="656"/>
      <c r="AB254" s="656"/>
      <c r="AC254" s="656"/>
    </row>
    <row r="255" spans="1:29">
      <c r="A255" s="656"/>
      <c r="B255" s="656"/>
      <c r="C255" s="656"/>
      <c r="D255" s="656"/>
      <c r="E255" s="656"/>
      <c r="F255" s="656"/>
      <c r="G255" s="656"/>
      <c r="H255" s="656"/>
      <c r="I255" s="656"/>
      <c r="J255" s="656"/>
      <c r="K255" s="656"/>
      <c r="L255" s="656"/>
      <c r="M255" s="293"/>
      <c r="N255" s="789"/>
      <c r="O255" s="789"/>
      <c r="P255" s="789"/>
      <c r="Q255" s="789"/>
      <c r="R255" s="789"/>
      <c r="S255" s="789"/>
      <c r="T255" s="656"/>
      <c r="U255" s="293"/>
      <c r="V255" s="656"/>
      <c r="W255" s="656"/>
      <c r="X255" s="656"/>
      <c r="Y255" s="293"/>
      <c r="Z255" s="656"/>
      <c r="AA255" s="656"/>
      <c r="AB255" s="656"/>
      <c r="AC255" s="656"/>
    </row>
    <row r="256" spans="1:29">
      <c r="A256" s="656"/>
      <c r="B256" s="656"/>
      <c r="C256" s="656"/>
      <c r="D256" s="656"/>
      <c r="E256" s="656"/>
      <c r="F256" s="656"/>
      <c r="G256" s="656"/>
      <c r="H256" s="656"/>
      <c r="I256" s="656"/>
      <c r="J256" s="656"/>
      <c r="K256" s="656"/>
      <c r="L256" s="656"/>
      <c r="M256" s="293"/>
      <c r="N256" s="789"/>
      <c r="O256" s="789"/>
      <c r="P256" s="789"/>
      <c r="Q256" s="789"/>
      <c r="R256" s="789"/>
      <c r="S256" s="789"/>
      <c r="T256" s="656"/>
      <c r="U256" s="293"/>
      <c r="V256" s="656"/>
      <c r="W256" s="656"/>
      <c r="X256" s="656"/>
      <c r="Y256" s="293"/>
      <c r="Z256" s="656"/>
      <c r="AA256" s="656"/>
      <c r="AB256" s="656"/>
      <c r="AC256" s="656"/>
    </row>
    <row r="257" spans="1:29">
      <c r="A257" s="656"/>
      <c r="B257" s="656"/>
      <c r="C257" s="656"/>
      <c r="D257" s="656"/>
      <c r="E257" s="656"/>
      <c r="F257" s="656"/>
      <c r="G257" s="656"/>
      <c r="H257" s="656"/>
      <c r="I257" s="656"/>
      <c r="J257" s="656"/>
      <c r="K257" s="656"/>
      <c r="L257" s="656"/>
      <c r="M257" s="293"/>
      <c r="N257" s="789"/>
      <c r="O257" s="789"/>
      <c r="P257" s="789"/>
      <c r="Q257" s="789"/>
      <c r="R257" s="789"/>
      <c r="S257" s="789"/>
      <c r="T257" s="656"/>
      <c r="U257" s="293"/>
      <c r="V257" s="656"/>
      <c r="W257" s="656"/>
      <c r="X257" s="656"/>
      <c r="Y257" s="293"/>
      <c r="Z257" s="656"/>
      <c r="AA257" s="656"/>
      <c r="AB257" s="656"/>
      <c r="AC257" s="656"/>
    </row>
    <row r="258" spans="1:29">
      <c r="A258" s="656"/>
      <c r="B258" s="656"/>
      <c r="C258" s="656"/>
      <c r="D258" s="656"/>
      <c r="E258" s="656"/>
      <c r="F258" s="656"/>
      <c r="G258" s="656"/>
      <c r="H258" s="656"/>
      <c r="I258" s="656"/>
      <c r="J258" s="656"/>
      <c r="K258" s="656"/>
      <c r="L258" s="656"/>
      <c r="M258" s="293"/>
      <c r="N258" s="789"/>
      <c r="O258" s="789"/>
      <c r="P258" s="789"/>
      <c r="Q258" s="789"/>
      <c r="R258" s="789"/>
      <c r="S258" s="789"/>
      <c r="T258" s="656"/>
      <c r="U258" s="293"/>
      <c r="V258" s="656"/>
      <c r="W258" s="656"/>
      <c r="X258" s="656"/>
      <c r="Y258" s="293"/>
      <c r="Z258" s="656"/>
      <c r="AA258" s="656"/>
      <c r="AB258" s="656"/>
      <c r="AC258" s="656"/>
    </row>
    <row r="259" spans="1:29">
      <c r="A259" s="656"/>
      <c r="B259" s="656"/>
      <c r="C259" s="656"/>
      <c r="D259" s="656"/>
      <c r="E259" s="656"/>
      <c r="F259" s="656"/>
      <c r="G259" s="656"/>
      <c r="H259" s="656"/>
      <c r="I259" s="656"/>
      <c r="J259" s="656"/>
      <c r="K259" s="656"/>
      <c r="L259" s="656"/>
      <c r="M259" s="293"/>
      <c r="N259" s="789"/>
      <c r="O259" s="789"/>
      <c r="P259" s="789"/>
      <c r="Q259" s="789"/>
      <c r="R259" s="789"/>
      <c r="S259" s="789"/>
      <c r="T259" s="656"/>
      <c r="U259" s="293"/>
      <c r="V259" s="656"/>
      <c r="W259" s="656"/>
      <c r="X259" s="656"/>
      <c r="Y259" s="293"/>
      <c r="Z259" s="656"/>
      <c r="AA259" s="656"/>
      <c r="AB259" s="656"/>
      <c r="AC259" s="656"/>
    </row>
    <row r="260" spans="1:29">
      <c r="A260" s="656"/>
      <c r="B260" s="656"/>
      <c r="C260" s="656"/>
      <c r="D260" s="656"/>
      <c r="E260" s="656"/>
      <c r="F260" s="656"/>
      <c r="G260" s="656"/>
      <c r="H260" s="656"/>
      <c r="I260" s="656"/>
      <c r="J260" s="656"/>
      <c r="K260" s="656"/>
      <c r="L260" s="656"/>
      <c r="M260" s="293"/>
      <c r="N260" s="789"/>
      <c r="O260" s="789"/>
      <c r="P260" s="789"/>
      <c r="Q260" s="789"/>
      <c r="R260" s="789"/>
      <c r="S260" s="789"/>
      <c r="T260" s="656"/>
      <c r="U260" s="293"/>
      <c r="V260" s="656"/>
      <c r="W260" s="656"/>
      <c r="X260" s="656"/>
      <c r="Y260" s="293"/>
      <c r="Z260" s="656"/>
      <c r="AA260" s="656"/>
      <c r="AB260" s="656"/>
      <c r="AC260" s="656"/>
    </row>
    <row r="261" spans="1:29">
      <c r="A261" s="656"/>
      <c r="B261" s="656"/>
      <c r="C261" s="656"/>
      <c r="D261" s="656"/>
      <c r="E261" s="656"/>
      <c r="F261" s="656"/>
      <c r="G261" s="656"/>
      <c r="H261" s="656"/>
      <c r="I261" s="656"/>
      <c r="J261" s="656"/>
      <c r="K261" s="656"/>
      <c r="L261" s="656"/>
      <c r="M261" s="293"/>
      <c r="N261" s="789"/>
      <c r="O261" s="789"/>
      <c r="P261" s="789"/>
      <c r="Q261" s="789"/>
      <c r="R261" s="789"/>
      <c r="S261" s="789"/>
      <c r="T261" s="656"/>
      <c r="U261" s="293"/>
      <c r="V261" s="656"/>
      <c r="W261" s="656"/>
      <c r="X261" s="656"/>
      <c r="Y261" s="293"/>
      <c r="Z261" s="656"/>
      <c r="AA261" s="656"/>
      <c r="AB261" s="656"/>
      <c r="AC261" s="656"/>
    </row>
    <row r="262" spans="1:29">
      <c r="A262" s="656"/>
      <c r="B262" s="656"/>
      <c r="C262" s="656"/>
      <c r="D262" s="656"/>
      <c r="E262" s="656"/>
      <c r="F262" s="656"/>
      <c r="G262" s="656"/>
      <c r="H262" s="656"/>
      <c r="I262" s="656"/>
      <c r="J262" s="656"/>
      <c r="K262" s="656"/>
      <c r="L262" s="656"/>
      <c r="M262" s="293"/>
      <c r="N262" s="789"/>
      <c r="O262" s="789"/>
      <c r="P262" s="789"/>
      <c r="Q262" s="789"/>
      <c r="R262" s="789"/>
      <c r="S262" s="789"/>
      <c r="T262" s="656"/>
      <c r="U262" s="293"/>
      <c r="V262" s="656"/>
      <c r="W262" s="656"/>
      <c r="X262" s="656"/>
      <c r="Y262" s="293"/>
      <c r="Z262" s="656"/>
      <c r="AA262" s="656"/>
      <c r="AB262" s="656"/>
      <c r="AC262" s="656"/>
    </row>
    <row r="263" spans="1:29">
      <c r="A263" s="656"/>
      <c r="B263" s="656"/>
      <c r="C263" s="656"/>
      <c r="D263" s="656"/>
      <c r="E263" s="656"/>
      <c r="F263" s="656"/>
      <c r="G263" s="656"/>
      <c r="H263" s="656"/>
      <c r="I263" s="656"/>
      <c r="J263" s="656"/>
      <c r="K263" s="656"/>
      <c r="L263" s="656"/>
      <c r="M263" s="293"/>
      <c r="N263" s="789"/>
      <c r="O263" s="789"/>
      <c r="P263" s="789"/>
      <c r="Q263" s="789"/>
      <c r="R263" s="789"/>
      <c r="S263" s="789"/>
      <c r="T263" s="656"/>
      <c r="U263" s="293"/>
      <c r="V263" s="656"/>
      <c r="W263" s="656"/>
      <c r="X263" s="656"/>
      <c r="Y263" s="293"/>
      <c r="Z263" s="656"/>
      <c r="AA263" s="656"/>
      <c r="AB263" s="656"/>
      <c r="AC263" s="656"/>
    </row>
    <row r="264" spans="1:29">
      <c r="A264" s="656"/>
      <c r="B264" s="656"/>
      <c r="C264" s="656"/>
      <c r="D264" s="656"/>
      <c r="E264" s="656"/>
      <c r="F264" s="656"/>
      <c r="G264" s="656"/>
      <c r="H264" s="656"/>
      <c r="I264" s="656"/>
      <c r="J264" s="656"/>
      <c r="K264" s="656"/>
      <c r="L264" s="656"/>
      <c r="M264" s="293"/>
      <c r="N264" s="789"/>
      <c r="O264" s="789"/>
      <c r="P264" s="789"/>
      <c r="Q264" s="789"/>
      <c r="R264" s="789"/>
      <c r="S264" s="789"/>
      <c r="T264" s="656"/>
      <c r="U264" s="293"/>
      <c r="V264" s="656"/>
      <c r="W264" s="656"/>
      <c r="X264" s="656"/>
      <c r="Y264" s="293"/>
      <c r="Z264" s="656"/>
      <c r="AA264" s="656"/>
      <c r="AB264" s="656"/>
      <c r="AC264" s="656"/>
    </row>
    <row r="265" spans="1:29">
      <c r="A265" s="656"/>
      <c r="B265" s="656"/>
      <c r="C265" s="656"/>
      <c r="D265" s="656"/>
      <c r="E265" s="656"/>
      <c r="F265" s="656"/>
      <c r="G265" s="656"/>
      <c r="H265" s="656"/>
      <c r="I265" s="656"/>
      <c r="J265" s="656"/>
      <c r="K265" s="656"/>
      <c r="L265" s="656"/>
      <c r="M265" s="293"/>
      <c r="N265" s="789"/>
      <c r="O265" s="789"/>
      <c r="P265" s="789"/>
      <c r="Q265" s="789"/>
      <c r="R265" s="789"/>
      <c r="S265" s="789"/>
      <c r="T265" s="656"/>
      <c r="U265" s="293"/>
      <c r="V265" s="656"/>
      <c r="W265" s="656"/>
      <c r="X265" s="656"/>
      <c r="Y265" s="293"/>
      <c r="Z265" s="656"/>
      <c r="AA265" s="656"/>
      <c r="AB265" s="656"/>
      <c r="AC265" s="656"/>
    </row>
    <row r="266" spans="1:29">
      <c r="A266" s="656"/>
      <c r="B266" s="656"/>
      <c r="C266" s="656"/>
      <c r="D266" s="656"/>
      <c r="E266" s="656"/>
      <c r="F266" s="656"/>
      <c r="G266" s="656"/>
      <c r="H266" s="656"/>
      <c r="I266" s="656"/>
      <c r="J266" s="656"/>
      <c r="K266" s="656"/>
      <c r="L266" s="656"/>
      <c r="M266" s="293"/>
      <c r="N266" s="789"/>
      <c r="O266" s="789"/>
      <c r="P266" s="789"/>
      <c r="Q266" s="789"/>
      <c r="R266" s="789"/>
      <c r="S266" s="789"/>
      <c r="T266" s="656"/>
      <c r="U266" s="293"/>
      <c r="V266" s="656"/>
      <c r="W266" s="656"/>
      <c r="X266" s="656"/>
      <c r="Y266" s="293"/>
      <c r="Z266" s="656"/>
      <c r="AA266" s="656"/>
      <c r="AB266" s="656"/>
      <c r="AC266" s="656"/>
    </row>
    <row r="267" spans="1:29">
      <c r="A267" s="656"/>
      <c r="B267" s="656"/>
      <c r="C267" s="656"/>
      <c r="D267" s="656"/>
      <c r="E267" s="656"/>
      <c r="F267" s="656"/>
      <c r="G267" s="656"/>
      <c r="H267" s="656"/>
      <c r="I267" s="656"/>
      <c r="J267" s="656"/>
      <c r="K267" s="656"/>
      <c r="L267" s="656"/>
      <c r="M267" s="293"/>
      <c r="N267" s="789"/>
      <c r="O267" s="789"/>
      <c r="P267" s="789"/>
      <c r="Q267" s="789"/>
      <c r="R267" s="789"/>
      <c r="S267" s="789"/>
      <c r="T267" s="656"/>
      <c r="U267" s="293"/>
      <c r="V267" s="656"/>
      <c r="W267" s="656"/>
      <c r="X267" s="656"/>
      <c r="Y267" s="293"/>
      <c r="Z267" s="656"/>
      <c r="AA267" s="656"/>
      <c r="AB267" s="656"/>
      <c r="AC267" s="656"/>
    </row>
    <row r="268" spans="1:29">
      <c r="A268" s="656"/>
      <c r="B268" s="656"/>
      <c r="C268" s="656"/>
      <c r="D268" s="656"/>
      <c r="E268" s="656"/>
      <c r="F268" s="656"/>
      <c r="G268" s="656"/>
      <c r="H268" s="656"/>
      <c r="I268" s="656"/>
      <c r="J268" s="656"/>
      <c r="K268" s="656"/>
      <c r="L268" s="656"/>
      <c r="M268" s="293"/>
      <c r="N268" s="789"/>
      <c r="O268" s="789"/>
      <c r="P268" s="789"/>
      <c r="Q268" s="789"/>
      <c r="R268" s="789"/>
      <c r="S268" s="789"/>
      <c r="T268" s="656"/>
      <c r="U268" s="293"/>
      <c r="V268" s="656"/>
      <c r="W268" s="656"/>
      <c r="X268" s="656"/>
      <c r="Y268" s="293"/>
      <c r="Z268" s="656"/>
      <c r="AA268" s="656"/>
      <c r="AB268" s="656"/>
      <c r="AC268" s="656"/>
    </row>
    <row r="269" spans="1:29">
      <c r="A269" s="656"/>
      <c r="B269" s="656"/>
      <c r="C269" s="656"/>
      <c r="D269" s="656"/>
      <c r="E269" s="656"/>
      <c r="F269" s="656"/>
      <c r="G269" s="656"/>
      <c r="H269" s="656"/>
      <c r="I269" s="656"/>
      <c r="J269" s="656"/>
      <c r="K269" s="656"/>
      <c r="L269" s="656"/>
      <c r="M269" s="293"/>
      <c r="N269" s="789"/>
      <c r="O269" s="789"/>
      <c r="P269" s="789"/>
      <c r="Q269" s="789"/>
      <c r="R269" s="789"/>
      <c r="S269" s="789"/>
      <c r="T269" s="656"/>
      <c r="U269" s="293"/>
      <c r="V269" s="656"/>
      <c r="W269" s="656"/>
      <c r="X269" s="656"/>
      <c r="Y269" s="293"/>
      <c r="Z269" s="656"/>
      <c r="AA269" s="656"/>
      <c r="AB269" s="656"/>
      <c r="AC269" s="656"/>
    </row>
    <row r="270" spans="1:29">
      <c r="A270" s="656"/>
      <c r="B270" s="656"/>
      <c r="C270" s="656"/>
      <c r="D270" s="656"/>
      <c r="E270" s="656"/>
      <c r="F270" s="656"/>
      <c r="G270" s="656"/>
      <c r="H270" s="656"/>
      <c r="I270" s="656"/>
      <c r="J270" s="656"/>
      <c r="K270" s="656"/>
      <c r="L270" s="656"/>
      <c r="M270" s="293"/>
      <c r="N270" s="789"/>
      <c r="O270" s="789"/>
      <c r="P270" s="789"/>
      <c r="Q270" s="789"/>
      <c r="R270" s="789"/>
      <c r="S270" s="789"/>
      <c r="T270" s="656"/>
      <c r="U270" s="293"/>
      <c r="V270" s="656"/>
      <c r="W270" s="656"/>
      <c r="X270" s="656"/>
      <c r="Y270" s="293"/>
      <c r="Z270" s="656"/>
      <c r="AA270" s="656"/>
      <c r="AB270" s="656"/>
      <c r="AC270" s="656"/>
    </row>
    <row r="271" spans="1:29">
      <c r="A271" s="656"/>
      <c r="B271" s="656"/>
      <c r="C271" s="656"/>
      <c r="D271" s="656"/>
      <c r="E271" s="656"/>
      <c r="F271" s="656"/>
      <c r="G271" s="656"/>
      <c r="H271" s="656"/>
      <c r="I271" s="656"/>
      <c r="J271" s="656"/>
      <c r="K271" s="656"/>
      <c r="L271" s="656"/>
      <c r="M271" s="293"/>
      <c r="N271" s="789"/>
      <c r="O271" s="789"/>
      <c r="P271" s="789"/>
      <c r="Q271" s="789"/>
      <c r="R271" s="789"/>
      <c r="S271" s="789"/>
      <c r="T271" s="656"/>
      <c r="U271" s="293"/>
      <c r="V271" s="656"/>
      <c r="W271" s="656"/>
      <c r="X271" s="656"/>
      <c r="Y271" s="293"/>
      <c r="Z271" s="656"/>
      <c r="AA271" s="656"/>
      <c r="AB271" s="656"/>
      <c r="AC271" s="656"/>
    </row>
    <row r="272" spans="1:29">
      <c r="A272" s="656"/>
      <c r="B272" s="656"/>
      <c r="C272" s="656"/>
      <c r="D272" s="656"/>
      <c r="E272" s="656"/>
      <c r="F272" s="656"/>
      <c r="G272" s="656"/>
      <c r="H272" s="656"/>
      <c r="I272" s="656"/>
      <c r="J272" s="656"/>
      <c r="K272" s="656"/>
      <c r="L272" s="656"/>
      <c r="M272" s="293"/>
      <c r="N272" s="789"/>
      <c r="O272" s="789"/>
      <c r="P272" s="789"/>
      <c r="Q272" s="789"/>
      <c r="R272" s="789"/>
      <c r="S272" s="789"/>
      <c r="T272" s="656"/>
      <c r="U272" s="293"/>
      <c r="V272" s="656"/>
      <c r="W272" s="656"/>
      <c r="X272" s="656"/>
      <c r="Y272" s="293"/>
      <c r="Z272" s="656"/>
      <c r="AA272" s="656"/>
      <c r="AB272" s="656"/>
      <c r="AC272" s="656"/>
    </row>
    <row r="273" spans="1:29">
      <c r="A273" s="656"/>
      <c r="B273" s="656"/>
      <c r="C273" s="656"/>
      <c r="D273" s="656"/>
      <c r="E273" s="656"/>
      <c r="F273" s="656"/>
      <c r="G273" s="656"/>
      <c r="H273" s="656"/>
      <c r="I273" s="656"/>
      <c r="J273" s="656"/>
      <c r="K273" s="656"/>
      <c r="L273" s="656"/>
      <c r="M273" s="293"/>
      <c r="N273" s="789"/>
      <c r="O273" s="789"/>
      <c r="P273" s="789"/>
      <c r="Q273" s="789"/>
      <c r="R273" s="789"/>
      <c r="S273" s="789"/>
      <c r="T273" s="656"/>
      <c r="U273" s="293"/>
      <c r="V273" s="656"/>
      <c r="W273" s="656"/>
      <c r="X273" s="656"/>
      <c r="Y273" s="293"/>
      <c r="Z273" s="656"/>
      <c r="AA273" s="656"/>
      <c r="AB273" s="656"/>
      <c r="AC273" s="656"/>
    </row>
    <row r="274" spans="1:29">
      <c r="A274" s="656"/>
      <c r="B274" s="656"/>
      <c r="C274" s="656"/>
      <c r="D274" s="656"/>
      <c r="E274" s="656"/>
      <c r="F274" s="656"/>
      <c r="G274" s="656"/>
      <c r="H274" s="656"/>
      <c r="I274" s="656"/>
      <c r="J274" s="656"/>
      <c r="K274" s="656"/>
      <c r="L274" s="656"/>
      <c r="M274" s="293"/>
      <c r="N274" s="789"/>
      <c r="O274" s="789"/>
      <c r="P274" s="789"/>
      <c r="Q274" s="789"/>
      <c r="R274" s="789"/>
      <c r="S274" s="789"/>
      <c r="T274" s="656"/>
      <c r="U274" s="293"/>
      <c r="V274" s="656"/>
      <c r="W274" s="656"/>
      <c r="X274" s="656"/>
      <c r="Y274" s="293"/>
      <c r="Z274" s="656"/>
      <c r="AA274" s="656"/>
      <c r="AB274" s="656"/>
      <c r="AC274" s="656"/>
    </row>
    <row r="275" spans="1:29">
      <c r="A275" s="656"/>
      <c r="B275" s="656"/>
      <c r="C275" s="656"/>
      <c r="D275" s="656"/>
      <c r="E275" s="656"/>
      <c r="F275" s="656"/>
      <c r="G275" s="656"/>
      <c r="H275" s="656"/>
      <c r="I275" s="656"/>
      <c r="J275" s="656"/>
      <c r="K275" s="656"/>
      <c r="L275" s="656"/>
      <c r="M275" s="293"/>
      <c r="N275" s="789"/>
      <c r="O275" s="789"/>
      <c r="P275" s="789"/>
      <c r="Q275" s="789"/>
      <c r="R275" s="789"/>
      <c r="S275" s="789"/>
      <c r="T275" s="656"/>
      <c r="U275" s="293"/>
      <c r="V275" s="656"/>
      <c r="W275" s="656"/>
      <c r="X275" s="656"/>
      <c r="Y275" s="293"/>
      <c r="Z275" s="656"/>
      <c r="AA275" s="656"/>
      <c r="AB275" s="656"/>
      <c r="AC275" s="656"/>
    </row>
    <row r="276" spans="1:29">
      <c r="A276" s="656"/>
      <c r="B276" s="656"/>
      <c r="C276" s="656"/>
      <c r="D276" s="656"/>
      <c r="E276" s="656"/>
      <c r="F276" s="656"/>
      <c r="G276" s="656"/>
      <c r="H276" s="656"/>
      <c r="I276" s="656"/>
      <c r="J276" s="656"/>
      <c r="K276" s="656"/>
      <c r="L276" s="656"/>
      <c r="M276" s="293"/>
      <c r="N276" s="789"/>
      <c r="O276" s="789"/>
      <c r="P276" s="789"/>
      <c r="Q276" s="789"/>
      <c r="R276" s="789"/>
      <c r="S276" s="789"/>
      <c r="T276" s="656"/>
      <c r="U276" s="293"/>
      <c r="V276" s="656"/>
      <c r="W276" s="656"/>
      <c r="X276" s="656"/>
      <c r="Y276" s="293"/>
      <c r="Z276" s="656"/>
      <c r="AA276" s="656"/>
      <c r="AB276" s="656"/>
      <c r="AC276" s="656"/>
    </row>
    <row r="277" spans="1:29">
      <c r="A277" s="656"/>
      <c r="B277" s="656"/>
      <c r="C277" s="656"/>
      <c r="D277" s="656"/>
      <c r="E277" s="656"/>
      <c r="F277" s="656"/>
      <c r="G277" s="656"/>
      <c r="H277" s="656"/>
      <c r="I277" s="656"/>
      <c r="J277" s="656"/>
      <c r="K277" s="656"/>
      <c r="L277" s="656"/>
      <c r="M277" s="293"/>
      <c r="N277" s="789"/>
      <c r="O277" s="789"/>
      <c r="P277" s="789"/>
      <c r="Q277" s="789"/>
      <c r="R277" s="789"/>
      <c r="S277" s="789"/>
      <c r="T277" s="656"/>
      <c r="U277" s="293"/>
      <c r="V277" s="656"/>
      <c r="W277" s="656"/>
      <c r="X277" s="656"/>
      <c r="Y277" s="293"/>
      <c r="Z277" s="656"/>
      <c r="AA277" s="656"/>
      <c r="AB277" s="656"/>
      <c r="AC277" s="656"/>
    </row>
    <row r="278" spans="1:29">
      <c r="A278" s="656"/>
      <c r="B278" s="656"/>
      <c r="C278" s="656"/>
      <c r="D278" s="656"/>
      <c r="E278" s="656"/>
      <c r="F278" s="656"/>
      <c r="G278" s="656"/>
      <c r="H278" s="656"/>
      <c r="I278" s="656"/>
      <c r="J278" s="656"/>
      <c r="K278" s="656"/>
      <c r="L278" s="656"/>
      <c r="M278" s="293"/>
      <c r="N278" s="789"/>
      <c r="O278" s="789"/>
      <c r="P278" s="789"/>
      <c r="Q278" s="789"/>
      <c r="R278" s="789"/>
      <c r="S278" s="789"/>
      <c r="T278" s="656"/>
      <c r="U278" s="293"/>
      <c r="V278" s="656"/>
      <c r="W278" s="656"/>
      <c r="X278" s="656"/>
      <c r="Y278" s="293"/>
      <c r="Z278" s="656"/>
      <c r="AA278" s="656"/>
      <c r="AB278" s="656"/>
      <c r="AC278" s="656"/>
    </row>
    <row r="279" spans="1:29">
      <c r="A279" s="656"/>
      <c r="B279" s="656"/>
      <c r="C279" s="656"/>
      <c r="D279" s="656"/>
      <c r="E279" s="656"/>
      <c r="F279" s="656"/>
      <c r="G279" s="656"/>
      <c r="H279" s="656"/>
      <c r="I279" s="656"/>
      <c r="J279" s="656"/>
      <c r="K279" s="656"/>
      <c r="L279" s="656"/>
      <c r="M279" s="293"/>
      <c r="N279" s="789"/>
      <c r="O279" s="789"/>
      <c r="P279" s="789"/>
      <c r="Q279" s="789"/>
      <c r="R279" s="789"/>
      <c r="S279" s="789"/>
      <c r="T279" s="656"/>
      <c r="U279" s="293"/>
      <c r="V279" s="656"/>
      <c r="W279" s="656"/>
      <c r="X279" s="656"/>
      <c r="Y279" s="293"/>
      <c r="Z279" s="656"/>
      <c r="AA279" s="656"/>
      <c r="AB279" s="656"/>
      <c r="AC279" s="656"/>
    </row>
    <row r="280" spans="1:29">
      <c r="A280" s="656"/>
      <c r="B280" s="656"/>
      <c r="C280" s="656"/>
      <c r="D280" s="656"/>
      <c r="E280" s="656"/>
      <c r="F280" s="656"/>
      <c r="G280" s="656"/>
      <c r="H280" s="656"/>
      <c r="I280" s="656"/>
      <c r="J280" s="656"/>
      <c r="K280" s="656"/>
      <c r="L280" s="656"/>
      <c r="M280" s="293"/>
      <c r="N280" s="789"/>
      <c r="O280" s="789"/>
      <c r="P280" s="789"/>
      <c r="Q280" s="789"/>
      <c r="R280" s="789"/>
      <c r="S280" s="789"/>
      <c r="T280" s="656"/>
      <c r="U280" s="293"/>
      <c r="V280" s="656"/>
      <c r="W280" s="656"/>
      <c r="X280" s="656"/>
      <c r="Y280" s="293"/>
      <c r="Z280" s="656"/>
      <c r="AA280" s="656"/>
      <c r="AB280" s="656"/>
      <c r="AC280" s="656"/>
    </row>
    <row r="281" spans="1:29">
      <c r="A281" s="656"/>
      <c r="B281" s="656"/>
      <c r="C281" s="656"/>
      <c r="D281" s="656"/>
      <c r="E281" s="656"/>
      <c r="F281" s="656"/>
      <c r="G281" s="656"/>
      <c r="H281" s="656"/>
      <c r="I281" s="656"/>
      <c r="J281" s="656"/>
      <c r="K281" s="656"/>
      <c r="L281" s="656"/>
      <c r="M281" s="293"/>
      <c r="N281" s="789"/>
      <c r="O281" s="789"/>
      <c r="P281" s="789"/>
      <c r="Q281" s="789"/>
      <c r="R281" s="789"/>
      <c r="S281" s="789"/>
      <c r="T281" s="656"/>
      <c r="U281" s="293"/>
      <c r="V281" s="656"/>
      <c r="W281" s="656"/>
      <c r="X281" s="656"/>
      <c r="Y281" s="293"/>
      <c r="Z281" s="656"/>
      <c r="AA281" s="656"/>
      <c r="AB281" s="656"/>
      <c r="AC281" s="656"/>
    </row>
    <row r="282" spans="1:29">
      <c r="A282" s="656"/>
      <c r="B282" s="656"/>
      <c r="C282" s="656"/>
      <c r="D282" s="656"/>
      <c r="E282" s="656"/>
      <c r="F282" s="656"/>
      <c r="G282" s="656"/>
      <c r="H282" s="656"/>
      <c r="I282" s="656"/>
      <c r="J282" s="656"/>
      <c r="K282" s="656"/>
      <c r="L282" s="656"/>
      <c r="M282" s="293"/>
      <c r="N282" s="789"/>
      <c r="O282" s="789"/>
      <c r="P282" s="789"/>
      <c r="Q282" s="789"/>
      <c r="R282" s="789"/>
      <c r="S282" s="789"/>
      <c r="T282" s="656"/>
      <c r="U282" s="293"/>
      <c r="V282" s="656"/>
      <c r="W282" s="656"/>
      <c r="X282" s="656"/>
      <c r="Y282" s="293"/>
      <c r="Z282" s="656"/>
      <c r="AA282" s="656"/>
      <c r="AB282" s="656"/>
      <c r="AC282" s="656"/>
    </row>
    <row r="283" spans="1:29">
      <c r="A283" s="656"/>
      <c r="B283" s="656"/>
      <c r="C283" s="656"/>
      <c r="D283" s="656"/>
      <c r="E283" s="656"/>
      <c r="F283" s="656"/>
      <c r="G283" s="656"/>
      <c r="H283" s="656"/>
      <c r="I283" s="656"/>
      <c r="J283" s="656"/>
      <c r="K283" s="656"/>
      <c r="L283" s="656"/>
      <c r="M283" s="293"/>
      <c r="N283" s="789"/>
      <c r="O283" s="789"/>
      <c r="P283" s="789"/>
      <c r="Q283" s="789"/>
      <c r="R283" s="789"/>
      <c r="S283" s="789"/>
      <c r="T283" s="656"/>
      <c r="U283" s="293"/>
      <c r="V283" s="656"/>
      <c r="W283" s="656"/>
      <c r="X283" s="656"/>
      <c r="Y283" s="293"/>
      <c r="Z283" s="656"/>
      <c r="AA283" s="656"/>
      <c r="AB283" s="656"/>
      <c r="AC283" s="656"/>
    </row>
    <row r="284" spans="1:29">
      <c r="A284" s="656"/>
      <c r="B284" s="656"/>
      <c r="C284" s="656"/>
      <c r="D284" s="656"/>
      <c r="E284" s="656"/>
      <c r="F284" s="656"/>
      <c r="G284" s="656"/>
      <c r="H284" s="656"/>
      <c r="I284" s="656"/>
      <c r="J284" s="656"/>
      <c r="K284" s="656"/>
      <c r="L284" s="656"/>
      <c r="M284" s="293"/>
      <c r="N284" s="789"/>
      <c r="O284" s="789"/>
      <c r="P284" s="789"/>
      <c r="Q284" s="789"/>
      <c r="R284" s="789"/>
      <c r="S284" s="789"/>
      <c r="T284" s="656"/>
      <c r="U284" s="293"/>
      <c r="V284" s="656"/>
      <c r="W284" s="656"/>
      <c r="X284" s="656"/>
      <c r="Y284" s="293"/>
      <c r="Z284" s="656"/>
      <c r="AA284" s="656"/>
      <c r="AB284" s="656"/>
      <c r="AC284" s="656"/>
    </row>
    <row r="285" spans="1:29">
      <c r="A285" s="656"/>
      <c r="B285" s="656"/>
      <c r="C285" s="656"/>
      <c r="D285" s="656"/>
      <c r="E285" s="656"/>
      <c r="F285" s="656"/>
      <c r="G285" s="656"/>
      <c r="H285" s="656"/>
      <c r="I285" s="656"/>
      <c r="J285" s="656"/>
      <c r="K285" s="656"/>
      <c r="L285" s="656"/>
      <c r="M285" s="293"/>
      <c r="N285" s="789"/>
      <c r="O285" s="789"/>
      <c r="P285" s="789"/>
      <c r="Q285" s="789"/>
      <c r="R285" s="789"/>
      <c r="S285" s="789"/>
      <c r="T285" s="656"/>
      <c r="U285" s="293"/>
      <c r="V285" s="656"/>
      <c r="W285" s="656"/>
      <c r="X285" s="656"/>
      <c r="Y285" s="293"/>
      <c r="Z285" s="656"/>
      <c r="AA285" s="656"/>
      <c r="AB285" s="656"/>
      <c r="AC285" s="656"/>
    </row>
    <row r="286" spans="1:29">
      <c r="A286" s="656"/>
      <c r="B286" s="656"/>
      <c r="C286" s="656"/>
      <c r="D286" s="656"/>
      <c r="E286" s="656"/>
      <c r="F286" s="656"/>
      <c r="G286" s="656"/>
      <c r="H286" s="656"/>
      <c r="I286" s="656"/>
      <c r="J286" s="656"/>
      <c r="K286" s="656"/>
      <c r="L286" s="656"/>
      <c r="M286" s="293"/>
      <c r="N286" s="789"/>
      <c r="O286" s="789"/>
      <c r="P286" s="789"/>
      <c r="Q286" s="789"/>
      <c r="R286" s="789"/>
      <c r="S286" s="789"/>
      <c r="T286" s="656"/>
      <c r="U286" s="293"/>
      <c r="V286" s="656"/>
      <c r="W286" s="656"/>
      <c r="X286" s="656"/>
      <c r="Y286" s="293"/>
      <c r="Z286" s="656"/>
      <c r="AA286" s="656"/>
      <c r="AB286" s="656"/>
      <c r="AC286" s="656"/>
    </row>
    <row r="287" spans="1:29">
      <c r="A287" s="656"/>
      <c r="B287" s="656"/>
      <c r="C287" s="656"/>
      <c r="D287" s="656"/>
      <c r="E287" s="656"/>
      <c r="F287" s="656"/>
      <c r="G287" s="656"/>
      <c r="H287" s="656"/>
      <c r="I287" s="656"/>
      <c r="J287" s="656"/>
      <c r="K287" s="656"/>
      <c r="L287" s="656"/>
      <c r="M287" s="293"/>
      <c r="N287" s="789"/>
      <c r="O287" s="789"/>
      <c r="P287" s="789"/>
      <c r="Q287" s="789"/>
      <c r="R287" s="789"/>
      <c r="S287" s="789"/>
      <c r="T287" s="656"/>
      <c r="U287" s="293"/>
      <c r="V287" s="656"/>
      <c r="W287" s="656"/>
      <c r="X287" s="656"/>
      <c r="Y287" s="293"/>
      <c r="Z287" s="656"/>
      <c r="AA287" s="656"/>
      <c r="AB287" s="656"/>
      <c r="AC287" s="656"/>
    </row>
    <row r="288" spans="1:29">
      <c r="A288" s="656"/>
      <c r="B288" s="656"/>
      <c r="C288" s="656"/>
      <c r="D288" s="656"/>
      <c r="E288" s="656"/>
      <c r="F288" s="656"/>
      <c r="G288" s="656"/>
      <c r="H288" s="656"/>
      <c r="I288" s="656"/>
      <c r="J288" s="656"/>
      <c r="K288" s="656"/>
      <c r="L288" s="656"/>
      <c r="M288" s="293"/>
      <c r="N288" s="789"/>
      <c r="O288" s="789"/>
      <c r="P288" s="789"/>
      <c r="Q288" s="789"/>
      <c r="R288" s="789"/>
      <c r="S288" s="789"/>
      <c r="T288" s="656"/>
      <c r="U288" s="293"/>
      <c r="V288" s="656"/>
      <c r="W288" s="656"/>
      <c r="X288" s="656"/>
      <c r="Y288" s="293"/>
      <c r="Z288" s="656"/>
      <c r="AA288" s="656"/>
      <c r="AB288" s="656"/>
      <c r="AC288" s="656"/>
    </row>
    <row r="289" spans="1:29">
      <c r="A289" s="656"/>
      <c r="B289" s="656"/>
      <c r="C289" s="656"/>
      <c r="D289" s="656"/>
      <c r="E289" s="656"/>
      <c r="F289" s="656"/>
      <c r="G289" s="656"/>
      <c r="H289" s="656"/>
      <c r="I289" s="656"/>
      <c r="J289" s="656"/>
      <c r="K289" s="656"/>
      <c r="L289" s="656"/>
      <c r="M289" s="293"/>
      <c r="N289" s="789"/>
      <c r="O289" s="789"/>
      <c r="P289" s="789"/>
      <c r="Q289" s="789"/>
      <c r="R289" s="789"/>
      <c r="S289" s="789"/>
      <c r="T289" s="656"/>
      <c r="U289" s="293"/>
      <c r="V289" s="656"/>
      <c r="W289" s="656"/>
      <c r="X289" s="656"/>
      <c r="Y289" s="293"/>
      <c r="Z289" s="656"/>
      <c r="AA289" s="656"/>
      <c r="AB289" s="656"/>
      <c r="AC289" s="656"/>
    </row>
    <row r="290" spans="1:29">
      <c r="A290" s="656"/>
      <c r="B290" s="656"/>
      <c r="C290" s="656"/>
      <c r="D290" s="656"/>
      <c r="E290" s="656"/>
      <c r="F290" s="656"/>
      <c r="G290" s="656"/>
      <c r="H290" s="656"/>
      <c r="I290" s="656"/>
      <c r="J290" s="656"/>
      <c r="K290" s="656"/>
      <c r="L290" s="656"/>
      <c r="M290" s="293"/>
      <c r="N290" s="789"/>
      <c r="O290" s="789"/>
      <c r="P290" s="789"/>
      <c r="Q290" s="789"/>
      <c r="R290" s="789"/>
      <c r="S290" s="789"/>
      <c r="T290" s="656"/>
      <c r="U290" s="293"/>
      <c r="V290" s="656"/>
      <c r="W290" s="656"/>
      <c r="X290" s="656"/>
      <c r="Y290" s="293"/>
      <c r="Z290" s="656"/>
      <c r="AA290" s="656"/>
      <c r="AB290" s="656"/>
      <c r="AC290" s="656"/>
    </row>
    <row r="291" spans="1:29">
      <c r="A291" s="656"/>
      <c r="B291" s="656"/>
      <c r="C291" s="656"/>
      <c r="D291" s="656"/>
      <c r="E291" s="656"/>
      <c r="F291" s="656"/>
      <c r="G291" s="656"/>
      <c r="H291" s="656"/>
      <c r="I291" s="656"/>
      <c r="J291" s="656"/>
      <c r="K291" s="656"/>
      <c r="L291" s="656"/>
      <c r="M291" s="293"/>
      <c r="N291" s="789"/>
      <c r="O291" s="789"/>
      <c r="P291" s="789"/>
      <c r="Q291" s="789"/>
      <c r="R291" s="789"/>
      <c r="S291" s="789"/>
      <c r="T291" s="656"/>
      <c r="U291" s="293"/>
      <c r="V291" s="656"/>
      <c r="W291" s="656"/>
      <c r="X291" s="656"/>
      <c r="Y291" s="293"/>
      <c r="Z291" s="656"/>
      <c r="AA291" s="656"/>
      <c r="AB291" s="656"/>
      <c r="AC291" s="656"/>
    </row>
    <row r="292" spans="1:29">
      <c r="A292" s="656"/>
      <c r="B292" s="656"/>
      <c r="C292" s="656"/>
      <c r="D292" s="656"/>
      <c r="E292" s="656"/>
      <c r="F292" s="656"/>
      <c r="G292" s="656"/>
      <c r="H292" s="656"/>
      <c r="I292" s="656"/>
      <c r="J292" s="656"/>
      <c r="K292" s="656"/>
      <c r="L292" s="656"/>
      <c r="M292" s="293"/>
      <c r="N292" s="789"/>
      <c r="O292" s="789"/>
      <c r="P292" s="789"/>
      <c r="Q292" s="789"/>
      <c r="R292" s="789"/>
      <c r="S292" s="789"/>
      <c r="T292" s="656"/>
      <c r="U292" s="293"/>
      <c r="V292" s="656"/>
      <c r="W292" s="656"/>
      <c r="X292" s="656"/>
      <c r="Y292" s="293"/>
      <c r="Z292" s="656"/>
      <c r="AA292" s="656"/>
      <c r="AB292" s="656"/>
      <c r="AC292" s="656"/>
    </row>
    <row r="293" spans="1:29">
      <c r="A293" s="656"/>
      <c r="B293" s="656"/>
      <c r="C293" s="656"/>
      <c r="D293" s="656"/>
      <c r="E293" s="656"/>
      <c r="F293" s="656"/>
      <c r="G293" s="656"/>
      <c r="H293" s="656"/>
      <c r="I293" s="656"/>
      <c r="J293" s="656"/>
      <c r="K293" s="656"/>
      <c r="L293" s="656"/>
      <c r="M293" s="293"/>
      <c r="N293" s="789"/>
      <c r="O293" s="789"/>
      <c r="P293" s="789"/>
      <c r="Q293" s="789"/>
      <c r="R293" s="789"/>
      <c r="S293" s="789"/>
      <c r="T293" s="656"/>
      <c r="U293" s="293"/>
      <c r="V293" s="656"/>
      <c r="W293" s="656"/>
      <c r="X293" s="656"/>
      <c r="Y293" s="293"/>
      <c r="Z293" s="656"/>
      <c r="AA293" s="656"/>
      <c r="AB293" s="656"/>
      <c r="AC293" s="656"/>
    </row>
    <row r="294" spans="1:29">
      <c r="A294" s="656"/>
      <c r="B294" s="656"/>
      <c r="C294" s="656"/>
      <c r="D294" s="656"/>
      <c r="E294" s="656"/>
      <c r="F294" s="656"/>
      <c r="G294" s="656"/>
      <c r="H294" s="656"/>
      <c r="I294" s="656"/>
      <c r="J294" s="656"/>
      <c r="K294" s="656"/>
      <c r="L294" s="656"/>
      <c r="M294" s="293"/>
      <c r="N294" s="789"/>
      <c r="O294" s="789"/>
      <c r="P294" s="789"/>
      <c r="Q294" s="789"/>
      <c r="R294" s="789"/>
      <c r="S294" s="789"/>
      <c r="T294" s="656"/>
      <c r="U294" s="293"/>
      <c r="V294" s="656"/>
      <c r="W294" s="656"/>
      <c r="X294" s="656"/>
      <c r="Y294" s="293"/>
      <c r="Z294" s="656"/>
      <c r="AA294" s="656"/>
      <c r="AB294" s="656"/>
      <c r="AC294" s="656"/>
    </row>
    <row r="295" spans="1:29">
      <c r="A295" s="656"/>
      <c r="B295" s="656"/>
      <c r="C295" s="656"/>
      <c r="D295" s="656"/>
      <c r="E295" s="656"/>
      <c r="F295" s="656"/>
      <c r="G295" s="656"/>
      <c r="H295" s="656"/>
      <c r="I295" s="656"/>
      <c r="J295" s="656"/>
      <c r="K295" s="656"/>
      <c r="L295" s="656"/>
      <c r="M295" s="293"/>
      <c r="N295" s="789"/>
      <c r="O295" s="789"/>
      <c r="P295" s="789"/>
      <c r="Q295" s="789"/>
      <c r="R295" s="789"/>
      <c r="S295" s="789"/>
      <c r="T295" s="656"/>
      <c r="U295" s="293"/>
      <c r="V295" s="656"/>
      <c r="W295" s="656"/>
      <c r="X295" s="656"/>
      <c r="Y295" s="293"/>
      <c r="Z295" s="656"/>
      <c r="AA295" s="656"/>
      <c r="AB295" s="656"/>
      <c r="AC295" s="656"/>
    </row>
    <row r="296" spans="1:29">
      <c r="A296" s="656"/>
      <c r="B296" s="656"/>
      <c r="C296" s="656"/>
      <c r="D296" s="656"/>
      <c r="E296" s="656"/>
      <c r="F296" s="656"/>
      <c r="G296" s="656"/>
      <c r="H296" s="656"/>
      <c r="I296" s="656"/>
      <c r="J296" s="656"/>
      <c r="K296" s="656"/>
      <c r="L296" s="656"/>
      <c r="M296" s="293"/>
      <c r="N296" s="789"/>
      <c r="O296" s="789"/>
      <c r="P296" s="789"/>
      <c r="Q296" s="789"/>
      <c r="R296" s="789"/>
      <c r="S296" s="789"/>
      <c r="T296" s="656"/>
      <c r="U296" s="293"/>
      <c r="V296" s="656"/>
      <c r="W296" s="656"/>
      <c r="X296" s="656"/>
      <c r="Y296" s="293"/>
      <c r="Z296" s="656"/>
      <c r="AA296" s="656"/>
      <c r="AB296" s="656"/>
      <c r="AC296" s="656"/>
    </row>
    <row r="297" spans="1:29">
      <c r="A297" s="656"/>
      <c r="B297" s="656"/>
      <c r="C297" s="656"/>
      <c r="D297" s="656"/>
      <c r="E297" s="656"/>
      <c r="F297" s="656"/>
      <c r="G297" s="656"/>
      <c r="H297" s="656"/>
      <c r="I297" s="656"/>
      <c r="J297" s="656"/>
      <c r="K297" s="656"/>
      <c r="L297" s="656"/>
      <c r="M297" s="293"/>
      <c r="N297" s="789"/>
      <c r="O297" s="789"/>
      <c r="P297" s="789"/>
      <c r="Q297" s="789"/>
      <c r="R297" s="789"/>
      <c r="S297" s="789"/>
      <c r="T297" s="656"/>
      <c r="U297" s="293"/>
      <c r="V297" s="656"/>
      <c r="W297" s="656"/>
      <c r="X297" s="656"/>
      <c r="Y297" s="293"/>
      <c r="Z297" s="656"/>
      <c r="AA297" s="656"/>
      <c r="AB297" s="656"/>
      <c r="AC297" s="656"/>
    </row>
    <row r="298" spans="1:29">
      <c r="A298" s="656"/>
      <c r="B298" s="656"/>
      <c r="C298" s="656"/>
      <c r="D298" s="656"/>
      <c r="E298" s="656"/>
      <c r="F298" s="656"/>
      <c r="G298" s="656"/>
      <c r="H298" s="656"/>
      <c r="I298" s="656"/>
      <c r="J298" s="656"/>
      <c r="K298" s="656"/>
      <c r="L298" s="656"/>
      <c r="M298" s="293"/>
      <c r="N298" s="789"/>
      <c r="O298" s="789"/>
      <c r="P298" s="789"/>
      <c r="Q298" s="789"/>
      <c r="R298" s="789"/>
      <c r="S298" s="789"/>
      <c r="T298" s="656"/>
      <c r="U298" s="293"/>
      <c r="V298" s="656"/>
      <c r="W298" s="656"/>
      <c r="X298" s="656"/>
      <c r="Y298" s="293"/>
      <c r="Z298" s="656"/>
      <c r="AA298" s="656"/>
      <c r="AB298" s="656"/>
      <c r="AC298" s="656"/>
    </row>
    <row r="299" spans="1:29">
      <c r="A299" s="656"/>
      <c r="B299" s="656"/>
      <c r="C299" s="656"/>
      <c r="D299" s="656"/>
      <c r="E299" s="656"/>
      <c r="F299" s="656"/>
      <c r="G299" s="656"/>
      <c r="H299" s="656"/>
      <c r="I299" s="656"/>
      <c r="J299" s="656"/>
      <c r="K299" s="656"/>
      <c r="L299" s="656"/>
      <c r="M299" s="293"/>
      <c r="N299" s="789"/>
      <c r="O299" s="789"/>
      <c r="P299" s="789"/>
      <c r="Q299" s="789"/>
      <c r="R299" s="789"/>
      <c r="S299" s="789"/>
      <c r="T299" s="656"/>
      <c r="U299" s="293"/>
      <c r="V299" s="656"/>
      <c r="W299" s="656"/>
      <c r="X299" s="656"/>
      <c r="Y299" s="293"/>
      <c r="Z299" s="656"/>
      <c r="AA299" s="656"/>
      <c r="AB299" s="656"/>
      <c r="AC299" s="656"/>
    </row>
    <row r="300" spans="1:29">
      <c r="A300" s="656"/>
      <c r="B300" s="656"/>
      <c r="C300" s="656"/>
      <c r="D300" s="656"/>
      <c r="E300" s="656"/>
      <c r="F300" s="656"/>
      <c r="G300" s="656"/>
      <c r="H300" s="656"/>
      <c r="I300" s="656"/>
      <c r="J300" s="656"/>
      <c r="K300" s="656"/>
      <c r="L300" s="656"/>
      <c r="M300" s="293"/>
      <c r="N300" s="789"/>
      <c r="O300" s="789"/>
      <c r="P300" s="789"/>
      <c r="Q300" s="789"/>
      <c r="R300" s="789"/>
      <c r="S300" s="789"/>
      <c r="T300" s="656"/>
      <c r="U300" s="293"/>
      <c r="V300" s="656"/>
      <c r="W300" s="656"/>
      <c r="X300" s="656"/>
      <c r="Y300" s="293"/>
      <c r="Z300" s="656"/>
      <c r="AA300" s="656"/>
      <c r="AB300" s="656"/>
      <c r="AC300" s="656"/>
    </row>
    <row r="301" spans="1:29">
      <c r="A301" s="656"/>
      <c r="B301" s="656"/>
      <c r="C301" s="656"/>
      <c r="D301" s="656"/>
      <c r="E301" s="656"/>
      <c r="F301" s="656"/>
      <c r="G301" s="656"/>
      <c r="H301" s="656"/>
      <c r="I301" s="656"/>
      <c r="J301" s="656"/>
      <c r="K301" s="656"/>
      <c r="L301" s="656"/>
      <c r="M301" s="293"/>
      <c r="N301" s="789"/>
      <c r="O301" s="789"/>
      <c r="P301" s="789"/>
      <c r="Q301" s="789"/>
      <c r="R301" s="789"/>
      <c r="S301" s="789"/>
      <c r="T301" s="656"/>
      <c r="U301" s="293"/>
      <c r="V301" s="656"/>
      <c r="W301" s="656"/>
      <c r="X301" s="656"/>
      <c r="Y301" s="293"/>
      <c r="Z301" s="656"/>
      <c r="AA301" s="656"/>
      <c r="AB301" s="656"/>
      <c r="AC301" s="656"/>
    </row>
    <row r="302" spans="1:29">
      <c r="A302" s="656"/>
      <c r="B302" s="656"/>
      <c r="C302" s="656"/>
      <c r="D302" s="656"/>
      <c r="E302" s="656"/>
      <c r="F302" s="656"/>
      <c r="G302" s="656"/>
      <c r="H302" s="656"/>
      <c r="I302" s="656"/>
      <c r="J302" s="656"/>
      <c r="K302" s="656"/>
      <c r="L302" s="656"/>
      <c r="M302" s="293"/>
      <c r="N302" s="789"/>
      <c r="O302" s="789"/>
      <c r="P302" s="789"/>
      <c r="Q302" s="789"/>
      <c r="R302" s="789"/>
      <c r="S302" s="789"/>
      <c r="T302" s="656"/>
      <c r="U302" s="293"/>
      <c r="V302" s="656"/>
      <c r="W302" s="656"/>
      <c r="X302" s="656"/>
      <c r="Y302" s="293"/>
      <c r="Z302" s="656"/>
      <c r="AA302" s="656"/>
      <c r="AB302" s="656"/>
      <c r="AC302" s="656"/>
    </row>
    <row r="303" spans="1:29">
      <c r="A303" s="656"/>
      <c r="B303" s="656"/>
      <c r="C303" s="656"/>
      <c r="D303" s="656"/>
      <c r="E303" s="656"/>
      <c r="F303" s="656"/>
      <c r="G303" s="656"/>
      <c r="H303" s="656"/>
      <c r="I303" s="656"/>
      <c r="J303" s="656"/>
      <c r="K303" s="656"/>
      <c r="L303" s="656"/>
      <c r="M303" s="293"/>
      <c r="N303" s="789"/>
      <c r="O303" s="789"/>
      <c r="P303" s="789"/>
      <c r="Q303" s="789"/>
      <c r="R303" s="789"/>
      <c r="S303" s="789"/>
      <c r="T303" s="656"/>
      <c r="U303" s="293"/>
      <c r="V303" s="656"/>
      <c r="W303" s="656"/>
      <c r="X303" s="656"/>
      <c r="Y303" s="293"/>
      <c r="Z303" s="656"/>
      <c r="AA303" s="656"/>
      <c r="AB303" s="656"/>
      <c r="AC303" s="656"/>
    </row>
    <row r="304" spans="1:29">
      <c r="A304" s="656"/>
      <c r="B304" s="656"/>
      <c r="C304" s="656"/>
      <c r="D304" s="656"/>
      <c r="E304" s="656"/>
      <c r="F304" s="656"/>
      <c r="G304" s="656"/>
      <c r="H304" s="656"/>
      <c r="I304" s="656"/>
      <c r="J304" s="656"/>
      <c r="K304" s="656"/>
      <c r="L304" s="656"/>
      <c r="M304" s="293"/>
      <c r="N304" s="789"/>
      <c r="O304" s="789"/>
      <c r="P304" s="789"/>
      <c r="Q304" s="789"/>
      <c r="R304" s="789"/>
      <c r="S304" s="789"/>
      <c r="T304" s="656"/>
      <c r="U304" s="293"/>
      <c r="V304" s="656"/>
      <c r="W304" s="656"/>
      <c r="X304" s="656"/>
      <c r="Y304" s="293"/>
      <c r="Z304" s="656"/>
      <c r="AA304" s="656"/>
      <c r="AB304" s="656"/>
      <c r="AC304" s="656"/>
    </row>
    <row r="305" spans="1:29">
      <c r="A305" s="656"/>
      <c r="B305" s="656"/>
      <c r="C305" s="656"/>
      <c r="D305" s="656"/>
      <c r="E305" s="656"/>
      <c r="F305" s="656"/>
      <c r="G305" s="656"/>
      <c r="H305" s="656"/>
      <c r="I305" s="656"/>
      <c r="J305" s="656"/>
      <c r="K305" s="656"/>
      <c r="L305" s="656"/>
      <c r="M305" s="293"/>
      <c r="N305" s="789"/>
      <c r="O305" s="789"/>
      <c r="P305" s="789"/>
      <c r="Q305" s="789"/>
      <c r="R305" s="789"/>
      <c r="S305" s="789"/>
      <c r="T305" s="656"/>
      <c r="U305" s="293"/>
      <c r="V305" s="656"/>
      <c r="W305" s="656"/>
      <c r="X305" s="656"/>
      <c r="Y305" s="293"/>
      <c r="Z305" s="656"/>
      <c r="AA305" s="656"/>
      <c r="AB305" s="656"/>
      <c r="AC305" s="656"/>
    </row>
    <row r="306" spans="1:29">
      <c r="A306" s="656"/>
      <c r="B306" s="656"/>
      <c r="C306" s="656"/>
      <c r="D306" s="656"/>
      <c r="E306" s="656"/>
      <c r="F306" s="656"/>
      <c r="G306" s="656"/>
      <c r="H306" s="656"/>
      <c r="I306" s="656"/>
      <c r="J306" s="656"/>
      <c r="K306" s="656"/>
      <c r="L306" s="656"/>
      <c r="M306" s="293"/>
      <c r="N306" s="789"/>
      <c r="O306" s="789"/>
      <c r="P306" s="789"/>
      <c r="Q306" s="789"/>
      <c r="R306" s="789"/>
      <c r="S306" s="789"/>
      <c r="T306" s="656"/>
      <c r="U306" s="293"/>
      <c r="V306" s="656"/>
      <c r="W306" s="656"/>
      <c r="X306" s="656"/>
      <c r="Y306" s="293"/>
      <c r="Z306" s="656"/>
      <c r="AA306" s="656"/>
      <c r="AB306" s="656"/>
      <c r="AC306" s="656"/>
    </row>
    <row r="307" spans="1:29">
      <c r="A307" s="656"/>
      <c r="B307" s="656"/>
      <c r="C307" s="656"/>
      <c r="D307" s="656"/>
      <c r="E307" s="656"/>
      <c r="F307" s="656"/>
      <c r="G307" s="656"/>
      <c r="H307" s="656"/>
      <c r="I307" s="656"/>
      <c r="J307" s="656"/>
      <c r="K307" s="656"/>
      <c r="L307" s="656"/>
      <c r="M307" s="293"/>
      <c r="N307" s="789"/>
      <c r="O307" s="789"/>
      <c r="P307" s="789"/>
      <c r="Q307" s="789"/>
      <c r="R307" s="789"/>
      <c r="S307" s="789"/>
      <c r="T307" s="656"/>
      <c r="U307" s="293"/>
      <c r="V307" s="656"/>
      <c r="W307" s="656"/>
      <c r="X307" s="656"/>
      <c r="Y307" s="293"/>
      <c r="Z307" s="656"/>
      <c r="AA307" s="656"/>
      <c r="AB307" s="656"/>
      <c r="AC307" s="656"/>
    </row>
    <row r="308" spans="1:29">
      <c r="A308" s="656"/>
      <c r="B308" s="656"/>
      <c r="C308" s="656"/>
      <c r="D308" s="656"/>
      <c r="E308" s="656"/>
      <c r="F308" s="656"/>
      <c r="G308" s="656"/>
      <c r="H308" s="656"/>
      <c r="I308" s="656"/>
      <c r="J308" s="656"/>
      <c r="K308" s="656"/>
      <c r="L308" s="656"/>
      <c r="M308" s="293"/>
      <c r="N308" s="789"/>
      <c r="O308" s="789"/>
      <c r="P308" s="789"/>
      <c r="Q308" s="789"/>
      <c r="R308" s="789"/>
      <c r="S308" s="789"/>
      <c r="T308" s="656"/>
      <c r="U308" s="293"/>
      <c r="V308" s="656"/>
      <c r="W308" s="656"/>
      <c r="X308" s="656"/>
      <c r="Y308" s="293"/>
      <c r="Z308" s="656"/>
      <c r="AA308" s="656"/>
      <c r="AB308" s="656"/>
      <c r="AC308" s="656"/>
    </row>
    <row r="309" spans="1:29">
      <c r="A309" s="656"/>
      <c r="B309" s="656"/>
      <c r="C309" s="656"/>
      <c r="D309" s="656"/>
      <c r="E309" s="656"/>
      <c r="F309" s="656"/>
      <c r="G309" s="656"/>
      <c r="H309" s="656"/>
      <c r="I309" s="656"/>
      <c r="J309" s="656"/>
      <c r="K309" s="656"/>
      <c r="L309" s="656"/>
      <c r="M309" s="293"/>
      <c r="N309" s="789"/>
      <c r="O309" s="789"/>
      <c r="P309" s="789"/>
      <c r="Q309" s="789"/>
      <c r="R309" s="789"/>
      <c r="S309" s="789"/>
      <c r="T309" s="656"/>
      <c r="U309" s="293"/>
      <c r="V309" s="656"/>
      <c r="W309" s="656"/>
      <c r="X309" s="656"/>
      <c r="Y309" s="293"/>
      <c r="Z309" s="656"/>
      <c r="AA309" s="656"/>
      <c r="AB309" s="656"/>
      <c r="AC309" s="656"/>
    </row>
    <row r="310" spans="1:29">
      <c r="A310" s="656"/>
      <c r="B310" s="656"/>
      <c r="C310" s="656"/>
      <c r="D310" s="656"/>
      <c r="E310" s="656"/>
      <c r="F310" s="656"/>
      <c r="G310" s="656"/>
      <c r="H310" s="656"/>
      <c r="I310" s="656"/>
      <c r="J310" s="656"/>
      <c r="K310" s="656"/>
      <c r="L310" s="656"/>
      <c r="M310" s="293"/>
      <c r="N310" s="789"/>
      <c r="O310" s="789"/>
      <c r="P310" s="789"/>
      <c r="Q310" s="789"/>
      <c r="R310" s="789"/>
      <c r="S310" s="789"/>
      <c r="T310" s="656"/>
      <c r="U310" s="293"/>
      <c r="V310" s="656"/>
      <c r="W310" s="656"/>
      <c r="X310" s="656"/>
      <c r="Y310" s="293"/>
      <c r="Z310" s="656"/>
      <c r="AA310" s="656"/>
      <c r="AB310" s="656"/>
      <c r="AC310" s="656"/>
    </row>
    <row r="311" spans="1:29">
      <c r="A311" s="656"/>
      <c r="B311" s="656"/>
      <c r="C311" s="656"/>
      <c r="D311" s="656"/>
      <c r="E311" s="656"/>
      <c r="F311" s="656"/>
      <c r="G311" s="656"/>
      <c r="H311" s="656"/>
      <c r="I311" s="656"/>
      <c r="J311" s="656"/>
      <c r="K311" s="656"/>
      <c r="L311" s="656"/>
      <c r="M311" s="293"/>
      <c r="N311" s="789"/>
      <c r="O311" s="789"/>
      <c r="P311" s="789"/>
      <c r="Q311" s="789"/>
      <c r="R311" s="789"/>
      <c r="S311" s="789"/>
      <c r="T311" s="656"/>
      <c r="U311" s="293"/>
      <c r="V311" s="656"/>
      <c r="W311" s="656"/>
      <c r="X311" s="656"/>
      <c r="Y311" s="293"/>
      <c r="Z311" s="656"/>
      <c r="AA311" s="656"/>
      <c r="AB311" s="656"/>
      <c r="AC311" s="656"/>
    </row>
    <row r="312" spans="1:29">
      <c r="A312" s="656"/>
      <c r="B312" s="656"/>
      <c r="C312" s="656"/>
      <c r="D312" s="656"/>
      <c r="E312" s="656"/>
      <c r="F312" s="656"/>
      <c r="G312" s="656"/>
      <c r="H312" s="656"/>
      <c r="I312" s="656"/>
      <c r="J312" s="656"/>
      <c r="K312" s="656"/>
      <c r="L312" s="656"/>
      <c r="M312" s="293"/>
      <c r="N312" s="789"/>
      <c r="O312" s="789"/>
      <c r="P312" s="789"/>
      <c r="Q312" s="789"/>
      <c r="R312" s="789"/>
      <c r="S312" s="789"/>
      <c r="T312" s="656"/>
      <c r="U312" s="293"/>
      <c r="V312" s="656"/>
      <c r="W312" s="656"/>
      <c r="X312" s="656"/>
      <c r="Y312" s="293"/>
      <c r="Z312" s="656"/>
      <c r="AA312" s="656"/>
      <c r="AB312" s="656"/>
      <c r="AC312" s="656"/>
    </row>
    <row r="313" spans="1:29">
      <c r="A313" s="656"/>
      <c r="B313" s="656"/>
      <c r="C313" s="656"/>
      <c r="D313" s="656"/>
      <c r="E313" s="656"/>
      <c r="F313" s="656"/>
      <c r="G313" s="656"/>
      <c r="H313" s="656"/>
      <c r="I313" s="656"/>
      <c r="J313" s="656"/>
      <c r="K313" s="656"/>
      <c r="L313" s="656"/>
      <c r="M313" s="293"/>
      <c r="N313" s="789"/>
      <c r="O313" s="789"/>
      <c r="P313" s="789"/>
      <c r="Q313" s="789"/>
      <c r="R313" s="789"/>
      <c r="S313" s="789"/>
      <c r="T313" s="656"/>
      <c r="U313" s="293"/>
      <c r="V313" s="656"/>
      <c r="W313" s="656"/>
      <c r="X313" s="656"/>
      <c r="Y313" s="293"/>
      <c r="Z313" s="656"/>
      <c r="AA313" s="656"/>
      <c r="AB313" s="656"/>
      <c r="AC313" s="656"/>
    </row>
    <row r="314" spans="1:29">
      <c r="A314" s="656"/>
      <c r="B314" s="656"/>
      <c r="C314" s="656"/>
      <c r="D314" s="656"/>
      <c r="E314" s="656"/>
      <c r="F314" s="656"/>
      <c r="G314" s="656"/>
      <c r="H314" s="656"/>
      <c r="I314" s="656"/>
      <c r="J314" s="656"/>
      <c r="K314" s="656"/>
      <c r="L314" s="656"/>
      <c r="M314" s="293"/>
      <c r="N314" s="789"/>
      <c r="O314" s="789"/>
      <c r="P314" s="789"/>
      <c r="Q314" s="789"/>
      <c r="R314" s="789"/>
      <c r="S314" s="789"/>
      <c r="T314" s="656"/>
      <c r="U314" s="293"/>
      <c r="V314" s="656"/>
      <c r="W314" s="656"/>
      <c r="X314" s="656"/>
      <c r="Y314" s="293"/>
      <c r="Z314" s="656"/>
      <c r="AA314" s="656"/>
      <c r="AB314" s="656"/>
      <c r="AC314" s="656"/>
    </row>
    <row r="315" spans="1:29">
      <c r="A315" s="656"/>
      <c r="B315" s="656"/>
      <c r="C315" s="656"/>
      <c r="D315" s="656"/>
      <c r="E315" s="656"/>
      <c r="F315" s="656"/>
      <c r="G315" s="656"/>
      <c r="H315" s="656"/>
      <c r="I315" s="656"/>
      <c r="J315" s="656"/>
      <c r="K315" s="656"/>
      <c r="L315" s="656"/>
      <c r="M315" s="293"/>
      <c r="N315" s="789"/>
      <c r="O315" s="789"/>
      <c r="P315" s="789"/>
      <c r="Q315" s="789"/>
      <c r="R315" s="789"/>
      <c r="S315" s="789"/>
      <c r="T315" s="656"/>
      <c r="U315" s="293"/>
      <c r="V315" s="656"/>
      <c r="W315" s="656"/>
      <c r="X315" s="656"/>
      <c r="Y315" s="293"/>
      <c r="Z315" s="656"/>
      <c r="AA315" s="656"/>
      <c r="AB315" s="656"/>
      <c r="AC315" s="656"/>
    </row>
    <row r="316" spans="1:29">
      <c r="F316" s="662"/>
      <c r="G316" s="662"/>
      <c r="I316" s="656"/>
      <c r="J316" s="664"/>
      <c r="N316"/>
      <c r="O316"/>
      <c r="P316"/>
      <c r="Q316" s="293"/>
      <c r="R316" s="700"/>
      <c r="S316" s="701"/>
      <c r="T316" s="701"/>
      <c r="U316" s="701"/>
      <c r="V316" s="701"/>
      <c r="W316" s="701"/>
      <c r="X316" s="702"/>
      <c r="Z316" s="293"/>
      <c r="AA316"/>
      <c r="AB316" s="293"/>
      <c r="AC316"/>
    </row>
    <row r="317" spans="1:29">
      <c r="F317" s="662"/>
      <c r="G317" s="662"/>
      <c r="I317" s="656"/>
      <c r="J317" s="664"/>
      <c r="N317"/>
      <c r="O317"/>
      <c r="P317"/>
      <c r="Q317" s="293"/>
      <c r="R317" s="700"/>
      <c r="S317" s="701"/>
      <c r="T317" s="701"/>
      <c r="U317" s="701"/>
      <c r="V317" s="701"/>
      <c r="W317" s="701"/>
      <c r="X317" s="702"/>
      <c r="Z317" s="293"/>
      <c r="AA317"/>
      <c r="AB317" s="293"/>
      <c r="AC317"/>
    </row>
    <row r="318" spans="1:29">
      <c r="F318" s="662"/>
      <c r="G318" s="662"/>
      <c r="I318" s="656"/>
      <c r="J318" s="664"/>
      <c r="N318"/>
      <c r="O318"/>
      <c r="P318"/>
      <c r="Q318" s="293"/>
      <c r="R318" s="700"/>
      <c r="S318" s="701"/>
      <c r="T318" s="701"/>
      <c r="U318" s="701"/>
      <c r="V318" s="701"/>
      <c r="W318" s="701"/>
      <c r="X318" s="702"/>
      <c r="Z318" s="293"/>
      <c r="AA318"/>
      <c r="AB318" s="293"/>
      <c r="AC318"/>
    </row>
    <row r="319" spans="1:29">
      <c r="F319" s="662"/>
      <c r="G319" s="662"/>
      <c r="I319" s="656"/>
      <c r="J319" s="664"/>
      <c r="N319"/>
      <c r="O319"/>
      <c r="P319"/>
      <c r="Q319" s="293"/>
      <c r="R319" s="700"/>
      <c r="S319" s="701"/>
      <c r="T319" s="701"/>
      <c r="U319" s="701"/>
      <c r="V319" s="701"/>
      <c r="W319" s="701"/>
      <c r="X319" s="702"/>
      <c r="Z319" s="293"/>
      <c r="AA319"/>
      <c r="AB319" s="293"/>
      <c r="AC319"/>
    </row>
    <row r="320" spans="1:29">
      <c r="F320" s="662"/>
      <c r="G320" s="662"/>
      <c r="I320" s="656"/>
      <c r="J320" s="664"/>
      <c r="N320"/>
      <c r="O320"/>
      <c r="P320"/>
      <c r="Q320" s="293"/>
      <c r="R320" s="700"/>
      <c r="S320" s="701"/>
      <c r="T320" s="701"/>
      <c r="U320" s="701"/>
      <c r="V320" s="701"/>
      <c r="W320" s="701"/>
      <c r="X320" s="702"/>
      <c r="Z320" s="293"/>
      <c r="AA320"/>
      <c r="AB320" s="293"/>
      <c r="AC320"/>
    </row>
    <row r="321" spans="6:29">
      <c r="F321" s="662"/>
      <c r="G321" s="662"/>
      <c r="I321" s="656"/>
      <c r="J321" s="664"/>
      <c r="N321"/>
      <c r="O321"/>
      <c r="P321"/>
      <c r="Q321" s="293"/>
      <c r="R321" s="700"/>
      <c r="S321" s="701"/>
      <c r="T321" s="701"/>
      <c r="U321" s="701"/>
      <c r="V321" s="701"/>
      <c r="W321" s="701"/>
      <c r="X321" s="702"/>
      <c r="Z321" s="293"/>
      <c r="AA321"/>
      <c r="AB321" s="293"/>
      <c r="AC321"/>
    </row>
    <row r="322" spans="6:29">
      <c r="F322" s="662"/>
      <c r="G322" s="662"/>
      <c r="I322" s="656"/>
      <c r="J322" s="664"/>
      <c r="N322"/>
      <c r="O322"/>
      <c r="P322"/>
      <c r="Q322" s="293"/>
      <c r="R322" s="700"/>
      <c r="S322" s="701"/>
      <c r="T322" s="701"/>
      <c r="U322" s="701"/>
      <c r="V322" s="701"/>
      <c r="W322" s="701"/>
      <c r="X322" s="702"/>
      <c r="Z322" s="293"/>
      <c r="AA322"/>
      <c r="AB322" s="293"/>
      <c r="AC322"/>
    </row>
    <row r="323" spans="6:29">
      <c r="F323" s="662"/>
      <c r="G323" s="662"/>
      <c r="I323" s="656"/>
      <c r="J323" s="664"/>
      <c r="N323"/>
      <c r="O323"/>
      <c r="P323"/>
      <c r="Q323" s="293"/>
      <c r="R323" s="700"/>
      <c r="S323" s="701"/>
      <c r="T323" s="701"/>
      <c r="U323" s="701"/>
      <c r="V323" s="701"/>
      <c r="W323" s="701"/>
      <c r="X323" s="702"/>
      <c r="Z323" s="293"/>
      <c r="AA323"/>
      <c r="AB323" s="293"/>
      <c r="AC323"/>
    </row>
    <row r="324" spans="6:29">
      <c r="F324" s="662"/>
      <c r="G324" s="662"/>
      <c r="I324" s="656"/>
      <c r="J324" s="664"/>
      <c r="N324"/>
      <c r="O324"/>
      <c r="P324"/>
      <c r="Q324" s="293"/>
      <c r="R324" s="700"/>
      <c r="S324" s="701"/>
      <c r="T324" s="701"/>
      <c r="U324" s="701"/>
      <c r="V324" s="701"/>
      <c r="W324" s="701"/>
      <c r="X324" s="702"/>
      <c r="Z324" s="293"/>
      <c r="AA324"/>
      <c r="AB324" s="293"/>
      <c r="AC324"/>
    </row>
    <row r="325" spans="6:29">
      <c r="F325" s="662"/>
      <c r="G325" s="662"/>
      <c r="I325" s="656"/>
      <c r="J325" s="664"/>
      <c r="N325"/>
      <c r="O325"/>
      <c r="P325"/>
      <c r="Q325" s="293"/>
      <c r="R325" s="700"/>
      <c r="S325" s="701"/>
      <c r="T325" s="701"/>
      <c r="U325" s="701"/>
      <c r="V325" s="701"/>
      <c r="W325" s="701"/>
      <c r="X325" s="702"/>
      <c r="Z325" s="293"/>
      <c r="AA325"/>
      <c r="AB325" s="293"/>
      <c r="AC325"/>
    </row>
    <row r="326" spans="6:29">
      <c r="F326" s="662"/>
      <c r="G326" s="662"/>
      <c r="I326" s="656"/>
      <c r="J326" s="664"/>
      <c r="N326"/>
      <c r="O326"/>
      <c r="P326"/>
      <c r="Q326" s="293"/>
      <c r="R326" s="700"/>
      <c r="S326" s="701"/>
      <c r="T326" s="701"/>
      <c r="U326" s="701"/>
      <c r="V326" s="701"/>
      <c r="W326" s="701"/>
      <c r="X326" s="702"/>
      <c r="Z326" s="293"/>
      <c r="AA326"/>
      <c r="AB326" s="293"/>
      <c r="AC326"/>
    </row>
    <row r="327" spans="6:29">
      <c r="F327" s="662"/>
      <c r="G327" s="662"/>
      <c r="I327" s="656"/>
      <c r="J327" s="664"/>
      <c r="N327"/>
      <c r="O327"/>
      <c r="P327"/>
      <c r="Q327" s="293"/>
      <c r="R327" s="700"/>
      <c r="S327" s="701"/>
      <c r="T327" s="701"/>
      <c r="U327" s="701"/>
      <c r="V327" s="701"/>
      <c r="W327" s="701"/>
      <c r="X327" s="702"/>
      <c r="Z327" s="293"/>
      <c r="AA327"/>
      <c r="AB327" s="293"/>
      <c r="AC327"/>
    </row>
    <row r="328" spans="6:29">
      <c r="F328" s="662"/>
      <c r="G328" s="662"/>
      <c r="I328" s="656"/>
      <c r="J328" s="664"/>
      <c r="N328"/>
      <c r="O328"/>
      <c r="P328"/>
      <c r="Q328" s="293"/>
      <c r="R328" s="700"/>
      <c r="S328" s="701"/>
      <c r="T328" s="701"/>
      <c r="U328" s="701"/>
      <c r="V328" s="701"/>
      <c r="W328" s="701"/>
      <c r="X328" s="702"/>
      <c r="Z328" s="293"/>
      <c r="AA328"/>
      <c r="AB328" s="293"/>
      <c r="AC328"/>
    </row>
    <row r="346" spans="8:13">
      <c r="H346" s="662"/>
      <c r="I346" s="662"/>
      <c r="J346" s="662"/>
      <c r="K346" s="662"/>
      <c r="L346" s="662"/>
      <c r="M346" s="662"/>
    </row>
    <row r="347" spans="8:13">
      <c r="H347" s="662"/>
      <c r="I347" s="662"/>
      <c r="J347" s="662"/>
      <c r="K347" s="662"/>
      <c r="L347" s="662"/>
      <c r="M347" s="662"/>
    </row>
    <row r="348" spans="8:13">
      <c r="H348" s="662"/>
      <c r="I348" s="662"/>
      <c r="J348" s="662"/>
      <c r="K348" s="662"/>
      <c r="L348" s="662"/>
      <c r="M348" s="662"/>
    </row>
    <row r="349" spans="8:13">
      <c r="H349" s="662"/>
      <c r="I349" s="662"/>
      <c r="J349" s="662"/>
      <c r="K349" s="662"/>
      <c r="L349" s="662"/>
      <c r="M349" s="662"/>
    </row>
    <row r="350" spans="8:13">
      <c r="H350" s="662"/>
      <c r="I350" s="662"/>
      <c r="J350" s="662"/>
      <c r="K350" s="662"/>
      <c r="L350" s="662"/>
      <c r="M350" s="662"/>
    </row>
    <row r="351" spans="8:13">
      <c r="H351" s="662"/>
      <c r="I351" s="662"/>
      <c r="J351" s="662"/>
      <c r="K351" s="662"/>
      <c r="L351" s="662"/>
      <c r="M351" s="662"/>
    </row>
    <row r="352" spans="8:13">
      <c r="H352" s="662"/>
      <c r="I352" s="662"/>
      <c r="J352" s="662"/>
      <c r="K352" s="662"/>
      <c r="L352" s="662"/>
      <c r="M352" s="662"/>
    </row>
    <row r="353" spans="8:13">
      <c r="H353" s="662"/>
      <c r="I353" s="662"/>
      <c r="J353" s="662"/>
      <c r="K353" s="662"/>
      <c r="L353" s="662"/>
      <c r="M353" s="662"/>
    </row>
    <row r="354" spans="8:13">
      <c r="H354" s="662"/>
      <c r="I354" s="662"/>
      <c r="J354" s="662"/>
      <c r="K354" s="662"/>
      <c r="L354" s="662"/>
      <c r="M354" s="662"/>
    </row>
    <row r="355" spans="8:13">
      <c r="H355" s="662"/>
      <c r="I355" s="662"/>
      <c r="J355" s="662"/>
      <c r="K355" s="662"/>
      <c r="L355" s="662"/>
      <c r="M355" s="662"/>
    </row>
    <row r="356" spans="8:13">
      <c r="H356" s="662"/>
      <c r="I356" s="662"/>
      <c r="J356" s="662"/>
      <c r="K356" s="662"/>
      <c r="L356" s="662"/>
      <c r="M356" s="662"/>
    </row>
    <row r="357" spans="8:13">
      <c r="H357" s="662"/>
      <c r="I357" s="662"/>
      <c r="J357" s="662"/>
      <c r="K357" s="662"/>
      <c r="L357" s="662"/>
      <c r="M357" s="662"/>
    </row>
    <row r="358" spans="8:13">
      <c r="H358" s="662"/>
      <c r="I358" s="662"/>
      <c r="J358" s="662"/>
      <c r="K358" s="662"/>
      <c r="L358" s="662"/>
      <c r="M358" s="662"/>
    </row>
    <row r="359" spans="8:13">
      <c r="H359" s="662"/>
      <c r="I359" s="662"/>
      <c r="J359" s="662"/>
      <c r="K359" s="662"/>
      <c r="L359" s="662"/>
      <c r="M359" s="662"/>
    </row>
    <row r="360" spans="8:13">
      <c r="H360" s="662"/>
      <c r="I360" s="662"/>
      <c r="J360" s="662"/>
      <c r="K360" s="662"/>
      <c r="L360" s="662"/>
      <c r="M360" s="662"/>
    </row>
    <row r="361" spans="8:13">
      <c r="H361" s="662"/>
      <c r="I361" s="662"/>
      <c r="J361" s="662"/>
      <c r="K361" s="662"/>
      <c r="L361" s="662"/>
      <c r="M361" s="662"/>
    </row>
    <row r="362" spans="8:13">
      <c r="H362" s="662"/>
      <c r="I362" s="662"/>
      <c r="J362" s="662"/>
      <c r="K362" s="662"/>
      <c r="L362" s="662"/>
      <c r="M362" s="662"/>
    </row>
    <row r="363" spans="8:13">
      <c r="H363" s="662"/>
      <c r="I363" s="662"/>
      <c r="J363" s="662"/>
      <c r="K363" s="662"/>
      <c r="L363" s="662"/>
      <c r="M363" s="662"/>
    </row>
    <row r="364" spans="8:13">
      <c r="H364" s="662"/>
      <c r="I364" s="662"/>
      <c r="J364" s="662"/>
      <c r="K364" s="662"/>
      <c r="L364" s="662"/>
      <c r="M364" s="662"/>
    </row>
    <row r="365" spans="8:13">
      <c r="H365" s="662"/>
      <c r="I365" s="662"/>
      <c r="J365" s="662"/>
      <c r="K365" s="662"/>
      <c r="L365" s="662"/>
      <c r="M365" s="662"/>
    </row>
    <row r="366" spans="8:13">
      <c r="H366" s="662"/>
      <c r="I366" s="662"/>
      <c r="J366" s="662"/>
      <c r="K366" s="662"/>
      <c r="L366" s="662"/>
      <c r="M366" s="662"/>
    </row>
    <row r="367" spans="8:13">
      <c r="H367" s="662"/>
      <c r="I367" s="662"/>
      <c r="J367" s="662"/>
      <c r="K367" s="662"/>
      <c r="L367" s="662"/>
      <c r="M367" s="662"/>
    </row>
    <row r="368" spans="8:13">
      <c r="H368" s="662"/>
      <c r="I368" s="662"/>
      <c r="J368" s="662"/>
      <c r="K368" s="662"/>
      <c r="L368" s="662"/>
      <c r="M368" s="662"/>
    </row>
    <row r="369" spans="8:13">
      <c r="H369" s="662"/>
      <c r="I369" s="662"/>
      <c r="J369" s="662"/>
      <c r="K369" s="662"/>
      <c r="L369" s="662"/>
      <c r="M369" s="662"/>
    </row>
    <row r="370" spans="8:13">
      <c r="H370" s="662"/>
      <c r="I370" s="662"/>
      <c r="J370" s="662"/>
      <c r="K370" s="662"/>
      <c r="L370" s="662"/>
      <c r="M370" s="662"/>
    </row>
    <row r="371" spans="8:13">
      <c r="H371" s="662"/>
      <c r="I371" s="662"/>
      <c r="J371" s="662"/>
      <c r="K371" s="662"/>
      <c r="L371" s="662"/>
      <c r="M371" s="662"/>
    </row>
    <row r="372" spans="8:13">
      <c r="H372" s="662"/>
      <c r="I372" s="662"/>
      <c r="J372" s="662"/>
      <c r="K372" s="662"/>
      <c r="L372" s="662"/>
      <c r="M372" s="662"/>
    </row>
    <row r="373" spans="8:13">
      <c r="H373" s="662"/>
      <c r="I373" s="662"/>
      <c r="J373" s="662"/>
      <c r="K373" s="662"/>
      <c r="L373" s="662"/>
      <c r="M373" s="662"/>
    </row>
    <row r="374" spans="8:13">
      <c r="H374" s="662"/>
      <c r="I374" s="662"/>
      <c r="J374" s="662"/>
      <c r="K374" s="662"/>
      <c r="L374" s="662"/>
      <c r="M374" s="662"/>
    </row>
    <row r="375" spans="8:13">
      <c r="H375" s="662"/>
      <c r="I375" s="662"/>
      <c r="J375" s="662"/>
      <c r="K375" s="662"/>
      <c r="L375" s="662"/>
      <c r="M375" s="662"/>
    </row>
    <row r="376" spans="8:13">
      <c r="H376" s="662"/>
      <c r="I376" s="662"/>
      <c r="J376" s="662"/>
      <c r="K376" s="662"/>
      <c r="L376" s="662"/>
      <c r="M376" s="662"/>
    </row>
    <row r="377" spans="8:13">
      <c r="H377" s="662"/>
      <c r="I377" s="662"/>
      <c r="J377" s="662"/>
      <c r="K377" s="662"/>
      <c r="L377" s="662"/>
      <c r="M377" s="662"/>
    </row>
    <row r="378" spans="8:13">
      <c r="H378" s="662"/>
      <c r="I378" s="662"/>
      <c r="J378" s="662"/>
      <c r="K378" s="662"/>
      <c r="L378" s="662"/>
      <c r="M378" s="662"/>
    </row>
    <row r="379" spans="8:13">
      <c r="H379" s="662"/>
      <c r="I379" s="662"/>
      <c r="J379" s="662"/>
      <c r="K379" s="662"/>
      <c r="L379" s="662"/>
      <c r="M379" s="662"/>
    </row>
    <row r="380" spans="8:13">
      <c r="H380" s="662"/>
      <c r="I380" s="662"/>
      <c r="J380" s="662"/>
      <c r="K380" s="662"/>
      <c r="L380" s="662"/>
      <c r="M380" s="662"/>
    </row>
    <row r="381" spans="8:13">
      <c r="H381" s="662"/>
      <c r="I381" s="662"/>
      <c r="J381" s="662"/>
      <c r="K381" s="662"/>
      <c r="L381" s="662"/>
      <c r="M381" s="662"/>
    </row>
    <row r="382" spans="8:13">
      <c r="H382" s="662"/>
      <c r="I382" s="662"/>
      <c r="J382" s="662"/>
      <c r="K382" s="662"/>
      <c r="L382" s="662"/>
      <c r="M382" s="662"/>
    </row>
    <row r="383" spans="8:13">
      <c r="H383" s="662"/>
      <c r="I383" s="662"/>
      <c r="J383" s="662"/>
      <c r="K383" s="662"/>
      <c r="L383" s="662"/>
      <c r="M383" s="662"/>
    </row>
    <row r="384" spans="8:13">
      <c r="H384" s="662"/>
      <c r="I384" s="662"/>
      <c r="J384" s="662"/>
      <c r="K384" s="662"/>
      <c r="L384" s="662"/>
      <c r="M384" s="662"/>
    </row>
    <row r="385" spans="8:13">
      <c r="H385" s="662"/>
      <c r="I385" s="662"/>
      <c r="J385" s="662"/>
      <c r="K385" s="662"/>
      <c r="L385" s="662"/>
      <c r="M385" s="662"/>
    </row>
    <row r="386" spans="8:13">
      <c r="H386" s="662"/>
      <c r="I386" s="662"/>
      <c r="J386" s="662"/>
      <c r="K386" s="662"/>
      <c r="L386" s="662"/>
      <c r="M386" s="662"/>
    </row>
    <row r="387" spans="8:13">
      <c r="H387" s="662"/>
      <c r="I387" s="662"/>
      <c r="J387" s="662"/>
      <c r="K387" s="662"/>
      <c r="L387" s="662"/>
      <c r="M387" s="662"/>
    </row>
    <row r="388" spans="8:13">
      <c r="H388" s="662"/>
      <c r="I388" s="662"/>
      <c r="J388" s="662"/>
      <c r="K388" s="662"/>
      <c r="L388" s="662"/>
      <c r="M388" s="662"/>
    </row>
    <row r="389" spans="8:13">
      <c r="H389" s="662"/>
      <c r="I389" s="662"/>
      <c r="J389" s="662"/>
      <c r="K389" s="662"/>
      <c r="L389" s="662"/>
      <c r="M389" s="662"/>
    </row>
    <row r="390" spans="8:13">
      <c r="H390" s="662"/>
      <c r="I390" s="662"/>
      <c r="J390" s="662"/>
      <c r="K390" s="662"/>
      <c r="L390" s="662"/>
      <c r="M390" s="662"/>
    </row>
    <row r="391" spans="8:13">
      <c r="H391" s="662"/>
      <c r="I391" s="662"/>
      <c r="J391" s="662"/>
      <c r="K391" s="662"/>
      <c r="L391" s="662"/>
      <c r="M391" s="662"/>
    </row>
    <row r="392" spans="8:13">
      <c r="H392" s="662"/>
      <c r="I392" s="662"/>
      <c r="J392" s="662"/>
      <c r="K392" s="662"/>
      <c r="L392" s="662"/>
      <c r="M392" s="662"/>
    </row>
    <row r="393" spans="8:13">
      <c r="H393" s="662"/>
      <c r="I393" s="662"/>
      <c r="J393" s="662"/>
      <c r="K393" s="662"/>
      <c r="L393" s="662"/>
      <c r="M393" s="662"/>
    </row>
    <row r="394" spans="8:13">
      <c r="H394" s="662"/>
      <c r="I394" s="662"/>
      <c r="J394" s="662"/>
      <c r="K394" s="662"/>
      <c r="L394" s="662"/>
      <c r="M394" s="662"/>
    </row>
    <row r="395" spans="8:13">
      <c r="H395" s="662"/>
      <c r="I395" s="662"/>
      <c r="J395" s="662"/>
      <c r="K395" s="662"/>
      <c r="L395" s="662"/>
      <c r="M395" s="662"/>
    </row>
    <row r="396" spans="8:13">
      <c r="H396" s="662"/>
      <c r="I396" s="662"/>
      <c r="J396" s="662"/>
      <c r="K396" s="662"/>
      <c r="L396" s="662"/>
      <c r="M396" s="662"/>
    </row>
    <row r="397" spans="8:13">
      <c r="H397" s="662"/>
      <c r="I397" s="662"/>
      <c r="J397" s="662"/>
      <c r="K397" s="662"/>
      <c r="L397" s="662"/>
      <c r="M397" s="662"/>
    </row>
    <row r="398" spans="8:13">
      <c r="H398" s="662"/>
      <c r="I398" s="662"/>
      <c r="J398" s="662"/>
      <c r="K398" s="662"/>
      <c r="L398" s="662"/>
      <c r="M398" s="662"/>
    </row>
    <row r="399" spans="8:13">
      <c r="H399" s="662"/>
      <c r="I399" s="662"/>
      <c r="J399" s="662"/>
      <c r="K399" s="662"/>
      <c r="L399" s="662"/>
      <c r="M399" s="662"/>
    </row>
    <row r="400" spans="8:13">
      <c r="H400" s="662"/>
      <c r="I400" s="662"/>
      <c r="J400" s="662"/>
      <c r="K400" s="662"/>
      <c r="L400" s="662"/>
      <c r="M400" s="662"/>
    </row>
    <row r="401" spans="8:13">
      <c r="H401" s="662"/>
      <c r="I401" s="662"/>
      <c r="J401" s="662"/>
      <c r="K401" s="662"/>
      <c r="L401" s="662"/>
      <c r="M401" s="662"/>
    </row>
    <row r="402" spans="8:13">
      <c r="H402" s="662"/>
      <c r="I402" s="662"/>
      <c r="J402" s="662"/>
      <c r="K402" s="662"/>
      <c r="L402" s="662"/>
      <c r="M402" s="662"/>
    </row>
    <row r="403" spans="8:13">
      <c r="H403" s="662"/>
      <c r="I403" s="662"/>
      <c r="J403" s="662"/>
      <c r="K403" s="662"/>
      <c r="L403" s="662"/>
      <c r="M403" s="662"/>
    </row>
    <row r="404" spans="8:13">
      <c r="H404" s="662"/>
      <c r="I404" s="662"/>
      <c r="J404" s="662"/>
      <c r="K404" s="662"/>
      <c r="L404" s="662"/>
      <c r="M404" s="662"/>
    </row>
    <row r="405" spans="8:13">
      <c r="H405" s="662"/>
      <c r="I405" s="662"/>
      <c r="J405" s="662"/>
      <c r="K405" s="662"/>
      <c r="L405" s="662"/>
      <c r="M405" s="662"/>
    </row>
    <row r="406" spans="8:13">
      <c r="H406" s="662"/>
      <c r="I406" s="662"/>
      <c r="J406" s="662"/>
      <c r="K406" s="662"/>
      <c r="L406" s="662"/>
      <c r="M406" s="662"/>
    </row>
    <row r="407" spans="8:13">
      <c r="H407" s="662"/>
      <c r="I407" s="662"/>
      <c r="J407" s="662"/>
      <c r="K407" s="662"/>
      <c r="L407" s="662"/>
      <c r="M407" s="662"/>
    </row>
    <row r="408" spans="8:13">
      <c r="H408" s="662"/>
      <c r="I408" s="662"/>
      <c r="J408" s="662"/>
      <c r="K408" s="662"/>
      <c r="L408" s="662"/>
      <c r="M408" s="662"/>
    </row>
    <row r="409" spans="8:13">
      <c r="H409" s="662"/>
      <c r="I409" s="662"/>
      <c r="J409" s="662"/>
      <c r="K409" s="662"/>
      <c r="L409" s="662"/>
      <c r="M409" s="662"/>
    </row>
    <row r="410" spans="8:13">
      <c r="H410" s="662"/>
      <c r="I410" s="662"/>
      <c r="J410" s="662"/>
      <c r="K410" s="662"/>
      <c r="L410" s="662"/>
      <c r="M410" s="662"/>
    </row>
    <row r="411" spans="8:13">
      <c r="H411" s="662"/>
      <c r="I411" s="662"/>
      <c r="J411" s="662"/>
      <c r="K411" s="662"/>
      <c r="L411" s="662"/>
      <c r="M411" s="662"/>
    </row>
    <row r="412" spans="8:13">
      <c r="H412" s="662"/>
      <c r="I412" s="662"/>
      <c r="J412" s="662"/>
      <c r="K412" s="662"/>
      <c r="L412" s="662"/>
      <c r="M412" s="662"/>
    </row>
    <row r="413" spans="8:13">
      <c r="H413" s="662"/>
      <c r="I413" s="662"/>
      <c r="J413" s="662"/>
      <c r="K413" s="662"/>
      <c r="L413" s="662"/>
      <c r="M413" s="662"/>
    </row>
    <row r="414" spans="8:13">
      <c r="H414" s="662"/>
      <c r="I414" s="662"/>
      <c r="J414" s="662"/>
      <c r="K414" s="662"/>
      <c r="L414" s="662"/>
      <c r="M414" s="662"/>
    </row>
    <row r="415" spans="8:13">
      <c r="H415" s="662"/>
      <c r="I415" s="662"/>
      <c r="J415" s="662"/>
      <c r="K415" s="662"/>
      <c r="L415" s="662"/>
      <c r="M415" s="662"/>
    </row>
    <row r="416" spans="8:13">
      <c r="H416" s="662"/>
      <c r="I416" s="662"/>
      <c r="J416" s="662"/>
      <c r="K416" s="662"/>
      <c r="L416" s="662"/>
      <c r="M416" s="662"/>
    </row>
    <row r="417" spans="8:13">
      <c r="H417" s="662"/>
      <c r="I417" s="662"/>
      <c r="J417" s="662"/>
      <c r="K417" s="662"/>
      <c r="L417" s="662"/>
      <c r="M417" s="662"/>
    </row>
    <row r="418" spans="8:13">
      <c r="H418" s="662"/>
      <c r="I418" s="662"/>
      <c r="J418" s="662"/>
      <c r="K418" s="662"/>
      <c r="L418" s="662"/>
      <c r="M418" s="662"/>
    </row>
    <row r="419" spans="8:13">
      <c r="H419" s="662"/>
      <c r="I419" s="662"/>
      <c r="J419" s="662"/>
      <c r="K419" s="662"/>
      <c r="L419" s="662"/>
      <c r="M419" s="662"/>
    </row>
    <row r="420" spans="8:13">
      <c r="H420" s="662"/>
      <c r="I420" s="662"/>
      <c r="J420" s="662"/>
      <c r="K420" s="662"/>
      <c r="L420" s="662"/>
      <c r="M420" s="662"/>
    </row>
    <row r="421" spans="8:13">
      <c r="H421" s="662"/>
      <c r="I421" s="662"/>
      <c r="J421" s="662"/>
      <c r="K421" s="662"/>
      <c r="L421" s="662"/>
      <c r="M421" s="662"/>
    </row>
    <row r="422" spans="8:13">
      <c r="H422" s="662"/>
      <c r="I422" s="662"/>
      <c r="J422" s="662"/>
      <c r="K422" s="662"/>
      <c r="L422" s="662"/>
      <c r="M422" s="662"/>
    </row>
    <row r="423" spans="8:13">
      <c r="H423" s="662"/>
      <c r="I423" s="662"/>
      <c r="J423" s="662"/>
      <c r="K423" s="662"/>
      <c r="L423" s="662"/>
      <c r="M423" s="662"/>
    </row>
    <row r="424" spans="8:13">
      <c r="H424" s="662"/>
      <c r="I424" s="662"/>
      <c r="J424" s="662"/>
      <c r="K424" s="662"/>
      <c r="L424" s="662"/>
      <c r="M424" s="662"/>
    </row>
    <row r="425" spans="8:13">
      <c r="H425" s="662"/>
      <c r="I425" s="662"/>
      <c r="J425" s="662"/>
      <c r="K425" s="662"/>
      <c r="L425" s="662"/>
      <c r="M425" s="662"/>
    </row>
    <row r="426" spans="8:13">
      <c r="H426" s="662"/>
      <c r="I426" s="662"/>
      <c r="J426" s="662"/>
      <c r="K426" s="662"/>
      <c r="L426" s="662"/>
      <c r="M426" s="662"/>
    </row>
    <row r="427" spans="8:13">
      <c r="H427" s="662"/>
      <c r="I427" s="662"/>
      <c r="J427" s="662"/>
      <c r="K427" s="662"/>
      <c r="L427" s="662"/>
      <c r="M427" s="662"/>
    </row>
    <row r="428" spans="8:13">
      <c r="H428" s="662"/>
      <c r="I428" s="662"/>
      <c r="J428" s="662"/>
      <c r="K428" s="662"/>
      <c r="L428" s="662"/>
      <c r="M428" s="662"/>
    </row>
    <row r="429" spans="8:13">
      <c r="H429" s="662"/>
      <c r="I429" s="662"/>
      <c r="J429" s="662"/>
      <c r="K429" s="662"/>
      <c r="L429" s="662"/>
      <c r="M429" s="662"/>
    </row>
    <row r="430" spans="8:13">
      <c r="H430" s="662"/>
      <c r="I430" s="662"/>
      <c r="J430" s="662"/>
      <c r="K430" s="662"/>
      <c r="L430" s="662"/>
      <c r="M430" s="662"/>
    </row>
    <row r="431" spans="8:13">
      <c r="H431" s="662"/>
      <c r="I431" s="662"/>
      <c r="J431" s="662"/>
      <c r="K431" s="662"/>
      <c r="L431" s="662"/>
      <c r="M431" s="662"/>
    </row>
    <row r="432" spans="8:13">
      <c r="H432" s="662"/>
      <c r="I432" s="662"/>
      <c r="J432" s="662"/>
      <c r="K432" s="662"/>
      <c r="L432" s="662"/>
      <c r="M432" s="662"/>
    </row>
    <row r="433" spans="8:13">
      <c r="H433" s="662"/>
      <c r="I433" s="662"/>
      <c r="J433" s="662"/>
      <c r="K433" s="662"/>
      <c r="L433" s="662"/>
      <c r="M433" s="662"/>
    </row>
    <row r="434" spans="8:13">
      <c r="H434" s="662"/>
      <c r="I434" s="662"/>
      <c r="J434" s="662"/>
      <c r="K434" s="662"/>
      <c r="L434" s="662"/>
      <c r="M434" s="662"/>
    </row>
    <row r="435" spans="8:13">
      <c r="H435" s="662"/>
      <c r="I435" s="662"/>
      <c r="J435" s="662"/>
      <c r="K435" s="662"/>
      <c r="L435" s="662"/>
      <c r="M435" s="662"/>
    </row>
    <row r="436" spans="8:13">
      <c r="H436" s="662"/>
      <c r="I436" s="662"/>
      <c r="J436" s="662"/>
      <c r="K436" s="662"/>
      <c r="L436" s="662"/>
      <c r="M436" s="662"/>
    </row>
    <row r="437" spans="8:13">
      <c r="H437" s="662"/>
      <c r="I437" s="662"/>
      <c r="J437" s="662"/>
      <c r="K437" s="662"/>
      <c r="L437" s="662"/>
      <c r="M437" s="662"/>
    </row>
    <row r="438" spans="8:13">
      <c r="H438" s="662"/>
      <c r="I438" s="662"/>
      <c r="J438" s="662"/>
      <c r="K438" s="662"/>
      <c r="L438" s="662"/>
      <c r="M438" s="662"/>
    </row>
    <row r="439" spans="8:13">
      <c r="H439" s="662"/>
      <c r="I439" s="662"/>
      <c r="J439" s="662"/>
      <c r="K439" s="662"/>
      <c r="L439" s="662"/>
      <c r="M439" s="662"/>
    </row>
    <row r="440" spans="8:13">
      <c r="H440" s="662"/>
      <c r="I440" s="662"/>
      <c r="J440" s="662"/>
      <c r="K440" s="662"/>
      <c r="L440" s="662"/>
      <c r="M440" s="662"/>
    </row>
    <row r="441" spans="8:13">
      <c r="H441" s="662"/>
      <c r="I441" s="662"/>
      <c r="J441" s="662"/>
      <c r="K441" s="662"/>
      <c r="L441" s="662"/>
      <c r="M441" s="662"/>
    </row>
    <row r="442" spans="8:13">
      <c r="H442" s="662"/>
      <c r="I442" s="662"/>
      <c r="J442" s="662"/>
      <c r="K442" s="662"/>
      <c r="L442" s="662"/>
      <c r="M442" s="662"/>
    </row>
    <row r="443" spans="8:13">
      <c r="H443" s="662"/>
      <c r="I443" s="662"/>
      <c r="J443" s="662"/>
      <c r="K443" s="662"/>
      <c r="L443" s="662"/>
      <c r="M443" s="662"/>
    </row>
    <row r="444" spans="8:13">
      <c r="H444" s="662"/>
      <c r="I444" s="662"/>
      <c r="J444" s="662"/>
      <c r="K444" s="662"/>
      <c r="L444" s="662"/>
      <c r="M444" s="662"/>
    </row>
    <row r="445" spans="8:13">
      <c r="H445" s="662"/>
      <c r="I445" s="662"/>
      <c r="J445" s="662"/>
      <c r="K445" s="662"/>
      <c r="L445" s="662"/>
      <c r="M445" s="662"/>
    </row>
    <row r="446" spans="8:13">
      <c r="H446" s="662"/>
      <c r="I446" s="662"/>
      <c r="J446" s="662"/>
      <c r="K446" s="662"/>
      <c r="L446" s="662"/>
      <c r="M446" s="662"/>
    </row>
    <row r="447" spans="8:13">
      <c r="H447" s="662"/>
      <c r="I447" s="662"/>
      <c r="J447" s="662"/>
      <c r="K447" s="662"/>
      <c r="L447" s="662"/>
      <c r="M447" s="662"/>
    </row>
    <row r="448" spans="8:13">
      <c r="H448" s="662"/>
      <c r="I448" s="662"/>
      <c r="J448" s="662"/>
      <c r="K448" s="662"/>
      <c r="L448" s="662"/>
      <c r="M448" s="662"/>
    </row>
    <row r="449" spans="8:13">
      <c r="H449" s="662"/>
      <c r="I449" s="662"/>
      <c r="J449" s="662"/>
      <c r="K449" s="662"/>
      <c r="L449" s="662"/>
      <c r="M449" s="662"/>
    </row>
    <row r="450" spans="8:13">
      <c r="H450" s="662"/>
      <c r="I450" s="662"/>
      <c r="J450" s="662"/>
      <c r="K450" s="662"/>
      <c r="L450" s="662"/>
      <c r="M450" s="662"/>
    </row>
    <row r="451" spans="8:13">
      <c r="H451" s="662"/>
      <c r="I451" s="662"/>
      <c r="J451" s="662"/>
      <c r="K451" s="662"/>
      <c r="L451" s="662"/>
      <c r="M451" s="662"/>
    </row>
    <row r="452" spans="8:13">
      <c r="H452" s="662"/>
      <c r="I452" s="662"/>
      <c r="J452" s="662"/>
      <c r="K452" s="662"/>
      <c r="L452" s="662"/>
      <c r="M452" s="662"/>
    </row>
    <row r="453" spans="8:13">
      <c r="H453" s="662"/>
      <c r="I453" s="662"/>
      <c r="J453" s="662"/>
      <c r="K453" s="662"/>
      <c r="L453" s="662"/>
      <c r="M453" s="662"/>
    </row>
    <row r="454" spans="8:13">
      <c r="H454" s="662"/>
      <c r="I454" s="662"/>
      <c r="J454" s="662"/>
      <c r="K454" s="662"/>
      <c r="L454" s="662"/>
      <c r="M454" s="662"/>
    </row>
    <row r="455" spans="8:13">
      <c r="H455" s="662"/>
      <c r="I455" s="662"/>
      <c r="J455" s="662"/>
      <c r="K455" s="662"/>
      <c r="L455" s="662"/>
      <c r="M455" s="662"/>
    </row>
    <row r="456" spans="8:13">
      <c r="H456" s="662"/>
      <c r="I456" s="662"/>
      <c r="J456" s="662"/>
      <c r="K456" s="662"/>
      <c r="L456" s="662"/>
      <c r="M456" s="662"/>
    </row>
    <row r="457" spans="8:13">
      <c r="H457" s="662"/>
      <c r="I457" s="662"/>
      <c r="J457" s="662"/>
      <c r="K457" s="662"/>
      <c r="L457" s="662"/>
      <c r="M457" s="662"/>
    </row>
    <row r="458" spans="8:13">
      <c r="H458" s="662"/>
      <c r="I458" s="662"/>
      <c r="J458" s="662"/>
      <c r="K458" s="662"/>
      <c r="L458" s="662"/>
      <c r="M458" s="662"/>
    </row>
    <row r="459" spans="8:13">
      <c r="H459" s="662"/>
      <c r="I459" s="662"/>
      <c r="J459" s="662"/>
      <c r="K459" s="662"/>
      <c r="L459" s="662"/>
      <c r="M459" s="662"/>
    </row>
    <row r="460" spans="8:13">
      <c r="H460" s="662"/>
      <c r="I460" s="662"/>
      <c r="J460" s="662"/>
      <c r="K460" s="662"/>
      <c r="L460" s="662"/>
      <c r="M460" s="662"/>
    </row>
    <row r="461" spans="8:13">
      <c r="H461" s="662"/>
      <c r="I461" s="662"/>
      <c r="J461" s="662"/>
      <c r="K461" s="662"/>
      <c r="L461" s="662"/>
      <c r="M461" s="662"/>
    </row>
    <row r="462" spans="8:13">
      <c r="H462" s="662"/>
      <c r="I462" s="662"/>
      <c r="J462" s="662"/>
      <c r="K462" s="662"/>
      <c r="L462" s="662"/>
      <c r="M462" s="662"/>
    </row>
    <row r="463" spans="8:13">
      <c r="H463" s="662"/>
      <c r="I463" s="662"/>
      <c r="J463" s="662"/>
      <c r="K463" s="662"/>
      <c r="L463" s="662"/>
      <c r="M463" s="662"/>
    </row>
    <row r="464" spans="8:13">
      <c r="H464" s="662"/>
      <c r="I464" s="662"/>
      <c r="J464" s="662"/>
      <c r="K464" s="662"/>
      <c r="L464" s="662"/>
      <c r="M464" s="662"/>
    </row>
    <row r="465" spans="8:13">
      <c r="H465" s="662"/>
      <c r="I465" s="662"/>
      <c r="J465" s="662"/>
      <c r="K465" s="662"/>
      <c r="L465" s="662"/>
      <c r="M465" s="662"/>
    </row>
    <row r="466" spans="8:13">
      <c r="H466" s="662"/>
      <c r="I466" s="662"/>
      <c r="J466" s="662"/>
      <c r="K466" s="662"/>
      <c r="L466" s="662"/>
      <c r="M466" s="662"/>
    </row>
    <row r="467" spans="8:13">
      <c r="H467" s="662"/>
      <c r="I467" s="662"/>
      <c r="J467" s="662"/>
      <c r="K467" s="662"/>
      <c r="L467" s="662"/>
      <c r="M467" s="662"/>
    </row>
    <row r="468" spans="8:13">
      <c r="H468" s="662"/>
      <c r="I468" s="662"/>
      <c r="J468" s="662"/>
      <c r="K468" s="662"/>
      <c r="L468" s="662"/>
      <c r="M468" s="662"/>
    </row>
    <row r="469" spans="8:13">
      <c r="H469" s="662"/>
      <c r="I469" s="662"/>
      <c r="J469" s="662"/>
      <c r="K469" s="662"/>
      <c r="L469" s="662"/>
      <c r="M469" s="662"/>
    </row>
    <row r="470" spans="8:13">
      <c r="H470" s="662"/>
      <c r="I470" s="662"/>
      <c r="J470" s="662"/>
      <c r="K470" s="662"/>
      <c r="L470" s="662"/>
      <c r="M470" s="662"/>
    </row>
    <row r="471" spans="8:13">
      <c r="H471" s="662"/>
      <c r="I471" s="662"/>
      <c r="J471" s="662"/>
      <c r="K471" s="662"/>
      <c r="L471" s="662"/>
      <c r="M471" s="662"/>
    </row>
    <row r="472" spans="8:13">
      <c r="H472" s="662"/>
      <c r="I472" s="662"/>
      <c r="J472" s="662"/>
      <c r="K472" s="662"/>
      <c r="L472" s="662"/>
      <c r="M472" s="662"/>
    </row>
    <row r="473" spans="8:13">
      <c r="H473" s="662"/>
      <c r="I473" s="662"/>
      <c r="J473" s="662"/>
      <c r="K473" s="662"/>
      <c r="L473" s="662"/>
      <c r="M473" s="662"/>
    </row>
    <row r="474" spans="8:13">
      <c r="H474" s="662"/>
      <c r="I474" s="662"/>
      <c r="J474" s="662"/>
      <c r="K474" s="662"/>
      <c r="L474" s="662"/>
      <c r="M474" s="662"/>
    </row>
    <row r="475" spans="8:13">
      <c r="H475" s="662"/>
      <c r="I475" s="662"/>
      <c r="J475" s="662"/>
      <c r="K475" s="662"/>
      <c r="L475" s="662"/>
      <c r="M475" s="662"/>
    </row>
    <row r="476" spans="8:13">
      <c r="H476" s="662"/>
      <c r="I476" s="662"/>
      <c r="J476" s="662"/>
      <c r="K476" s="662"/>
      <c r="L476" s="662"/>
      <c r="M476" s="662"/>
    </row>
    <row r="477" spans="8:13">
      <c r="H477" s="662"/>
      <c r="I477" s="662"/>
      <c r="J477" s="662"/>
      <c r="K477" s="662"/>
      <c r="L477" s="662"/>
      <c r="M477" s="662"/>
    </row>
    <row r="478" spans="8:13">
      <c r="H478" s="662"/>
      <c r="I478" s="662"/>
      <c r="J478" s="662"/>
      <c r="K478" s="662"/>
      <c r="L478" s="662"/>
      <c r="M478" s="662"/>
    </row>
    <row r="479" spans="8:13">
      <c r="H479" s="662"/>
      <c r="I479" s="662"/>
      <c r="J479" s="662"/>
      <c r="K479" s="662"/>
      <c r="L479" s="662"/>
      <c r="M479" s="662"/>
    </row>
    <row r="480" spans="8:13">
      <c r="H480" s="662"/>
      <c r="I480" s="662"/>
      <c r="J480" s="662"/>
      <c r="K480" s="662"/>
      <c r="L480" s="662"/>
      <c r="M480" s="662"/>
    </row>
    <row r="481" spans="8:13">
      <c r="H481" s="662"/>
      <c r="I481" s="662"/>
      <c r="J481" s="662"/>
      <c r="K481" s="662"/>
      <c r="L481" s="662"/>
      <c r="M481" s="662"/>
    </row>
    <row r="482" spans="8:13">
      <c r="H482" s="662"/>
      <c r="I482" s="662"/>
      <c r="J482" s="662"/>
      <c r="K482" s="662"/>
      <c r="L482" s="662"/>
      <c r="M482" s="662"/>
    </row>
    <row r="483" spans="8:13">
      <c r="H483" s="662"/>
      <c r="I483" s="662"/>
      <c r="J483" s="662"/>
      <c r="K483" s="662"/>
      <c r="L483" s="662"/>
      <c r="M483" s="662"/>
    </row>
    <row r="484" spans="8:13">
      <c r="H484" s="662"/>
      <c r="I484" s="662"/>
      <c r="J484" s="662"/>
      <c r="K484" s="662"/>
      <c r="L484" s="662"/>
      <c r="M484" s="662"/>
    </row>
    <row r="485" spans="8:13">
      <c r="H485" s="662"/>
      <c r="I485" s="662"/>
      <c r="J485" s="662"/>
      <c r="K485" s="662"/>
      <c r="L485" s="662"/>
      <c r="M485" s="662"/>
    </row>
    <row r="486" spans="8:13">
      <c r="H486" s="662"/>
      <c r="I486" s="662"/>
      <c r="J486" s="662"/>
      <c r="K486" s="662"/>
      <c r="L486" s="662"/>
      <c r="M486" s="662"/>
    </row>
    <row r="487" spans="8:13">
      <c r="H487" s="662"/>
      <c r="I487" s="662"/>
      <c r="J487" s="662"/>
      <c r="K487" s="662"/>
      <c r="L487" s="662"/>
      <c r="M487" s="662"/>
    </row>
    <row r="488" spans="8:13">
      <c r="H488" s="662"/>
      <c r="I488" s="662"/>
      <c r="J488" s="662"/>
      <c r="K488" s="662"/>
      <c r="L488" s="662"/>
      <c r="M488" s="662"/>
    </row>
    <row r="489" spans="8:13">
      <c r="H489" s="662"/>
      <c r="I489" s="662"/>
      <c r="J489" s="662"/>
      <c r="K489" s="662"/>
      <c r="L489" s="662"/>
      <c r="M489" s="662"/>
    </row>
    <row r="490" spans="8:13">
      <c r="H490" s="662"/>
      <c r="I490" s="662"/>
      <c r="J490" s="662"/>
      <c r="K490" s="662"/>
      <c r="L490" s="662"/>
      <c r="M490" s="662"/>
    </row>
    <row r="491" spans="8:13">
      <c r="H491" s="662"/>
      <c r="I491" s="662"/>
      <c r="J491" s="662"/>
      <c r="K491" s="662"/>
      <c r="L491" s="662"/>
      <c r="M491" s="662"/>
    </row>
    <row r="492" spans="8:13">
      <c r="H492" s="662"/>
      <c r="I492" s="662"/>
      <c r="J492" s="662"/>
      <c r="K492" s="662"/>
      <c r="L492" s="662"/>
      <c r="M492" s="662"/>
    </row>
    <row r="493" spans="8:13">
      <c r="H493" s="662"/>
      <c r="I493" s="662"/>
      <c r="J493" s="662"/>
      <c r="K493" s="662"/>
      <c r="L493" s="662"/>
      <c r="M493" s="662"/>
    </row>
    <row r="494" spans="8:13">
      <c r="H494" s="662"/>
      <c r="I494" s="662"/>
      <c r="J494" s="662"/>
      <c r="K494" s="662"/>
      <c r="L494" s="662"/>
      <c r="M494" s="662"/>
    </row>
    <row r="495" spans="8:13">
      <c r="H495" s="662"/>
      <c r="I495" s="662"/>
      <c r="J495" s="662"/>
      <c r="K495" s="662"/>
      <c r="L495" s="662"/>
      <c r="M495" s="662"/>
    </row>
    <row r="496" spans="8:13">
      <c r="H496" s="662"/>
      <c r="I496" s="662"/>
      <c r="J496" s="662"/>
      <c r="K496" s="662"/>
      <c r="L496" s="662"/>
      <c r="M496" s="662"/>
    </row>
    <row r="497" spans="8:13">
      <c r="H497" s="662"/>
      <c r="I497" s="662"/>
      <c r="J497" s="662"/>
      <c r="K497" s="662"/>
      <c r="L497" s="662"/>
      <c r="M497" s="662"/>
    </row>
    <row r="498" spans="8:13">
      <c r="H498" s="662"/>
      <c r="I498" s="662"/>
      <c r="J498" s="662"/>
      <c r="K498" s="662"/>
      <c r="L498" s="662"/>
      <c r="M498" s="662"/>
    </row>
    <row r="499" spans="8:13">
      <c r="H499" s="662"/>
      <c r="I499" s="662"/>
      <c r="J499" s="662"/>
      <c r="K499" s="662"/>
      <c r="L499" s="662"/>
      <c r="M499" s="662"/>
    </row>
    <row r="500" spans="8:13">
      <c r="H500" s="662"/>
      <c r="I500" s="662"/>
      <c r="J500" s="662"/>
      <c r="K500" s="662"/>
      <c r="L500" s="662"/>
      <c r="M500" s="662"/>
    </row>
    <row r="501" spans="8:13">
      <c r="H501" s="662"/>
      <c r="I501" s="662"/>
      <c r="J501" s="662"/>
      <c r="K501" s="662"/>
      <c r="L501" s="662"/>
      <c r="M501" s="662"/>
    </row>
    <row r="502" spans="8:13">
      <c r="H502" s="662"/>
      <c r="I502" s="662"/>
      <c r="J502" s="662"/>
      <c r="K502" s="662"/>
      <c r="L502" s="662"/>
      <c r="M502" s="662"/>
    </row>
    <row r="503" spans="8:13">
      <c r="H503" s="662"/>
      <c r="I503" s="662"/>
      <c r="J503" s="662"/>
      <c r="K503" s="662"/>
      <c r="L503" s="662"/>
      <c r="M503" s="662"/>
    </row>
    <row r="504" spans="8:13">
      <c r="H504" s="662"/>
      <c r="I504" s="662"/>
      <c r="J504" s="662"/>
      <c r="K504" s="662"/>
      <c r="L504" s="662"/>
      <c r="M504" s="662"/>
    </row>
    <row r="505" spans="8:13">
      <c r="H505" s="662"/>
      <c r="I505" s="662"/>
      <c r="J505" s="662"/>
      <c r="K505" s="662"/>
      <c r="L505" s="662"/>
      <c r="M505" s="662"/>
    </row>
    <row r="506" spans="8:13">
      <c r="H506" s="662"/>
      <c r="I506" s="662"/>
      <c r="J506" s="662"/>
      <c r="K506" s="662"/>
      <c r="L506" s="662"/>
      <c r="M506" s="662"/>
    </row>
    <row r="507" spans="8:13">
      <c r="H507" s="662"/>
      <c r="I507" s="662"/>
      <c r="J507" s="662"/>
      <c r="K507" s="662"/>
      <c r="L507" s="662"/>
      <c r="M507" s="662"/>
    </row>
    <row r="508" spans="8:13">
      <c r="H508" s="662"/>
      <c r="I508" s="662"/>
      <c r="J508" s="662"/>
      <c r="K508" s="662"/>
      <c r="L508" s="662"/>
      <c r="M508" s="662"/>
    </row>
    <row r="509" spans="8:13">
      <c r="H509" s="662"/>
      <c r="I509" s="662"/>
      <c r="J509" s="662"/>
      <c r="K509" s="662"/>
      <c r="L509" s="662"/>
      <c r="M509" s="662"/>
    </row>
    <row r="510" spans="8:13">
      <c r="H510" s="662"/>
      <c r="I510" s="662"/>
      <c r="J510" s="662"/>
      <c r="K510" s="662"/>
      <c r="L510" s="662"/>
      <c r="M510" s="662"/>
    </row>
    <row r="511" spans="8:13">
      <c r="H511" s="662"/>
      <c r="I511" s="662"/>
      <c r="J511" s="662"/>
      <c r="K511" s="662"/>
      <c r="L511" s="662"/>
      <c r="M511" s="662"/>
    </row>
    <row r="512" spans="8:13">
      <c r="H512" s="662"/>
      <c r="I512" s="662"/>
      <c r="J512" s="662"/>
      <c r="K512" s="662"/>
      <c r="L512" s="662"/>
      <c r="M512" s="662"/>
    </row>
    <row r="513" spans="8:13">
      <c r="H513" s="662"/>
      <c r="I513" s="662"/>
      <c r="J513" s="662"/>
      <c r="K513" s="662"/>
      <c r="L513" s="662"/>
      <c r="M513" s="662"/>
    </row>
    <row r="514" spans="8:13">
      <c r="H514" s="662"/>
      <c r="I514" s="662"/>
      <c r="J514" s="662"/>
      <c r="K514" s="662"/>
      <c r="L514" s="662"/>
      <c r="M514" s="662"/>
    </row>
    <row r="515" spans="8:13">
      <c r="H515" s="662"/>
      <c r="I515" s="662"/>
      <c r="J515" s="662"/>
      <c r="K515" s="662"/>
      <c r="L515" s="662"/>
      <c r="M515" s="662"/>
    </row>
    <row r="516" spans="8:13">
      <c r="H516" s="662"/>
      <c r="I516" s="662"/>
      <c r="J516" s="662"/>
      <c r="K516" s="662"/>
      <c r="L516" s="662"/>
      <c r="M516" s="662"/>
    </row>
    <row r="517" spans="8:13">
      <c r="H517" s="662"/>
      <c r="I517" s="662"/>
      <c r="J517" s="662"/>
      <c r="K517" s="662"/>
      <c r="L517" s="662"/>
      <c r="M517" s="662"/>
    </row>
    <row r="518" spans="8:13">
      <c r="H518" s="662"/>
      <c r="I518" s="662"/>
      <c r="J518" s="662"/>
      <c r="K518" s="662"/>
      <c r="L518" s="662"/>
      <c r="M518" s="662"/>
    </row>
    <row r="519" spans="8:13">
      <c r="H519" s="662"/>
      <c r="I519" s="662"/>
      <c r="J519" s="662"/>
      <c r="K519" s="662"/>
      <c r="L519" s="662"/>
      <c r="M519" s="662"/>
    </row>
    <row r="520" spans="8:13">
      <c r="H520" s="662"/>
      <c r="I520" s="662"/>
      <c r="J520" s="662"/>
      <c r="K520" s="662"/>
      <c r="L520" s="662"/>
      <c r="M520" s="662"/>
    </row>
    <row r="521" spans="8:13">
      <c r="H521" s="662"/>
      <c r="I521" s="662"/>
      <c r="J521" s="662"/>
      <c r="K521" s="662"/>
      <c r="L521" s="662"/>
      <c r="M521" s="662"/>
    </row>
    <row r="522" spans="8:13">
      <c r="H522" s="662"/>
      <c r="I522" s="662"/>
      <c r="J522" s="662"/>
      <c r="K522" s="662"/>
      <c r="L522" s="662"/>
      <c r="M522" s="662"/>
    </row>
    <row r="523" spans="8:13">
      <c r="H523" s="662"/>
      <c r="I523" s="662"/>
      <c r="J523" s="662"/>
      <c r="K523" s="662"/>
      <c r="L523" s="662"/>
      <c r="M523" s="662"/>
    </row>
    <row r="524" spans="8:13">
      <c r="H524" s="662"/>
      <c r="I524" s="662"/>
      <c r="J524" s="662"/>
      <c r="K524" s="662"/>
      <c r="L524" s="662"/>
      <c r="M524" s="662"/>
    </row>
    <row r="525" spans="8:13">
      <c r="H525" s="662"/>
      <c r="I525" s="662"/>
      <c r="J525" s="662"/>
      <c r="K525" s="662"/>
      <c r="L525" s="662"/>
      <c r="M525" s="662"/>
    </row>
    <row r="526" spans="8:13">
      <c r="H526" s="662"/>
      <c r="I526" s="662"/>
      <c r="J526" s="662"/>
      <c r="K526" s="662"/>
      <c r="L526" s="662"/>
      <c r="M526" s="662"/>
    </row>
    <row r="527" spans="8:13">
      <c r="H527" s="662"/>
      <c r="I527" s="662"/>
      <c r="J527" s="662"/>
      <c r="K527" s="662"/>
      <c r="L527" s="662"/>
      <c r="M527" s="662"/>
    </row>
    <row r="528" spans="8:13">
      <c r="H528" s="662"/>
      <c r="I528" s="662"/>
      <c r="J528" s="662"/>
      <c r="K528" s="662"/>
      <c r="L528" s="662"/>
      <c r="M528" s="662"/>
    </row>
    <row r="529" spans="8:13">
      <c r="H529" s="662"/>
      <c r="I529" s="662"/>
      <c r="J529" s="662"/>
      <c r="K529" s="662"/>
      <c r="L529" s="662"/>
      <c r="M529" s="662"/>
    </row>
    <row r="530" spans="8:13">
      <c r="H530" s="662"/>
      <c r="I530" s="662"/>
      <c r="J530" s="662"/>
      <c r="K530" s="662"/>
      <c r="L530" s="662"/>
      <c r="M530" s="662"/>
    </row>
    <row r="531" spans="8:13">
      <c r="H531" s="662"/>
      <c r="I531" s="662"/>
      <c r="J531" s="662"/>
      <c r="K531" s="662"/>
      <c r="L531" s="662"/>
      <c r="M531" s="662"/>
    </row>
    <row r="532" spans="8:13">
      <c r="H532" s="662"/>
      <c r="I532" s="662"/>
      <c r="J532" s="662"/>
      <c r="K532" s="662"/>
      <c r="L532" s="662"/>
      <c r="M532" s="662"/>
    </row>
    <row r="533" spans="8:13">
      <c r="H533" s="662"/>
      <c r="I533" s="662"/>
      <c r="J533" s="662"/>
      <c r="K533" s="662"/>
      <c r="L533" s="662"/>
      <c r="M533" s="662"/>
    </row>
    <row r="534" spans="8:13">
      <c r="H534" s="662"/>
      <c r="I534" s="662"/>
      <c r="J534" s="662"/>
      <c r="K534" s="662"/>
      <c r="L534" s="662"/>
      <c r="M534" s="662"/>
    </row>
    <row r="535" spans="8:13">
      <c r="H535" s="662"/>
      <c r="I535" s="662"/>
      <c r="J535" s="662"/>
      <c r="K535" s="662"/>
      <c r="L535" s="662"/>
      <c r="M535" s="662"/>
    </row>
    <row r="536" spans="8:13">
      <c r="H536" s="662"/>
      <c r="I536" s="662"/>
      <c r="J536" s="662"/>
      <c r="K536" s="662"/>
      <c r="L536" s="662"/>
      <c r="M536" s="662"/>
    </row>
    <row r="537" spans="8:13">
      <c r="H537" s="662"/>
      <c r="I537" s="662"/>
      <c r="J537" s="662"/>
      <c r="K537" s="662"/>
      <c r="L537" s="662"/>
      <c r="M537" s="662"/>
    </row>
    <row r="538" spans="8:13">
      <c r="H538" s="662"/>
      <c r="I538" s="662"/>
      <c r="J538" s="662"/>
      <c r="K538" s="662"/>
      <c r="L538" s="662"/>
      <c r="M538" s="662"/>
    </row>
    <row r="539" spans="8:13">
      <c r="H539" s="662"/>
      <c r="I539" s="662"/>
      <c r="J539" s="662"/>
      <c r="K539" s="662"/>
      <c r="L539" s="662"/>
      <c r="M539" s="662"/>
    </row>
    <row r="540" spans="8:13">
      <c r="H540" s="662"/>
      <c r="I540" s="662"/>
      <c r="J540" s="662"/>
      <c r="K540" s="662"/>
      <c r="L540" s="662"/>
      <c r="M540" s="662"/>
    </row>
    <row r="541" spans="8:13">
      <c r="H541" s="662"/>
      <c r="I541" s="662"/>
      <c r="J541" s="662"/>
      <c r="K541" s="662"/>
      <c r="L541" s="662"/>
      <c r="M541" s="662"/>
    </row>
    <row r="542" spans="8:13">
      <c r="H542" s="662"/>
      <c r="I542" s="662"/>
      <c r="J542" s="662"/>
      <c r="K542" s="662"/>
      <c r="L542" s="662"/>
      <c r="M542" s="662"/>
    </row>
    <row r="543" spans="8:13">
      <c r="H543" s="662"/>
      <c r="I543" s="662"/>
      <c r="J543" s="662"/>
      <c r="K543" s="662"/>
      <c r="L543" s="662"/>
      <c r="M543" s="662"/>
    </row>
    <row r="544" spans="8:13">
      <c r="H544" s="662"/>
      <c r="I544" s="662"/>
      <c r="J544" s="662"/>
      <c r="K544" s="662"/>
      <c r="L544" s="662"/>
      <c r="M544" s="662"/>
    </row>
    <row r="545" spans="8:13">
      <c r="H545" s="662"/>
      <c r="I545" s="662"/>
      <c r="J545" s="662"/>
      <c r="K545" s="662"/>
      <c r="L545" s="662"/>
      <c r="M545" s="662"/>
    </row>
    <row r="546" spans="8:13">
      <c r="H546" s="662"/>
      <c r="I546" s="662"/>
      <c r="J546" s="662"/>
      <c r="K546" s="662"/>
      <c r="L546" s="662"/>
      <c r="M546" s="662"/>
    </row>
    <row r="547" spans="8:13">
      <c r="H547" s="662"/>
      <c r="I547" s="662"/>
      <c r="J547" s="662"/>
      <c r="K547" s="662"/>
      <c r="L547" s="662"/>
      <c r="M547" s="662"/>
    </row>
    <row r="548" spans="8:13">
      <c r="H548" s="662"/>
      <c r="I548" s="662"/>
      <c r="J548" s="662"/>
      <c r="K548" s="662"/>
      <c r="L548" s="662"/>
      <c r="M548" s="662"/>
    </row>
    <row r="549" spans="8:13">
      <c r="H549" s="662"/>
      <c r="I549" s="662"/>
      <c r="J549" s="662"/>
      <c r="K549" s="662"/>
      <c r="L549" s="662"/>
      <c r="M549" s="662"/>
    </row>
    <row r="550" spans="8:13">
      <c r="H550" s="662"/>
      <c r="I550" s="662"/>
      <c r="J550" s="662"/>
      <c r="K550" s="662"/>
      <c r="L550" s="662"/>
      <c r="M550" s="662"/>
    </row>
    <row r="551" spans="8:13">
      <c r="H551" s="662"/>
      <c r="I551" s="662"/>
      <c r="J551" s="662"/>
      <c r="K551" s="662"/>
      <c r="L551" s="662"/>
      <c r="M551" s="662"/>
    </row>
    <row r="552" spans="8:13">
      <c r="H552" s="662"/>
      <c r="I552" s="662"/>
      <c r="J552" s="662"/>
      <c r="K552" s="662"/>
      <c r="L552" s="662"/>
      <c r="M552" s="662"/>
    </row>
    <row r="553" spans="8:13">
      <c r="H553" s="662"/>
      <c r="I553" s="662"/>
      <c r="J553" s="662"/>
      <c r="K553" s="662"/>
      <c r="L553" s="662"/>
      <c r="M553" s="662"/>
    </row>
    <row r="554" spans="8:13">
      <c r="H554" s="662"/>
      <c r="I554" s="662"/>
      <c r="J554" s="662"/>
      <c r="K554" s="662"/>
      <c r="L554" s="662"/>
      <c r="M554" s="662"/>
    </row>
    <row r="555" spans="8:13">
      <c r="H555" s="662"/>
      <c r="I555" s="662"/>
      <c r="J555" s="662"/>
      <c r="K555" s="662"/>
      <c r="L555" s="662"/>
      <c r="M555" s="662"/>
    </row>
    <row r="556" spans="8:13">
      <c r="H556" s="662"/>
      <c r="I556" s="662"/>
      <c r="J556" s="662"/>
      <c r="K556" s="662"/>
      <c r="L556" s="662"/>
      <c r="M556" s="662"/>
    </row>
    <row r="557" spans="8:13">
      <c r="H557" s="662"/>
      <c r="I557" s="662"/>
      <c r="J557" s="662"/>
      <c r="K557" s="662"/>
      <c r="L557" s="662"/>
      <c r="M557" s="662"/>
    </row>
    <row r="558" spans="8:13">
      <c r="H558" s="662"/>
      <c r="I558" s="662"/>
      <c r="J558" s="662"/>
      <c r="K558" s="662"/>
      <c r="L558" s="662"/>
      <c r="M558" s="662"/>
    </row>
    <row r="559" spans="8:13">
      <c r="H559" s="662"/>
      <c r="I559" s="662"/>
      <c r="J559" s="662"/>
      <c r="K559" s="662"/>
      <c r="L559" s="662"/>
      <c r="M559" s="662"/>
    </row>
    <row r="560" spans="8:13">
      <c r="H560" s="662"/>
      <c r="I560" s="662"/>
      <c r="J560" s="662"/>
      <c r="K560" s="662"/>
      <c r="L560" s="662"/>
      <c r="M560" s="662"/>
    </row>
    <row r="561" spans="8:13">
      <c r="H561" s="662"/>
      <c r="I561" s="662"/>
      <c r="J561" s="662"/>
      <c r="K561" s="662"/>
      <c r="L561" s="662"/>
      <c r="M561" s="662"/>
    </row>
    <row r="562" spans="8:13">
      <c r="H562" s="662"/>
      <c r="I562" s="662"/>
      <c r="J562" s="662"/>
      <c r="K562" s="662"/>
      <c r="L562" s="662"/>
      <c r="M562" s="662"/>
    </row>
    <row r="563" spans="8:13">
      <c r="H563" s="662"/>
      <c r="I563" s="662"/>
      <c r="J563" s="662"/>
      <c r="K563" s="662"/>
      <c r="L563" s="662"/>
      <c r="M563" s="662"/>
    </row>
    <row r="564" spans="8:13">
      <c r="H564" s="662"/>
      <c r="I564" s="662"/>
      <c r="J564" s="662"/>
      <c r="K564" s="662"/>
      <c r="L564" s="662"/>
      <c r="M564" s="662"/>
    </row>
    <row r="565" spans="8:13">
      <c r="H565" s="662"/>
      <c r="I565" s="662"/>
      <c r="J565" s="662"/>
      <c r="K565" s="662"/>
      <c r="L565" s="662"/>
      <c r="M565" s="662"/>
    </row>
    <row r="566" spans="8:13">
      <c r="H566" s="662"/>
      <c r="I566" s="662"/>
      <c r="J566" s="662"/>
      <c r="K566" s="662"/>
      <c r="L566" s="662"/>
      <c r="M566" s="662"/>
    </row>
    <row r="567" spans="8:13">
      <c r="H567" s="662"/>
      <c r="I567" s="662"/>
      <c r="J567" s="662"/>
      <c r="K567" s="662"/>
      <c r="L567" s="662"/>
      <c r="M567" s="662"/>
    </row>
    <row r="568" spans="8:13">
      <c r="H568" s="662"/>
      <c r="I568" s="662"/>
      <c r="J568" s="662"/>
      <c r="K568" s="662"/>
      <c r="L568" s="662"/>
      <c r="M568" s="662"/>
    </row>
    <row r="569" spans="8:13">
      <c r="H569" s="662"/>
      <c r="I569" s="662"/>
      <c r="J569" s="662"/>
      <c r="K569" s="662"/>
      <c r="L569" s="662"/>
      <c r="M569" s="662"/>
    </row>
    <row r="570" spans="8:13">
      <c r="H570" s="662"/>
      <c r="I570" s="662"/>
      <c r="J570" s="662"/>
      <c r="K570" s="662"/>
      <c r="L570" s="662"/>
      <c r="M570" s="662"/>
    </row>
    <row r="571" spans="8:13">
      <c r="H571" s="662"/>
      <c r="I571" s="662"/>
      <c r="J571" s="662"/>
      <c r="K571" s="662"/>
      <c r="L571" s="662"/>
      <c r="M571" s="662"/>
    </row>
    <row r="572" spans="8:13">
      <c r="H572" s="662"/>
      <c r="I572" s="662"/>
      <c r="J572" s="662"/>
      <c r="K572" s="662"/>
      <c r="L572" s="662"/>
      <c r="M572" s="662"/>
    </row>
    <row r="573" spans="8:13">
      <c r="H573" s="662"/>
      <c r="I573" s="662"/>
      <c r="J573" s="662"/>
      <c r="K573" s="662"/>
      <c r="L573" s="662"/>
      <c r="M573" s="662"/>
    </row>
    <row r="574" spans="8:13">
      <c r="H574" s="662"/>
      <c r="I574" s="662"/>
      <c r="J574" s="662"/>
      <c r="K574" s="662"/>
      <c r="L574" s="662"/>
      <c r="M574" s="662"/>
    </row>
    <row r="575" spans="8:13">
      <c r="H575" s="662"/>
      <c r="I575" s="662"/>
      <c r="J575" s="662"/>
      <c r="K575" s="662"/>
      <c r="L575" s="662"/>
      <c r="M575" s="662"/>
    </row>
    <row r="576" spans="8:13">
      <c r="H576" s="662"/>
      <c r="I576" s="662"/>
      <c r="J576" s="662"/>
      <c r="K576" s="662"/>
      <c r="L576" s="662"/>
      <c r="M576" s="662"/>
    </row>
    <row r="577" spans="8:13">
      <c r="H577" s="662"/>
      <c r="I577" s="662"/>
      <c r="J577" s="662"/>
      <c r="K577" s="662"/>
      <c r="L577" s="662"/>
      <c r="M577" s="662"/>
    </row>
    <row r="578" spans="8:13">
      <c r="H578" s="662"/>
      <c r="I578" s="662"/>
      <c r="J578" s="662"/>
      <c r="K578" s="662"/>
      <c r="L578" s="662"/>
      <c r="M578" s="662"/>
    </row>
    <row r="579" spans="8:13">
      <c r="H579" s="662"/>
      <c r="I579" s="662"/>
      <c r="J579" s="662"/>
      <c r="K579" s="662"/>
      <c r="L579" s="662"/>
      <c r="M579" s="662"/>
    </row>
    <row r="580" spans="8:13">
      <c r="H580" s="662"/>
      <c r="I580" s="662"/>
      <c r="J580" s="662"/>
      <c r="K580" s="662"/>
      <c r="L580" s="662"/>
      <c r="M580" s="662"/>
    </row>
    <row r="581" spans="8:13">
      <c r="H581" s="662"/>
      <c r="I581" s="662"/>
      <c r="J581" s="662"/>
      <c r="K581" s="662"/>
      <c r="L581" s="662"/>
      <c r="M581" s="662"/>
    </row>
    <row r="582" spans="8:13">
      <c r="H582" s="662"/>
      <c r="I582" s="662"/>
      <c r="J582" s="662"/>
      <c r="K582" s="662"/>
      <c r="L582" s="662"/>
      <c r="M582" s="662"/>
    </row>
    <row r="583" spans="8:13">
      <c r="H583" s="662"/>
      <c r="I583" s="662"/>
      <c r="J583" s="662"/>
      <c r="K583" s="662"/>
      <c r="L583" s="662"/>
      <c r="M583" s="662"/>
    </row>
    <row r="584" spans="8:13">
      <c r="H584" s="662"/>
      <c r="I584" s="662"/>
      <c r="J584" s="662"/>
      <c r="K584" s="662"/>
      <c r="L584" s="662"/>
      <c r="M584" s="662"/>
    </row>
    <row r="585" spans="8:13">
      <c r="H585" s="662"/>
      <c r="I585" s="662"/>
      <c r="J585" s="662"/>
      <c r="K585" s="662"/>
      <c r="L585" s="662"/>
      <c r="M585" s="662"/>
    </row>
    <row r="586" spans="8:13">
      <c r="H586" s="662"/>
      <c r="I586" s="662"/>
      <c r="J586" s="662"/>
      <c r="K586" s="662"/>
      <c r="L586" s="662"/>
      <c r="M586" s="662"/>
    </row>
    <row r="587" spans="8:13">
      <c r="H587" s="662"/>
      <c r="I587" s="662"/>
      <c r="J587" s="662"/>
      <c r="K587" s="662"/>
      <c r="L587" s="662"/>
      <c r="M587" s="662"/>
    </row>
    <row r="588" spans="8:13">
      <c r="H588" s="662"/>
      <c r="I588" s="662"/>
      <c r="J588" s="662"/>
      <c r="K588" s="662"/>
      <c r="L588" s="662"/>
      <c r="M588" s="662"/>
    </row>
    <row r="589" spans="8:13">
      <c r="H589" s="662"/>
      <c r="I589" s="662"/>
      <c r="J589" s="662"/>
      <c r="K589" s="662"/>
      <c r="L589" s="662"/>
      <c r="M589" s="662"/>
    </row>
    <row r="590" spans="8:13">
      <c r="H590" s="662"/>
      <c r="I590" s="662"/>
      <c r="J590" s="662"/>
      <c r="K590" s="662"/>
      <c r="L590" s="662"/>
      <c r="M590" s="662"/>
    </row>
    <row r="591" spans="8:13">
      <c r="H591" s="662"/>
      <c r="I591" s="662"/>
      <c r="J591" s="662"/>
      <c r="K591" s="662"/>
      <c r="L591" s="662"/>
      <c r="M591" s="662"/>
    </row>
    <row r="592" spans="8:13">
      <c r="H592" s="662"/>
      <c r="I592" s="662"/>
      <c r="J592" s="662"/>
      <c r="K592" s="662"/>
      <c r="L592" s="662"/>
      <c r="M592" s="662"/>
    </row>
    <row r="593" spans="8:13">
      <c r="H593" s="662"/>
      <c r="I593" s="662"/>
      <c r="J593" s="662"/>
      <c r="K593" s="662"/>
      <c r="L593" s="662"/>
      <c r="M593" s="662"/>
    </row>
    <row r="594" spans="8:13">
      <c r="H594" s="662"/>
      <c r="I594" s="662"/>
      <c r="J594" s="662"/>
      <c r="K594" s="662"/>
      <c r="L594" s="662"/>
      <c r="M594" s="662"/>
    </row>
    <row r="595" spans="8:13">
      <c r="H595" s="662"/>
      <c r="I595" s="662"/>
      <c r="J595" s="662"/>
      <c r="K595" s="662"/>
      <c r="L595" s="662"/>
      <c r="M595" s="662"/>
    </row>
    <row r="596" spans="8:13">
      <c r="H596" s="662"/>
      <c r="I596" s="662"/>
      <c r="J596" s="662"/>
      <c r="K596" s="662"/>
      <c r="L596" s="662"/>
      <c r="M596" s="662"/>
    </row>
    <row r="597" spans="8:13">
      <c r="H597" s="662"/>
      <c r="I597" s="662"/>
      <c r="J597" s="662"/>
      <c r="K597" s="662"/>
      <c r="L597" s="662"/>
      <c r="M597" s="662"/>
    </row>
    <row r="598" spans="8:13">
      <c r="H598" s="662"/>
      <c r="I598" s="662"/>
      <c r="J598" s="662"/>
      <c r="K598" s="662"/>
      <c r="L598" s="662"/>
      <c r="M598" s="662"/>
    </row>
    <row r="599" spans="8:13">
      <c r="H599" s="662"/>
      <c r="I599" s="662"/>
      <c r="J599" s="662"/>
      <c r="K599" s="662"/>
      <c r="L599" s="662"/>
      <c r="M599" s="662"/>
    </row>
    <row r="600" spans="8:13">
      <c r="H600" s="662"/>
      <c r="I600" s="662"/>
      <c r="J600" s="662"/>
      <c r="K600" s="662"/>
      <c r="L600" s="662"/>
      <c r="M600" s="662"/>
    </row>
  </sheetData>
  <autoFilter ref="A2:AC2" xr:uid="{00000000-0009-0000-0000-00000F000000}">
    <sortState ref="A3:AC240">
      <sortCondition ref="V2"/>
    </sortState>
  </autoFilter>
  <mergeCells count="1">
    <mergeCell ref="D1:W1"/>
  </mergeCells>
  <conditionalFormatting sqref="L2">
    <cfRule type="duplicateValues" dxfId="11" priority="1"/>
    <cfRule type="duplicateValues" dxfId="10" priority="2"/>
    <cfRule type="cellIs" dxfId="9" priority="3" operator="equal">
      <formula>296952</formula>
    </cfRule>
  </conditionalFormatting>
  <conditionalFormatting sqref="L2">
    <cfRule type="duplicateValues" dxfId="8" priority="4"/>
    <cfRule type="duplicateValues" dxfId="7" priority="5"/>
  </conditionalFormatting>
  <conditionalFormatting sqref="L2">
    <cfRule type="duplicateValues" dxfId="6" priority="6"/>
  </conditionalFormatting>
  <conditionalFormatting sqref="L2">
    <cfRule type="duplicateValues" dxfId="5" priority="7"/>
  </conditionalFormatting>
  <conditionalFormatting sqref="L2">
    <cfRule type="duplicateValues" dxfId="4" priority="8"/>
  </conditionalFormatting>
  <conditionalFormatting sqref="L2">
    <cfRule type="duplicateValues" dxfId="3" priority="9"/>
  </conditionalFormatting>
  <conditionalFormatting sqref="L3:L58">
    <cfRule type="duplicateValues" dxfId="2" priority="13"/>
    <cfRule type="duplicateValues" dxfId="1" priority="14"/>
    <cfRule type="duplicateValues" dxfId="0" priority="15"/>
  </conditionalFormatting>
  <pageMargins left="0.7" right="0.7" top="0.75" bottom="0.75" header="0.3" footer="0.3"/>
  <pageSetup paperSize="9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Hoja16">
    <tabColor rgb="FF00B0F0"/>
    <pageSetUpPr fitToPage="1"/>
  </sheetPr>
  <dimension ref="A1:AG237"/>
  <sheetViews>
    <sheetView showGridLines="0" topLeftCell="A23" zoomScale="80" zoomScaleNormal="80" workbookViewId="0">
      <selection activeCell="F43" sqref="F43"/>
    </sheetView>
  </sheetViews>
  <sheetFormatPr baseColWidth="10" defaultRowHeight="89.25" customHeight="1"/>
  <cols>
    <col min="1" max="2" width="25.28515625" style="6" customWidth="1"/>
    <col min="3" max="3" width="25.28515625" style="16" customWidth="1"/>
    <col min="4" max="4" width="25.28515625" style="17" customWidth="1"/>
    <col min="5" max="5" width="15.28515625" style="6" bestFit="1" customWidth="1"/>
    <col min="6" max="6" width="21.7109375" style="19" bestFit="1" customWidth="1"/>
    <col min="7" max="7" width="20.28515625" style="5" bestFit="1" customWidth="1"/>
    <col min="8" max="8" width="28.28515625" style="549" bestFit="1" customWidth="1"/>
    <col min="9" max="10" width="18.7109375" style="5" customWidth="1"/>
    <col min="11" max="11" width="11.42578125" style="5"/>
    <col min="12" max="12" width="11.85546875" style="5" bestFit="1" customWidth="1"/>
    <col min="13" max="25" width="11.42578125" style="5"/>
    <col min="26" max="16384" width="11.42578125" style="6"/>
  </cols>
  <sheetData>
    <row r="1" spans="1:25" s="4" customFormat="1" ht="27" customHeight="1">
      <c r="A1" s="1339" t="s">
        <v>776</v>
      </c>
      <c r="B1" s="1339"/>
      <c r="C1" s="1339"/>
      <c r="D1" s="1339"/>
      <c r="E1" s="1339"/>
      <c r="F1" s="1339"/>
      <c r="G1" s="3"/>
      <c r="H1" s="548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spans="1:25" s="4" customFormat="1" ht="27" customHeight="1">
      <c r="A2" s="1339"/>
      <c r="B2" s="1339"/>
      <c r="C2" s="1339"/>
      <c r="D2" s="1339"/>
      <c r="E2" s="1339"/>
      <c r="F2" s="1339"/>
      <c r="G2" s="3"/>
      <c r="H2" s="548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 s="4" customFormat="1" ht="15.75">
      <c r="A3" s="1339"/>
      <c r="B3" s="1339"/>
      <c r="C3" s="1339"/>
      <c r="D3" s="1339"/>
      <c r="E3" s="1339"/>
      <c r="F3" s="1339"/>
      <c r="G3" s="3"/>
      <c r="H3" s="548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</row>
    <row r="4" spans="1:25" s="4" customFormat="1" ht="15.75">
      <c r="A4" s="1345" t="s">
        <v>870</v>
      </c>
      <c r="B4" s="1345"/>
      <c r="C4" s="1345"/>
      <c r="D4" s="1345"/>
      <c r="E4" s="1345"/>
      <c r="F4" s="1345"/>
      <c r="G4" s="3"/>
      <c r="H4" s="548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</row>
    <row r="5" spans="1:25" ht="30" customHeight="1">
      <c r="A5" s="1339" t="s">
        <v>205</v>
      </c>
      <c r="B5" s="1339"/>
      <c r="C5" s="1339"/>
      <c r="D5" s="1339"/>
      <c r="E5" s="1339"/>
      <c r="F5" s="1339"/>
    </row>
    <row r="6" spans="1:25" ht="30" customHeight="1" thickBot="1">
      <c r="A6" s="1339" t="s">
        <v>188</v>
      </c>
      <c r="B6" s="1339"/>
      <c r="C6" s="1339"/>
      <c r="D6" s="1339"/>
      <c r="E6" s="1339"/>
      <c r="F6" s="1339"/>
    </row>
    <row r="7" spans="1:25" ht="30" customHeight="1" thickBot="1">
      <c r="A7" s="1346" t="s">
        <v>1</v>
      </c>
      <c r="B7" s="1347"/>
      <c r="C7" s="1347"/>
      <c r="D7" s="1347"/>
      <c r="E7" s="1347"/>
      <c r="F7" s="7" t="s">
        <v>2</v>
      </c>
    </row>
    <row r="8" spans="1:25" ht="18.600000000000001" customHeight="1">
      <c r="A8" s="8"/>
      <c r="B8" s="9"/>
      <c r="C8" s="9"/>
      <c r="D8" s="9"/>
      <c r="E8" s="10"/>
      <c r="F8" s="11"/>
    </row>
    <row r="9" spans="1:25" ht="18.600000000000001" customHeight="1">
      <c r="A9" s="1342" t="s">
        <v>869</v>
      </c>
      <c r="B9" s="1343"/>
      <c r="C9" s="1343"/>
      <c r="D9" s="1343"/>
      <c r="E9" s="259"/>
      <c r="F9" s="260">
        <f>F43</f>
        <v>2022905.7600000002</v>
      </c>
    </row>
    <row r="10" spans="1:25" ht="18.600000000000001" customHeight="1">
      <c r="A10" s="1333" t="s">
        <v>213</v>
      </c>
      <c r="B10" s="1334"/>
      <c r="C10" s="1334"/>
      <c r="D10" s="1334"/>
      <c r="E10" s="261">
        <v>10967.74</v>
      </c>
      <c r="F10" s="262"/>
    </row>
    <row r="11" spans="1:25" ht="18.600000000000001" customHeight="1">
      <c r="A11" s="1333" t="s">
        <v>212</v>
      </c>
      <c r="B11" s="1334"/>
      <c r="C11" s="1334"/>
      <c r="D11" s="1334"/>
      <c r="E11" s="261">
        <v>42500.93</v>
      </c>
      <c r="F11" s="262"/>
    </row>
    <row r="12" spans="1:25" ht="18.600000000000001" customHeight="1">
      <c r="A12" s="1333" t="s">
        <v>223</v>
      </c>
      <c r="B12" s="1334"/>
      <c r="C12" s="1334"/>
      <c r="D12" s="1334"/>
      <c r="E12" s="261">
        <v>38504.11</v>
      </c>
      <c r="F12" s="262"/>
    </row>
    <row r="13" spans="1:25" ht="18.600000000000001" customHeight="1">
      <c r="A13" s="1333" t="s">
        <v>231</v>
      </c>
      <c r="B13" s="1334"/>
      <c r="C13" s="1334"/>
      <c r="D13" s="1334"/>
      <c r="E13" s="261">
        <v>42507.81</v>
      </c>
      <c r="F13" s="262"/>
    </row>
    <row r="14" spans="1:25" ht="18.600000000000001" customHeight="1">
      <c r="A14" s="1333" t="s">
        <v>243</v>
      </c>
      <c r="B14" s="1334"/>
      <c r="C14" s="1334"/>
      <c r="D14" s="1334"/>
      <c r="E14" s="261">
        <v>41011.019999999997</v>
      </c>
      <c r="F14" s="262"/>
    </row>
    <row r="15" spans="1:25" ht="18.600000000000001" customHeight="1">
      <c r="A15" s="1333" t="s">
        <v>272</v>
      </c>
      <c r="B15" s="1334"/>
      <c r="C15" s="1334"/>
      <c r="D15" s="1334"/>
      <c r="E15" s="261">
        <v>42514.91</v>
      </c>
      <c r="F15" s="262"/>
    </row>
    <row r="16" spans="1:25" ht="18.600000000000001" customHeight="1">
      <c r="A16" s="1333" t="s">
        <v>276</v>
      </c>
      <c r="B16" s="1334"/>
      <c r="C16" s="1334"/>
      <c r="D16" s="1334"/>
      <c r="E16" s="261">
        <v>41017.870000000003</v>
      </c>
      <c r="F16" s="262"/>
    </row>
    <row r="17" spans="1:10" ht="18.600000000000001" customHeight="1">
      <c r="A17" s="1333" t="s">
        <v>294</v>
      </c>
      <c r="B17" s="1334"/>
      <c r="C17" s="1334"/>
      <c r="D17" s="1334"/>
      <c r="E17" s="261">
        <f>37141.62+1</f>
        <v>37142.620000000003</v>
      </c>
      <c r="F17" s="262"/>
      <c r="G17" s="5" t="str">
        <f>"+1"</f>
        <v>+1</v>
      </c>
    </row>
    <row r="18" spans="1:10" ht="18.600000000000001" customHeight="1">
      <c r="A18" s="1333" t="s">
        <v>307</v>
      </c>
      <c r="B18" s="1334"/>
      <c r="C18" s="1334"/>
      <c r="D18" s="1334"/>
      <c r="E18" s="261">
        <v>27362.25</v>
      </c>
      <c r="F18" s="262"/>
    </row>
    <row r="19" spans="1:10" ht="18.600000000000001" customHeight="1">
      <c r="A19" s="1333" t="s">
        <v>365</v>
      </c>
      <c r="B19" s="1334"/>
      <c r="C19" s="1334"/>
      <c r="D19" s="1334"/>
      <c r="E19" s="261">
        <f>13540.48+1</f>
        <v>13541.48</v>
      </c>
      <c r="F19" s="262"/>
      <c r="G19" s="5" t="str">
        <f>"+1"</f>
        <v>+1</v>
      </c>
    </row>
    <row r="20" spans="1:10" ht="18.600000000000001" customHeight="1">
      <c r="A20" s="574" t="s">
        <v>427</v>
      </c>
      <c r="B20" s="575"/>
      <c r="C20" s="575"/>
      <c r="D20" s="575"/>
      <c r="E20" s="261">
        <v>708.3</v>
      </c>
      <c r="F20" s="262"/>
    </row>
    <row r="21" spans="1:10" ht="18.600000000000001" customHeight="1">
      <c r="A21" s="651" t="s">
        <v>462</v>
      </c>
      <c r="B21" s="652"/>
      <c r="C21" s="652"/>
      <c r="D21" s="652"/>
      <c r="E21" s="261">
        <v>683.36</v>
      </c>
      <c r="F21" s="262"/>
    </row>
    <row r="22" spans="1:10" ht="18.600000000000001" customHeight="1">
      <c r="A22" s="670" t="s">
        <v>494</v>
      </c>
      <c r="B22" s="671"/>
      <c r="C22" s="671"/>
      <c r="D22" s="671"/>
      <c r="E22" s="261">
        <v>708.42</v>
      </c>
      <c r="F22" s="262"/>
    </row>
    <row r="23" spans="1:10" ht="18.600000000000001" customHeight="1">
      <c r="A23" s="689" t="s">
        <v>501</v>
      </c>
      <c r="B23" s="690"/>
      <c r="C23" s="690"/>
      <c r="D23" s="690"/>
      <c r="E23" s="261">
        <v>708.48</v>
      </c>
      <c r="F23" s="262"/>
    </row>
    <row r="24" spans="1:10" ht="18.600000000000001" customHeight="1">
      <c r="A24" s="725" t="s">
        <v>515</v>
      </c>
      <c r="B24" s="726"/>
      <c r="C24" s="726"/>
      <c r="D24" s="726"/>
      <c r="E24" s="261">
        <v>641.85</v>
      </c>
      <c r="F24" s="262"/>
    </row>
    <row r="25" spans="1:10" ht="18.600000000000001" customHeight="1">
      <c r="A25" s="743" t="s">
        <v>520</v>
      </c>
      <c r="B25" s="744"/>
      <c r="C25" s="744"/>
      <c r="D25" s="744"/>
      <c r="E25" s="261">
        <v>708.6</v>
      </c>
      <c r="F25" s="262"/>
    </row>
    <row r="26" spans="1:10" ht="18.600000000000001" customHeight="1">
      <c r="A26" s="773" t="s">
        <v>537</v>
      </c>
      <c r="B26" s="774"/>
      <c r="C26" s="774"/>
      <c r="D26" s="774"/>
      <c r="E26" s="261">
        <f>683.64-2</f>
        <v>681.64</v>
      </c>
      <c r="F26" s="262"/>
      <c r="G26" s="785" t="str">
        <f>"-2"</f>
        <v>-2</v>
      </c>
    </row>
    <row r="27" spans="1:10" ht="18.600000000000001" customHeight="1">
      <c r="A27" s="793" t="s">
        <v>567</v>
      </c>
      <c r="B27" s="794"/>
      <c r="C27" s="794"/>
      <c r="D27" s="794"/>
      <c r="E27" s="261">
        <v>708.71</v>
      </c>
      <c r="F27" s="262"/>
      <c r="G27" s="785"/>
      <c r="H27" s="785"/>
      <c r="I27" s="785"/>
      <c r="J27" s="785"/>
    </row>
    <row r="28" spans="1:10" ht="18.600000000000001" customHeight="1">
      <c r="A28" s="811" t="s">
        <v>577</v>
      </c>
      <c r="B28" s="812"/>
      <c r="C28" s="812"/>
      <c r="D28" s="812"/>
      <c r="E28" s="261">
        <v>683.76</v>
      </c>
      <c r="F28" s="262"/>
      <c r="G28" s="785"/>
      <c r="H28" s="785"/>
      <c r="I28" s="785"/>
      <c r="J28" s="785"/>
    </row>
    <row r="29" spans="1:10" ht="18.600000000000001" customHeight="1">
      <c r="A29" s="874" t="s">
        <v>625</v>
      </c>
      <c r="B29" s="875"/>
      <c r="C29" s="875"/>
      <c r="D29" s="875"/>
      <c r="E29" s="261">
        <v>708.83</v>
      </c>
      <c r="F29" s="262"/>
      <c r="G29" s="785"/>
      <c r="H29" s="785"/>
      <c r="I29" s="785"/>
      <c r="J29" s="785"/>
    </row>
    <row r="30" spans="1:10" ht="18.600000000000001" customHeight="1">
      <c r="A30" s="895" t="s">
        <v>720</v>
      </c>
      <c r="B30" s="896"/>
      <c r="C30" s="896"/>
      <c r="D30" s="896"/>
      <c r="E30" s="261">
        <v>708.89</v>
      </c>
      <c r="F30" s="262"/>
      <c r="G30" s="785"/>
      <c r="H30" s="785"/>
      <c r="I30" s="785"/>
      <c r="J30" s="785"/>
    </row>
    <row r="31" spans="1:10" ht="18.600000000000001" customHeight="1">
      <c r="A31" s="904" t="s">
        <v>647</v>
      </c>
      <c r="B31" s="905"/>
      <c r="C31" s="905"/>
      <c r="D31" s="905"/>
      <c r="E31" s="261">
        <v>683.93</v>
      </c>
      <c r="F31" s="262"/>
      <c r="G31" s="785"/>
      <c r="H31" s="785"/>
      <c r="I31" s="785"/>
      <c r="J31" s="785"/>
    </row>
    <row r="32" spans="1:10" ht="18.600000000000001" customHeight="1">
      <c r="A32" s="924" t="s">
        <v>655</v>
      </c>
      <c r="B32" s="925"/>
      <c r="C32" s="925"/>
      <c r="D32" s="925"/>
      <c r="E32" s="261">
        <v>709.01</v>
      </c>
      <c r="F32" s="262"/>
      <c r="G32" s="785"/>
      <c r="H32" s="785"/>
      <c r="I32" s="785"/>
      <c r="J32" s="785"/>
    </row>
    <row r="33" spans="1:33" ht="18.600000000000001" customHeight="1">
      <c r="A33" s="948" t="s">
        <v>665</v>
      </c>
      <c r="B33" s="949"/>
      <c r="C33" s="949"/>
      <c r="D33" s="949"/>
      <c r="E33" s="261">
        <v>1725.85</v>
      </c>
      <c r="F33" s="262"/>
      <c r="G33" s="785"/>
      <c r="H33" s="785"/>
      <c r="I33" s="785"/>
      <c r="J33" s="785"/>
    </row>
    <row r="34" spans="1:33" ht="18.600000000000001" customHeight="1">
      <c r="A34" s="966" t="s">
        <v>677</v>
      </c>
      <c r="B34" s="967"/>
      <c r="C34" s="967"/>
      <c r="D34" s="967"/>
      <c r="E34" s="261">
        <v>4308.96</v>
      </c>
      <c r="F34" s="262"/>
      <c r="G34" s="785"/>
      <c r="H34" s="785"/>
      <c r="I34" s="785"/>
      <c r="J34" s="785"/>
    </row>
    <row r="35" spans="1:33" ht="18.600000000000001" customHeight="1">
      <c r="A35" s="989" t="s">
        <v>687</v>
      </c>
      <c r="B35" s="990"/>
      <c r="C35" s="990"/>
      <c r="D35" s="990"/>
      <c r="E35" s="261">
        <v>4309.33</v>
      </c>
      <c r="F35" s="262"/>
      <c r="G35" s="785"/>
      <c r="H35" s="785"/>
      <c r="I35" s="785"/>
      <c r="J35" s="785"/>
    </row>
    <row r="36" spans="1:33" ht="18.600000000000001" customHeight="1">
      <c r="A36" s="1009" t="s">
        <v>720</v>
      </c>
      <c r="B36" s="1010"/>
      <c r="C36" s="1010"/>
      <c r="D36" s="1010"/>
      <c r="E36" s="261">
        <v>3904.08</v>
      </c>
      <c r="F36" s="262"/>
      <c r="G36" s="785"/>
      <c r="H36" s="785"/>
      <c r="I36" s="785"/>
      <c r="J36" s="785"/>
    </row>
    <row r="37" spans="1:33" ht="18.600000000000001" customHeight="1">
      <c r="A37" s="1032" t="s">
        <v>729</v>
      </c>
      <c r="B37" s="1033"/>
      <c r="C37" s="1033"/>
      <c r="D37" s="1033"/>
      <c r="E37" s="261">
        <v>332531.76</v>
      </c>
      <c r="F37" s="262"/>
      <c r="G37" s="785"/>
      <c r="H37" s="785"/>
      <c r="I37" s="785"/>
      <c r="J37" s="785"/>
    </row>
    <row r="38" spans="1:33" ht="18.600000000000001" customHeight="1">
      <c r="A38" s="1069" t="s">
        <v>748</v>
      </c>
      <c r="B38" s="1070"/>
      <c r="C38" s="1070"/>
      <c r="D38" s="1070"/>
      <c r="E38" s="261">
        <v>323892.27</v>
      </c>
      <c r="F38" s="262"/>
      <c r="G38" s="785"/>
      <c r="H38" s="785"/>
      <c r="I38" s="785"/>
      <c r="J38" s="785"/>
    </row>
    <row r="39" spans="1:33" ht="18.600000000000001" customHeight="1">
      <c r="A39" s="1090" t="s">
        <v>777</v>
      </c>
      <c r="B39" s="1091"/>
      <c r="C39" s="1091"/>
      <c r="D39" s="1091"/>
      <c r="E39" s="261">
        <v>336836.59</v>
      </c>
      <c r="F39" s="262"/>
      <c r="G39" s="785">
        <f>+SUM(E10:E39)</f>
        <v>1353623.36</v>
      </c>
      <c r="H39" s="785"/>
      <c r="I39" s="785"/>
      <c r="J39" s="785"/>
    </row>
    <row r="40" spans="1:33" ht="18.600000000000001" customHeight="1">
      <c r="A40" s="1100" t="s">
        <v>813</v>
      </c>
      <c r="B40" s="1101"/>
      <c r="C40" s="1101"/>
      <c r="D40" s="1101"/>
      <c r="E40" s="261">
        <v>328085.26</v>
      </c>
      <c r="F40" s="262"/>
      <c r="G40" s="785"/>
      <c r="H40" s="785"/>
      <c r="I40" s="785"/>
      <c r="J40" s="785"/>
    </row>
    <row r="41" spans="1:33" ht="18.600000000000001" customHeight="1">
      <c r="A41" s="1128" t="s">
        <v>867</v>
      </c>
      <c r="B41" s="1129"/>
      <c r="C41" s="1129"/>
      <c r="D41" s="1129"/>
      <c r="E41" s="261">
        <v>341197.14</v>
      </c>
      <c r="F41" s="262"/>
      <c r="G41" s="785"/>
      <c r="H41" s="785"/>
      <c r="I41" s="785"/>
      <c r="J41" s="785"/>
    </row>
    <row r="42" spans="1:33" ht="18.600000000000001" customHeight="1">
      <c r="A42" s="545"/>
      <c r="B42" s="546"/>
      <c r="C42" s="546"/>
      <c r="D42" s="546"/>
      <c r="E42" s="261"/>
      <c r="F42" s="262"/>
      <c r="G42" s="776" t="s">
        <v>535</v>
      </c>
      <c r="H42" s="775" t="s">
        <v>536</v>
      </c>
      <c r="I42" s="775" t="s">
        <v>516</v>
      </c>
      <c r="J42" s="742" t="s">
        <v>65</v>
      </c>
    </row>
    <row r="43" spans="1:33" s="5" customFormat="1" ht="24.75" customHeight="1" thickBot="1">
      <c r="A43" s="14" t="s">
        <v>868</v>
      </c>
      <c r="B43" s="15"/>
      <c r="C43" s="15"/>
      <c r="D43" s="15"/>
      <c r="E43" s="265"/>
      <c r="F43" s="266">
        <f>SUM(E9:E42)</f>
        <v>2022905.7600000002</v>
      </c>
      <c r="G43" s="5">
        <f>+F43+Adhesiones!H66</f>
        <v>52368817.693709023</v>
      </c>
      <c r="H43" s="741">
        <f>+G43-F43</f>
        <v>50345911.933709025</v>
      </c>
      <c r="I43" s="5">
        <f>-'Anexo 3-Porcion C-NC'!B15</f>
        <v>-50345911.689999998</v>
      </c>
      <c r="J43" s="5">
        <f>+H43+I43</f>
        <v>0.2437090277671814</v>
      </c>
      <c r="Z43" s="6"/>
      <c r="AA43" s="6"/>
      <c r="AB43" s="6"/>
      <c r="AC43" s="6"/>
      <c r="AD43" s="6"/>
      <c r="AE43" s="6"/>
      <c r="AF43" s="6"/>
      <c r="AG43" s="6"/>
    </row>
    <row r="44" spans="1:33" s="20" customFormat="1" ht="15.75">
      <c r="A44" s="6"/>
      <c r="B44" s="6"/>
      <c r="C44" s="16"/>
      <c r="D44" s="17"/>
      <c r="E44" s="18"/>
      <c r="G44" s="785">
        <f>+'Anexo 3-Porcion C-NC'!B44</f>
        <v>1681708.62</v>
      </c>
      <c r="H44" s="785"/>
      <c r="I44" s="785"/>
      <c r="J44" s="78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</row>
    <row r="45" spans="1:33" s="20" customFormat="1" ht="15.75">
      <c r="A45" s="6"/>
      <c r="B45" s="6"/>
      <c r="C45" s="16"/>
      <c r="D45" s="17"/>
      <c r="E45" s="21"/>
      <c r="G45" s="785">
        <f>+G44-F43-E41</f>
        <v>-682394.28000000014</v>
      </c>
      <c r="H45" s="785"/>
      <c r="I45" s="785"/>
      <c r="J45" s="78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</row>
    <row r="46" spans="1:33" s="20" customFormat="1" ht="15.75">
      <c r="A46" s="6"/>
      <c r="B46" s="6"/>
      <c r="C46" s="16"/>
      <c r="D46" s="17"/>
      <c r="E46" s="22"/>
      <c r="F46" s="19"/>
      <c r="G46" s="785"/>
      <c r="H46" s="785"/>
      <c r="I46" s="785"/>
      <c r="J46" s="78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</row>
    <row r="47" spans="1:33" s="20" customFormat="1" ht="15.75">
      <c r="A47" s="6"/>
      <c r="B47" s="6"/>
      <c r="C47" s="16"/>
      <c r="D47" s="17"/>
      <c r="E47" s="22"/>
      <c r="F47" s="19"/>
      <c r="G47" s="5"/>
      <c r="H47" s="549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</row>
    <row r="48" spans="1:33" s="5" customFormat="1" ht="16.5" thickBot="1">
      <c r="A48" s="23"/>
      <c r="B48" s="24"/>
      <c r="C48" s="25"/>
      <c r="D48" s="131"/>
      <c r="E48" s="132"/>
      <c r="F48" s="133"/>
      <c r="H48" s="549"/>
    </row>
    <row r="49" spans="1:25" s="5" customFormat="1" ht="15" customHeight="1">
      <c r="A49" s="1336" t="s">
        <v>135</v>
      </c>
      <c r="B49" s="1336"/>
      <c r="C49" s="1"/>
      <c r="D49" s="1336" t="s">
        <v>517</v>
      </c>
      <c r="E49" s="1336"/>
      <c r="F49" s="224"/>
      <c r="H49" s="549"/>
    </row>
    <row r="50" spans="1:25" s="5" customFormat="1" ht="14.45" customHeight="1">
      <c r="A50" s="1332" t="s">
        <v>145</v>
      </c>
      <c r="B50" s="1332"/>
      <c r="C50" s="2"/>
      <c r="D50" s="1332" t="s">
        <v>519</v>
      </c>
      <c r="E50" s="1332"/>
      <c r="F50" s="225"/>
      <c r="H50" s="549"/>
    </row>
    <row r="51" spans="1:25" s="5" customFormat="1" ht="15.75" customHeight="1">
      <c r="A51" s="1332" t="s">
        <v>48</v>
      </c>
      <c r="B51" s="1332"/>
      <c r="C51" s="2"/>
      <c r="D51" s="1332" t="s">
        <v>48</v>
      </c>
      <c r="E51" s="1332"/>
      <c r="F51" s="225"/>
      <c r="H51" s="549"/>
    </row>
    <row r="52" spans="1:25" s="554" customFormat="1" ht="15.75" customHeight="1">
      <c r="A52" s="550"/>
      <c r="B52" s="550"/>
      <c r="C52" s="551"/>
      <c r="D52" s="1335" t="s">
        <v>518</v>
      </c>
      <c r="E52" s="1335"/>
      <c r="F52" s="552"/>
      <c r="G52" s="12"/>
      <c r="H52" s="553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</row>
    <row r="53" spans="1:25" s="20" customFormat="1" ht="15.75">
      <c r="A53" s="6"/>
      <c r="B53" s="6"/>
      <c r="C53" s="16"/>
      <c r="D53" s="17"/>
      <c r="E53" s="22"/>
      <c r="F53" s="19"/>
      <c r="G53" s="5"/>
      <c r="H53" s="549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</row>
    <row r="54" spans="1:25" s="20" customFormat="1" ht="15.75">
      <c r="A54" s="6"/>
      <c r="B54" s="6"/>
      <c r="C54" s="16"/>
      <c r="D54" s="17"/>
      <c r="E54" s="22"/>
      <c r="F54" s="19"/>
      <c r="G54" s="5"/>
      <c r="H54" s="549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</row>
    <row r="55" spans="1:25" s="20" customFormat="1" ht="15.75">
      <c r="A55" s="27"/>
      <c r="B55" s="27"/>
      <c r="C55" s="27"/>
      <c r="D55" s="747"/>
      <c r="E55" s="333"/>
      <c r="F55" s="523"/>
      <c r="G55" s="5"/>
      <c r="H55" s="549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</row>
    <row r="56" spans="1:25" s="5" customFormat="1" ht="15.75">
      <c r="A56" s="27"/>
      <c r="B56" s="27"/>
      <c r="C56" s="27"/>
      <c r="D56" s="1218"/>
      <c r="E56" s="1218"/>
      <c r="F56" s="1218"/>
      <c r="H56" s="549"/>
    </row>
    <row r="57" spans="1:25" s="5" customFormat="1" ht="15" customHeight="1">
      <c r="A57" s="27"/>
      <c r="B57" s="27"/>
      <c r="C57" s="27"/>
      <c r="D57" s="1217"/>
      <c r="E57" s="1217"/>
      <c r="F57" s="1217"/>
      <c r="H57" s="549"/>
    </row>
    <row r="58" spans="1:25" s="5" customFormat="1" ht="14.45" customHeight="1">
      <c r="A58" s="27"/>
      <c r="B58" s="27"/>
      <c r="C58" s="27"/>
      <c r="D58" s="126"/>
      <c r="E58" s="334"/>
      <c r="F58" s="126"/>
      <c r="H58" s="549"/>
    </row>
    <row r="59" spans="1:25" s="5" customFormat="1" ht="14.45" customHeight="1">
      <c r="A59" s="27"/>
      <c r="B59" s="27"/>
      <c r="C59" s="27"/>
      <c r="D59" s="27"/>
      <c r="E59" s="27"/>
      <c r="F59" s="26"/>
      <c r="H59" s="549"/>
    </row>
    <row r="60" spans="1:25" s="20" customFormat="1" ht="15.75">
      <c r="A60" s="27"/>
      <c r="B60" s="27"/>
      <c r="C60" s="27"/>
      <c r="D60" s="27"/>
      <c r="E60" s="27"/>
      <c r="F60" s="19"/>
      <c r="G60" s="5"/>
      <c r="H60" s="549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</row>
    <row r="61" spans="1:25" s="20" customFormat="1" ht="15.75">
      <c r="A61" s="6"/>
      <c r="B61" s="6"/>
      <c r="C61" s="16"/>
      <c r="D61" s="17"/>
      <c r="E61" s="6"/>
      <c r="F61" s="19"/>
      <c r="G61" s="5"/>
      <c r="H61" s="549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</row>
    <row r="62" spans="1:25" s="20" customFormat="1" ht="15.75">
      <c r="A62" s="6"/>
      <c r="B62" s="6"/>
      <c r="C62" s="16"/>
      <c r="D62" s="27"/>
      <c r="E62" s="6"/>
      <c r="F62" s="19"/>
      <c r="G62" s="5"/>
      <c r="H62" s="549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</row>
    <row r="63" spans="1:25" s="20" customFormat="1" ht="15.75">
      <c r="A63" s="6"/>
      <c r="B63" s="6"/>
      <c r="C63" s="16"/>
      <c r="D63" s="17"/>
      <c r="E63" s="6"/>
      <c r="F63" s="19"/>
      <c r="G63" s="5"/>
      <c r="H63" s="549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</row>
    <row r="64" spans="1:25" s="20" customFormat="1" ht="15.75">
      <c r="A64" s="6"/>
      <c r="B64" s="6"/>
      <c r="C64" s="16"/>
      <c r="D64" s="17"/>
      <c r="E64" s="6"/>
      <c r="F64" s="19"/>
      <c r="G64" s="5"/>
      <c r="H64" s="549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</row>
    <row r="65" spans="1:25" s="20" customFormat="1" ht="15.75">
      <c r="A65" s="6"/>
      <c r="B65" s="6"/>
      <c r="C65" s="16"/>
      <c r="D65" s="17"/>
      <c r="E65" s="6"/>
      <c r="F65" s="19"/>
      <c r="G65" s="5"/>
      <c r="H65" s="549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</row>
    <row r="66" spans="1:25" s="20" customFormat="1" ht="15.75">
      <c r="A66" s="6"/>
      <c r="B66" s="6"/>
      <c r="C66" s="16"/>
      <c r="D66" s="17"/>
      <c r="E66" s="6"/>
      <c r="F66" s="19"/>
      <c r="G66" s="5"/>
      <c r="H66" s="549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</row>
    <row r="67" spans="1:25" s="20" customFormat="1" ht="15.75">
      <c r="A67" s="6"/>
      <c r="B67" s="6"/>
      <c r="C67" s="16"/>
      <c r="D67" s="17"/>
      <c r="E67" s="6"/>
      <c r="F67" s="19"/>
      <c r="G67" s="5"/>
      <c r="H67" s="549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</row>
    <row r="68" spans="1:25" s="20" customFormat="1" ht="15.75">
      <c r="A68" s="6"/>
      <c r="B68" s="6"/>
      <c r="C68" s="16"/>
      <c r="D68" s="17"/>
      <c r="E68" s="6"/>
      <c r="F68" s="19"/>
      <c r="G68" s="5"/>
      <c r="H68" s="549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</row>
    <row r="69" spans="1:25" s="20" customFormat="1" ht="15.75">
      <c r="A69" s="6"/>
      <c r="B69" s="6"/>
      <c r="C69" s="16"/>
      <c r="D69" s="17"/>
      <c r="E69" s="6"/>
      <c r="F69" s="19"/>
      <c r="G69" s="5"/>
      <c r="H69" s="549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</row>
    <row r="70" spans="1:25" s="20" customFormat="1" ht="15.75">
      <c r="A70" s="6"/>
      <c r="B70" s="6"/>
      <c r="C70" s="16"/>
      <c r="D70" s="17"/>
      <c r="E70" s="6"/>
      <c r="F70" s="19"/>
      <c r="G70" s="5"/>
      <c r="H70" s="549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</row>
    <row r="71" spans="1:25" s="20" customFormat="1" ht="15.75">
      <c r="A71" s="6"/>
      <c r="B71" s="6"/>
      <c r="C71" s="16"/>
      <c r="D71" s="17"/>
      <c r="E71" s="6"/>
      <c r="F71" s="19"/>
      <c r="G71" s="5"/>
      <c r="H71" s="549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</row>
    <row r="72" spans="1:25" s="20" customFormat="1" ht="15.75">
      <c r="A72" s="6"/>
      <c r="B72" s="6"/>
      <c r="C72" s="16"/>
      <c r="D72" s="17"/>
      <c r="E72" s="6"/>
      <c r="F72" s="19"/>
      <c r="G72" s="5"/>
      <c r="H72" s="549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</row>
    <row r="73" spans="1:25" s="20" customFormat="1" ht="15.75">
      <c r="A73" s="6"/>
      <c r="B73" s="6"/>
      <c r="C73" s="16"/>
      <c r="D73" s="17"/>
      <c r="E73" s="6"/>
      <c r="F73" s="19"/>
      <c r="G73" s="5"/>
      <c r="H73" s="549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</row>
    <row r="74" spans="1:25" s="20" customFormat="1" ht="15.75">
      <c r="A74" s="6"/>
      <c r="B74" s="6"/>
      <c r="C74" s="16"/>
      <c r="D74" s="17"/>
      <c r="E74" s="6"/>
      <c r="F74" s="19"/>
      <c r="G74" s="5"/>
      <c r="H74" s="549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</row>
    <row r="75" spans="1:25" s="20" customFormat="1" ht="15.75">
      <c r="A75" s="6"/>
      <c r="B75" s="6"/>
      <c r="C75" s="16"/>
      <c r="D75" s="17"/>
      <c r="E75" s="6"/>
      <c r="F75" s="19"/>
      <c r="G75" s="5"/>
      <c r="H75" s="549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</row>
    <row r="76" spans="1:25" s="20" customFormat="1" ht="15.75">
      <c r="A76" s="6"/>
      <c r="B76" s="6"/>
      <c r="C76" s="16"/>
      <c r="D76" s="17"/>
      <c r="E76" s="6"/>
      <c r="F76" s="19"/>
      <c r="G76" s="5"/>
      <c r="H76" s="549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</row>
    <row r="77" spans="1:25" s="20" customFormat="1" ht="15.75">
      <c r="A77" s="6"/>
      <c r="B77" s="6"/>
      <c r="C77" s="16"/>
      <c r="D77" s="17"/>
      <c r="E77" s="6"/>
      <c r="F77" s="19"/>
      <c r="G77" s="5"/>
      <c r="H77" s="549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</row>
    <row r="78" spans="1:25" s="20" customFormat="1" ht="15.75">
      <c r="A78" s="6"/>
      <c r="B78" s="6"/>
      <c r="C78" s="16"/>
      <c r="D78" s="17"/>
      <c r="E78" s="6"/>
      <c r="F78" s="19"/>
      <c r="G78" s="5"/>
      <c r="H78" s="549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</row>
    <row r="79" spans="1:25" s="20" customFormat="1" ht="15.75">
      <c r="A79" s="6"/>
      <c r="B79" s="6"/>
      <c r="C79" s="16"/>
      <c r="D79" s="17"/>
      <c r="E79" s="6"/>
      <c r="F79" s="19"/>
      <c r="G79" s="5"/>
      <c r="H79" s="549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</row>
    <row r="80" spans="1:25" s="20" customFormat="1" ht="89.25" customHeight="1">
      <c r="A80" s="6"/>
      <c r="B80" s="6"/>
      <c r="C80" s="16"/>
      <c r="D80" s="17"/>
      <c r="E80" s="6"/>
      <c r="F80" s="19"/>
      <c r="G80" s="5"/>
      <c r="H80" s="549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</row>
    <row r="81" spans="1:25" s="20" customFormat="1" ht="89.25" customHeight="1">
      <c r="A81" s="6"/>
      <c r="B81" s="6"/>
      <c r="C81" s="16"/>
      <c r="D81" s="17"/>
      <c r="E81" s="6"/>
      <c r="F81" s="19"/>
      <c r="G81" s="5"/>
      <c r="H81" s="549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</row>
    <row r="82" spans="1:25" s="20" customFormat="1" ht="89.25" customHeight="1">
      <c r="A82" s="6"/>
      <c r="B82" s="6"/>
      <c r="C82" s="16"/>
      <c r="D82" s="17"/>
      <c r="E82" s="6"/>
      <c r="F82" s="19"/>
      <c r="G82" s="5"/>
      <c r="H82" s="549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</row>
    <row r="83" spans="1:25" s="20" customFormat="1" ht="89.25" customHeight="1">
      <c r="A83" s="6"/>
      <c r="B83" s="6"/>
      <c r="C83" s="16"/>
      <c r="D83" s="17"/>
      <c r="E83" s="6"/>
      <c r="F83" s="19"/>
      <c r="G83" s="5"/>
      <c r="H83" s="549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</row>
    <row r="84" spans="1:25" s="20" customFormat="1" ht="89.25" customHeight="1">
      <c r="A84" s="6"/>
      <c r="B84" s="6"/>
      <c r="C84" s="16"/>
      <c r="D84" s="17"/>
      <c r="E84" s="6"/>
      <c r="F84" s="19"/>
      <c r="G84" s="5"/>
      <c r="H84" s="549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</row>
    <row r="85" spans="1:25" s="20" customFormat="1" ht="89.25" customHeight="1">
      <c r="A85" s="6"/>
      <c r="B85" s="6"/>
      <c r="C85" s="16"/>
      <c r="D85" s="17"/>
      <c r="E85" s="6"/>
      <c r="F85" s="19"/>
      <c r="G85" s="5"/>
      <c r="H85" s="549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</row>
    <row r="86" spans="1:25" s="20" customFormat="1" ht="89.25" customHeight="1">
      <c r="A86" s="6"/>
      <c r="B86" s="6"/>
      <c r="C86" s="16"/>
      <c r="D86" s="17"/>
      <c r="E86" s="6"/>
      <c r="F86" s="19"/>
      <c r="G86" s="5"/>
      <c r="H86" s="549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</row>
    <row r="87" spans="1:25" s="20" customFormat="1" ht="89.25" customHeight="1">
      <c r="A87" s="6"/>
      <c r="B87" s="6"/>
      <c r="C87" s="16"/>
      <c r="D87" s="17"/>
      <c r="E87" s="6"/>
      <c r="F87" s="19"/>
      <c r="G87" s="5"/>
      <c r="H87" s="549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</row>
    <row r="88" spans="1:25" s="20" customFormat="1" ht="89.25" customHeight="1">
      <c r="A88" s="6"/>
      <c r="B88" s="6"/>
      <c r="C88" s="16"/>
      <c r="D88" s="17"/>
      <c r="E88" s="6"/>
      <c r="F88" s="19"/>
      <c r="G88" s="5"/>
      <c r="H88" s="549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</row>
    <row r="89" spans="1:25" s="20" customFormat="1" ht="89.25" customHeight="1">
      <c r="A89" s="6"/>
      <c r="B89" s="6"/>
      <c r="C89" s="16"/>
      <c r="D89" s="17"/>
      <c r="E89" s="6"/>
      <c r="F89" s="19"/>
      <c r="G89" s="5"/>
      <c r="H89" s="549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</row>
    <row r="90" spans="1:25" s="20" customFormat="1" ht="89.25" customHeight="1">
      <c r="A90" s="6"/>
      <c r="B90" s="6"/>
      <c r="C90" s="16"/>
      <c r="D90" s="17"/>
      <c r="E90" s="6"/>
      <c r="F90" s="19"/>
      <c r="G90" s="5"/>
      <c r="H90" s="549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</row>
    <row r="91" spans="1:25" s="20" customFormat="1" ht="89.25" customHeight="1">
      <c r="A91" s="6"/>
      <c r="B91" s="6"/>
      <c r="C91" s="16"/>
      <c r="D91" s="17"/>
      <c r="E91" s="6"/>
      <c r="F91" s="19"/>
      <c r="G91" s="5"/>
      <c r="H91" s="549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</row>
    <row r="92" spans="1:25" s="20" customFormat="1" ht="89.25" customHeight="1">
      <c r="A92" s="6"/>
      <c r="B92" s="6"/>
      <c r="C92" s="16"/>
      <c r="D92" s="17"/>
      <c r="E92" s="6"/>
      <c r="F92" s="19"/>
      <c r="G92" s="5"/>
      <c r="H92" s="549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</row>
    <row r="93" spans="1:25" s="20" customFormat="1" ht="89.25" customHeight="1">
      <c r="A93" s="6"/>
      <c r="B93" s="6"/>
      <c r="C93" s="16"/>
      <c r="D93" s="17"/>
      <c r="E93" s="6"/>
      <c r="F93" s="19"/>
      <c r="G93" s="5"/>
      <c r="H93" s="549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</row>
    <row r="94" spans="1:25" s="20" customFormat="1" ht="89.25" customHeight="1">
      <c r="A94" s="6"/>
      <c r="B94" s="6"/>
      <c r="C94" s="16"/>
      <c r="D94" s="17"/>
      <c r="E94" s="6"/>
      <c r="F94" s="19"/>
      <c r="G94" s="5"/>
      <c r="H94" s="549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</row>
    <row r="95" spans="1:25" s="20" customFormat="1" ht="89.25" customHeight="1">
      <c r="A95" s="6"/>
      <c r="B95" s="6"/>
      <c r="C95" s="16"/>
      <c r="D95" s="17"/>
      <c r="E95" s="6"/>
      <c r="F95" s="19"/>
      <c r="G95" s="5"/>
      <c r="H95" s="549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</row>
    <row r="96" spans="1:25" s="20" customFormat="1" ht="89.25" customHeight="1">
      <c r="A96" s="6"/>
      <c r="B96" s="6"/>
      <c r="C96" s="16"/>
      <c r="D96" s="17"/>
      <c r="E96" s="6"/>
      <c r="F96" s="19"/>
      <c r="G96" s="5"/>
      <c r="H96" s="549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</row>
    <row r="97" spans="1:25" s="20" customFormat="1" ht="89.25" customHeight="1">
      <c r="A97" s="6"/>
      <c r="B97" s="6"/>
      <c r="C97" s="16"/>
      <c r="D97" s="17"/>
      <c r="E97" s="6"/>
      <c r="F97" s="19"/>
      <c r="G97" s="5"/>
      <c r="H97" s="549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</row>
    <row r="98" spans="1:25" s="20" customFormat="1" ht="89.25" customHeight="1">
      <c r="A98" s="6"/>
      <c r="B98" s="6"/>
      <c r="C98" s="16"/>
      <c r="D98" s="17"/>
      <c r="E98" s="6"/>
      <c r="F98" s="19"/>
      <c r="G98" s="5"/>
      <c r="H98" s="549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</row>
    <row r="99" spans="1:25" s="20" customFormat="1" ht="89.25" customHeight="1">
      <c r="A99" s="6"/>
      <c r="B99" s="6"/>
      <c r="C99" s="16"/>
      <c r="D99" s="17"/>
      <c r="E99" s="6"/>
      <c r="F99" s="19"/>
      <c r="G99" s="5"/>
      <c r="H99" s="549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</row>
    <row r="100" spans="1:25" s="20" customFormat="1" ht="89.25" customHeight="1">
      <c r="A100" s="6"/>
      <c r="B100" s="6"/>
      <c r="C100" s="16"/>
      <c r="D100" s="17"/>
      <c r="E100" s="6"/>
      <c r="F100" s="19"/>
      <c r="G100" s="5"/>
      <c r="H100" s="549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</row>
    <row r="101" spans="1:25" s="20" customFormat="1" ht="89.25" customHeight="1">
      <c r="A101" s="6"/>
      <c r="B101" s="6"/>
      <c r="C101" s="16"/>
      <c r="D101" s="17"/>
      <c r="E101" s="6"/>
      <c r="F101" s="19"/>
      <c r="G101" s="5"/>
      <c r="H101" s="549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</row>
    <row r="102" spans="1:25" s="20" customFormat="1" ht="89.25" customHeight="1">
      <c r="A102" s="6"/>
      <c r="B102" s="6"/>
      <c r="C102" s="16"/>
      <c r="D102" s="17"/>
      <c r="E102" s="6"/>
      <c r="F102" s="19"/>
      <c r="G102" s="5"/>
      <c r="H102" s="549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</row>
    <row r="103" spans="1:25" s="20" customFormat="1" ht="89.25" customHeight="1">
      <c r="A103" s="6"/>
      <c r="B103" s="6"/>
      <c r="C103" s="16"/>
      <c r="D103" s="17"/>
      <c r="E103" s="6"/>
      <c r="F103" s="19"/>
      <c r="G103" s="5"/>
      <c r="H103" s="549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</row>
    <row r="104" spans="1:25" s="20" customFormat="1" ht="89.25" customHeight="1">
      <c r="A104" s="6"/>
      <c r="B104" s="6"/>
      <c r="C104" s="16"/>
      <c r="D104" s="17"/>
      <c r="E104" s="6"/>
      <c r="F104" s="19"/>
      <c r="G104" s="5"/>
      <c r="H104" s="549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</row>
    <row r="105" spans="1:25" s="20" customFormat="1" ht="89.25" customHeight="1">
      <c r="A105" s="6"/>
      <c r="B105" s="6"/>
      <c r="C105" s="16"/>
      <c r="D105" s="17"/>
      <c r="E105" s="6"/>
      <c r="F105" s="19"/>
      <c r="G105" s="5"/>
      <c r="H105" s="549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</row>
    <row r="106" spans="1:25" s="20" customFormat="1" ht="89.25" customHeight="1">
      <c r="A106" s="6"/>
      <c r="B106" s="6"/>
      <c r="C106" s="16"/>
      <c r="D106" s="17"/>
      <c r="E106" s="6"/>
      <c r="F106" s="19"/>
      <c r="G106" s="5"/>
      <c r="H106" s="549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</row>
    <row r="107" spans="1:25" s="20" customFormat="1" ht="89.25" customHeight="1">
      <c r="A107" s="6"/>
      <c r="B107" s="6"/>
      <c r="C107" s="16"/>
      <c r="D107" s="17"/>
      <c r="E107" s="6"/>
      <c r="F107" s="19"/>
      <c r="G107" s="5"/>
      <c r="H107" s="549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</row>
    <row r="108" spans="1:25" s="20" customFormat="1" ht="89.25" customHeight="1">
      <c r="A108" s="6"/>
      <c r="B108" s="6"/>
      <c r="C108" s="16"/>
      <c r="D108" s="17"/>
      <c r="E108" s="6"/>
      <c r="F108" s="19"/>
      <c r="G108" s="5"/>
      <c r="H108" s="549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</row>
    <row r="109" spans="1:25" s="20" customFormat="1" ht="89.25" customHeight="1">
      <c r="A109" s="6"/>
      <c r="B109" s="6"/>
      <c r="C109" s="16"/>
      <c r="D109" s="17"/>
      <c r="E109" s="6"/>
      <c r="F109" s="19"/>
      <c r="G109" s="5"/>
      <c r="H109" s="549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</row>
    <row r="110" spans="1:25" s="20" customFormat="1" ht="89.25" customHeight="1">
      <c r="A110" s="6"/>
      <c r="B110" s="6"/>
      <c r="C110" s="16"/>
      <c r="D110" s="17"/>
      <c r="E110" s="6"/>
      <c r="F110" s="19"/>
      <c r="G110" s="5"/>
      <c r="H110" s="549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</row>
    <row r="111" spans="1:25" s="20" customFormat="1" ht="89.25" customHeight="1">
      <c r="A111" s="6"/>
      <c r="B111" s="6"/>
      <c r="C111" s="16"/>
      <c r="D111" s="17"/>
      <c r="E111" s="6"/>
      <c r="F111" s="19"/>
      <c r="G111" s="5"/>
      <c r="H111" s="549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</row>
    <row r="112" spans="1:25" s="20" customFormat="1" ht="89.25" customHeight="1">
      <c r="A112" s="6"/>
      <c r="B112" s="6"/>
      <c r="C112" s="16"/>
      <c r="D112" s="17"/>
      <c r="E112" s="6"/>
      <c r="F112" s="19"/>
      <c r="G112" s="5"/>
      <c r="H112" s="549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</row>
    <row r="113" spans="1:25" s="20" customFormat="1" ht="89.25" customHeight="1">
      <c r="A113" s="6"/>
      <c r="B113" s="6"/>
      <c r="C113" s="16"/>
      <c r="D113" s="17"/>
      <c r="E113" s="6"/>
      <c r="F113" s="19"/>
      <c r="G113" s="5"/>
      <c r="H113" s="549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</row>
    <row r="114" spans="1:25" s="20" customFormat="1" ht="89.25" customHeight="1">
      <c r="A114" s="6"/>
      <c r="B114" s="6"/>
      <c r="C114" s="16"/>
      <c r="D114" s="17"/>
      <c r="E114" s="6"/>
      <c r="F114" s="19"/>
      <c r="G114" s="5"/>
      <c r="H114" s="549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</row>
    <row r="115" spans="1:25" s="20" customFormat="1" ht="89.25" customHeight="1">
      <c r="A115" s="6"/>
      <c r="B115" s="6"/>
      <c r="C115" s="16"/>
      <c r="D115" s="17"/>
      <c r="E115" s="6"/>
      <c r="F115" s="19"/>
      <c r="G115" s="5"/>
      <c r="H115" s="549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</row>
    <row r="116" spans="1:25" s="20" customFormat="1" ht="89.25" customHeight="1">
      <c r="A116" s="6"/>
      <c r="B116" s="6"/>
      <c r="C116" s="16"/>
      <c r="D116" s="17"/>
      <c r="E116" s="6"/>
      <c r="F116" s="19"/>
      <c r="G116" s="5"/>
      <c r="H116" s="549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</row>
    <row r="117" spans="1:25" s="20" customFormat="1" ht="89.25" customHeight="1">
      <c r="A117" s="6"/>
      <c r="B117" s="6"/>
      <c r="C117" s="16"/>
      <c r="D117" s="17"/>
      <c r="E117" s="6"/>
      <c r="F117" s="19"/>
      <c r="G117" s="5"/>
      <c r="H117" s="549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</row>
    <row r="118" spans="1:25" s="20" customFormat="1" ht="89.25" customHeight="1">
      <c r="A118" s="6"/>
      <c r="B118" s="6"/>
      <c r="C118" s="16"/>
      <c r="D118" s="17"/>
      <c r="E118" s="6"/>
      <c r="F118" s="19"/>
      <c r="G118" s="5"/>
      <c r="H118" s="549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</row>
    <row r="119" spans="1:25" s="20" customFormat="1" ht="89.25" customHeight="1">
      <c r="A119" s="6"/>
      <c r="B119" s="6"/>
      <c r="C119" s="16"/>
      <c r="D119" s="17"/>
      <c r="E119" s="6"/>
      <c r="F119" s="19"/>
      <c r="G119" s="5"/>
      <c r="H119" s="549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</row>
    <row r="120" spans="1:25" s="20" customFormat="1" ht="89.25" customHeight="1">
      <c r="A120" s="6"/>
      <c r="B120" s="6"/>
      <c r="C120" s="16"/>
      <c r="D120" s="17"/>
      <c r="E120" s="6"/>
      <c r="F120" s="19"/>
      <c r="G120" s="5"/>
      <c r="H120" s="549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</row>
    <row r="121" spans="1:25" s="20" customFormat="1" ht="89.25" customHeight="1">
      <c r="A121" s="6"/>
      <c r="B121" s="6"/>
      <c r="C121" s="16"/>
      <c r="D121" s="17"/>
      <c r="E121" s="6"/>
      <c r="F121" s="19"/>
      <c r="G121" s="5"/>
      <c r="H121" s="549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</row>
    <row r="122" spans="1:25" s="20" customFormat="1" ht="89.25" customHeight="1">
      <c r="A122" s="6"/>
      <c r="B122" s="6"/>
      <c r="C122" s="16"/>
      <c r="D122" s="17"/>
      <c r="E122" s="6"/>
      <c r="F122" s="19"/>
      <c r="G122" s="5"/>
      <c r="H122" s="549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</row>
    <row r="123" spans="1:25" s="20" customFormat="1" ht="89.25" customHeight="1">
      <c r="A123" s="6"/>
      <c r="B123" s="6"/>
      <c r="C123" s="16"/>
      <c r="D123" s="17"/>
      <c r="E123" s="6"/>
      <c r="F123" s="19"/>
      <c r="G123" s="5"/>
      <c r="H123" s="549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</row>
    <row r="124" spans="1:25" s="20" customFormat="1" ht="89.25" customHeight="1">
      <c r="A124" s="6"/>
      <c r="B124" s="6"/>
      <c r="C124" s="16"/>
      <c r="D124" s="17"/>
      <c r="E124" s="6"/>
      <c r="F124" s="19"/>
      <c r="G124" s="5"/>
      <c r="H124" s="549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</row>
    <row r="125" spans="1:25" s="20" customFormat="1" ht="89.25" customHeight="1">
      <c r="A125" s="6"/>
      <c r="B125" s="6"/>
      <c r="C125" s="16"/>
      <c r="D125" s="17"/>
      <c r="E125" s="6"/>
      <c r="F125" s="19"/>
      <c r="G125" s="5"/>
      <c r="H125" s="549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</row>
    <row r="126" spans="1:25" s="20" customFormat="1" ht="89.25" customHeight="1">
      <c r="A126" s="6"/>
      <c r="B126" s="6"/>
      <c r="C126" s="16"/>
      <c r="D126" s="17"/>
      <c r="E126" s="6"/>
      <c r="F126" s="19"/>
      <c r="G126" s="5"/>
      <c r="H126" s="549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</row>
    <row r="127" spans="1:25" s="20" customFormat="1" ht="89.25" customHeight="1">
      <c r="A127" s="6"/>
      <c r="B127" s="6"/>
      <c r="C127" s="16"/>
      <c r="D127" s="17"/>
      <c r="E127" s="6"/>
      <c r="F127" s="19"/>
      <c r="G127" s="5"/>
      <c r="H127" s="549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</row>
    <row r="128" spans="1:25" s="20" customFormat="1" ht="89.25" customHeight="1">
      <c r="A128" s="6"/>
      <c r="B128" s="6"/>
      <c r="C128" s="16"/>
      <c r="D128" s="17"/>
      <c r="E128" s="6"/>
      <c r="F128" s="19"/>
      <c r="G128" s="5"/>
      <c r="H128" s="549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</row>
    <row r="129" spans="1:25" s="20" customFormat="1" ht="89.25" customHeight="1">
      <c r="A129" s="6"/>
      <c r="B129" s="6"/>
      <c r="C129" s="16"/>
      <c r="D129" s="17"/>
      <c r="E129" s="6"/>
      <c r="F129" s="19"/>
      <c r="G129" s="5"/>
      <c r="H129" s="549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</row>
    <row r="130" spans="1:25" s="20" customFormat="1" ht="89.25" customHeight="1">
      <c r="A130" s="6"/>
      <c r="B130" s="6"/>
      <c r="C130" s="16"/>
      <c r="D130" s="17"/>
      <c r="E130" s="6"/>
      <c r="F130" s="19"/>
      <c r="G130" s="5"/>
      <c r="H130" s="549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</row>
    <row r="131" spans="1:25" s="20" customFormat="1" ht="89.25" customHeight="1">
      <c r="A131" s="6"/>
      <c r="B131" s="6"/>
      <c r="C131" s="16"/>
      <c r="D131" s="17"/>
      <c r="E131" s="6"/>
      <c r="F131" s="19"/>
      <c r="G131" s="5"/>
      <c r="H131" s="549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</row>
    <row r="132" spans="1:25" s="20" customFormat="1" ht="89.25" customHeight="1">
      <c r="A132" s="6"/>
      <c r="B132" s="6"/>
      <c r="C132" s="16"/>
      <c r="D132" s="17"/>
      <c r="E132" s="6"/>
      <c r="F132" s="19"/>
      <c r="G132" s="5"/>
      <c r="H132" s="549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</row>
    <row r="133" spans="1:25" s="20" customFormat="1" ht="89.25" customHeight="1">
      <c r="A133" s="6"/>
      <c r="B133" s="6"/>
      <c r="C133" s="16"/>
      <c r="D133" s="17"/>
      <c r="E133" s="6"/>
      <c r="F133" s="19"/>
      <c r="G133" s="5"/>
      <c r="H133" s="549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</row>
    <row r="134" spans="1:25" s="20" customFormat="1" ht="89.25" customHeight="1">
      <c r="A134" s="6"/>
      <c r="B134" s="6"/>
      <c r="C134" s="16"/>
      <c r="D134" s="17"/>
      <c r="E134" s="6"/>
      <c r="F134" s="19"/>
      <c r="G134" s="5"/>
      <c r="H134" s="549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</row>
    <row r="135" spans="1:25" s="20" customFormat="1" ht="89.25" customHeight="1">
      <c r="A135" s="6"/>
      <c r="B135" s="6"/>
      <c r="C135" s="16"/>
      <c r="D135" s="17"/>
      <c r="E135" s="6"/>
      <c r="F135" s="19"/>
      <c r="G135" s="5"/>
      <c r="H135" s="549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</row>
    <row r="136" spans="1:25" s="20" customFormat="1" ht="89.25" customHeight="1">
      <c r="A136" s="6"/>
      <c r="B136" s="6"/>
      <c r="C136" s="16"/>
      <c r="D136" s="17"/>
      <c r="E136" s="6"/>
      <c r="F136" s="19"/>
      <c r="G136" s="5"/>
      <c r="H136" s="549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</row>
    <row r="137" spans="1:25" s="20" customFormat="1" ht="89.25" customHeight="1">
      <c r="A137" s="6"/>
      <c r="B137" s="6"/>
      <c r="C137" s="16"/>
      <c r="D137" s="17"/>
      <c r="E137" s="6"/>
      <c r="F137" s="19"/>
      <c r="G137" s="5"/>
      <c r="H137" s="549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</row>
    <row r="138" spans="1:25" s="20" customFormat="1" ht="89.25" customHeight="1">
      <c r="A138" s="6"/>
      <c r="B138" s="6"/>
      <c r="C138" s="16"/>
      <c r="D138" s="17"/>
      <c r="E138" s="6"/>
      <c r="F138" s="19"/>
      <c r="G138" s="5"/>
      <c r="H138" s="549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</row>
    <row r="139" spans="1:25" s="20" customFormat="1" ht="89.25" customHeight="1">
      <c r="A139" s="6"/>
      <c r="B139" s="6"/>
      <c r="C139" s="16"/>
      <c r="D139" s="17"/>
      <c r="E139" s="6"/>
      <c r="F139" s="19"/>
      <c r="G139" s="5"/>
      <c r="H139" s="549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</row>
    <row r="140" spans="1:25" s="20" customFormat="1" ht="89.25" customHeight="1">
      <c r="A140" s="6"/>
      <c r="B140" s="6"/>
      <c r="C140" s="16"/>
      <c r="D140" s="17"/>
      <c r="E140" s="6"/>
      <c r="F140" s="19"/>
      <c r="G140" s="5"/>
      <c r="H140" s="549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</row>
    <row r="141" spans="1:25" s="20" customFormat="1" ht="89.25" customHeight="1">
      <c r="A141" s="6"/>
      <c r="B141" s="6"/>
      <c r="C141" s="16"/>
      <c r="D141" s="17"/>
      <c r="E141" s="6"/>
      <c r="F141" s="19"/>
      <c r="G141" s="5"/>
      <c r="H141" s="549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</row>
    <row r="142" spans="1:25" s="20" customFormat="1" ht="89.25" customHeight="1">
      <c r="A142" s="6"/>
      <c r="B142" s="6"/>
      <c r="C142" s="16"/>
      <c r="D142" s="17"/>
      <c r="E142" s="6"/>
      <c r="F142" s="19"/>
      <c r="G142" s="5"/>
      <c r="H142" s="549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</row>
    <row r="143" spans="1:25" s="20" customFormat="1" ht="89.25" customHeight="1">
      <c r="A143" s="6"/>
      <c r="B143" s="6"/>
      <c r="C143" s="16"/>
      <c r="D143" s="17"/>
      <c r="E143" s="6"/>
      <c r="F143" s="19"/>
      <c r="G143" s="5"/>
      <c r="H143" s="549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</row>
    <row r="144" spans="1:25" s="20" customFormat="1" ht="89.25" customHeight="1">
      <c r="A144" s="6"/>
      <c r="B144" s="6"/>
      <c r="C144" s="16"/>
      <c r="D144" s="17"/>
      <c r="E144" s="6"/>
      <c r="F144" s="19"/>
      <c r="G144" s="5"/>
      <c r="H144" s="549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</row>
    <row r="145" spans="1:25" s="20" customFormat="1" ht="89.25" customHeight="1">
      <c r="A145" s="6"/>
      <c r="B145" s="6"/>
      <c r="C145" s="16"/>
      <c r="D145" s="17"/>
      <c r="E145" s="6"/>
      <c r="F145" s="19"/>
      <c r="G145" s="5"/>
      <c r="H145" s="549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</row>
    <row r="146" spans="1:25" s="20" customFormat="1" ht="89.25" customHeight="1">
      <c r="A146" s="6"/>
      <c r="B146" s="6"/>
      <c r="C146" s="16"/>
      <c r="D146" s="17"/>
      <c r="E146" s="6"/>
      <c r="F146" s="19"/>
      <c r="G146" s="5"/>
      <c r="H146" s="549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</row>
    <row r="147" spans="1:25" s="20" customFormat="1" ht="89.25" customHeight="1">
      <c r="A147" s="6"/>
      <c r="B147" s="6"/>
      <c r="C147" s="16"/>
      <c r="D147" s="17"/>
      <c r="E147" s="6"/>
      <c r="F147" s="19"/>
      <c r="G147" s="5"/>
      <c r="H147" s="549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</row>
    <row r="148" spans="1:25" s="20" customFormat="1" ht="89.25" customHeight="1">
      <c r="A148" s="6"/>
      <c r="B148" s="6"/>
      <c r="C148" s="16"/>
      <c r="D148" s="17"/>
      <c r="E148" s="6"/>
      <c r="F148" s="19"/>
      <c r="G148" s="5"/>
      <c r="H148" s="549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</row>
    <row r="149" spans="1:25" s="20" customFormat="1" ht="89.25" customHeight="1">
      <c r="A149" s="6"/>
      <c r="B149" s="6"/>
      <c r="C149" s="16"/>
      <c r="D149" s="17"/>
      <c r="E149" s="6"/>
      <c r="F149" s="19"/>
      <c r="G149" s="5"/>
      <c r="H149" s="549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</row>
    <row r="150" spans="1:25" s="20" customFormat="1" ht="89.25" customHeight="1">
      <c r="A150" s="6"/>
      <c r="B150" s="6"/>
      <c r="C150" s="16"/>
      <c r="D150" s="17"/>
      <c r="E150" s="6"/>
      <c r="F150" s="19"/>
      <c r="G150" s="5"/>
      <c r="H150" s="549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</row>
    <row r="151" spans="1:25" s="20" customFormat="1" ht="89.25" customHeight="1">
      <c r="A151" s="6"/>
      <c r="B151" s="6"/>
      <c r="C151" s="16"/>
      <c r="D151" s="17"/>
      <c r="E151" s="6"/>
      <c r="F151" s="19"/>
      <c r="G151" s="5"/>
      <c r="H151" s="549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</row>
    <row r="152" spans="1:25" s="20" customFormat="1" ht="89.25" customHeight="1">
      <c r="A152" s="6"/>
      <c r="B152" s="6"/>
      <c r="C152" s="16"/>
      <c r="D152" s="17"/>
      <c r="E152" s="6"/>
      <c r="F152" s="19"/>
      <c r="G152" s="5"/>
      <c r="H152" s="549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</row>
    <row r="153" spans="1:25" s="20" customFormat="1" ht="89.25" customHeight="1">
      <c r="A153" s="6"/>
      <c r="B153" s="6"/>
      <c r="C153" s="16"/>
      <c r="D153" s="17"/>
      <c r="E153" s="6"/>
      <c r="F153" s="19"/>
      <c r="G153" s="5"/>
      <c r="H153" s="549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</row>
    <row r="154" spans="1:25" s="20" customFormat="1" ht="89.25" customHeight="1">
      <c r="A154" s="6"/>
      <c r="B154" s="6"/>
      <c r="C154" s="16"/>
      <c r="D154" s="17"/>
      <c r="E154" s="6"/>
      <c r="F154" s="19"/>
      <c r="G154" s="5"/>
      <c r="H154" s="549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</row>
    <row r="155" spans="1:25" s="20" customFormat="1" ht="89.25" customHeight="1">
      <c r="A155" s="6"/>
      <c r="B155" s="6"/>
      <c r="C155" s="16"/>
      <c r="D155" s="17"/>
      <c r="E155" s="6"/>
      <c r="F155" s="19"/>
      <c r="G155" s="5"/>
      <c r="H155" s="549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</row>
    <row r="156" spans="1:25" s="20" customFormat="1" ht="89.25" customHeight="1">
      <c r="A156" s="6"/>
      <c r="B156" s="6"/>
      <c r="C156" s="16"/>
      <c r="D156" s="17"/>
      <c r="E156" s="6"/>
      <c r="F156" s="19"/>
      <c r="G156" s="5"/>
      <c r="H156" s="549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</row>
    <row r="157" spans="1:25" s="20" customFormat="1" ht="89.25" customHeight="1">
      <c r="A157" s="6"/>
      <c r="B157" s="6"/>
      <c r="C157" s="16"/>
      <c r="D157" s="17"/>
      <c r="E157" s="6"/>
      <c r="F157" s="19"/>
      <c r="G157" s="5"/>
      <c r="H157" s="549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</row>
    <row r="158" spans="1:25" s="20" customFormat="1" ht="89.25" customHeight="1">
      <c r="A158" s="6"/>
      <c r="B158" s="6"/>
      <c r="C158" s="16"/>
      <c r="D158" s="17"/>
      <c r="E158" s="6"/>
      <c r="F158" s="19"/>
      <c r="G158" s="5"/>
      <c r="H158" s="549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</row>
    <row r="159" spans="1:25" s="20" customFormat="1" ht="89.25" customHeight="1">
      <c r="A159" s="6"/>
      <c r="B159" s="6"/>
      <c r="C159" s="16"/>
      <c r="D159" s="17"/>
      <c r="E159" s="6"/>
      <c r="F159" s="19"/>
      <c r="G159" s="5"/>
      <c r="H159" s="549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</row>
    <row r="160" spans="1:25" s="20" customFormat="1" ht="89.25" customHeight="1">
      <c r="A160" s="6"/>
      <c r="B160" s="6"/>
      <c r="C160" s="16"/>
      <c r="D160" s="17"/>
      <c r="E160" s="6"/>
      <c r="F160" s="19"/>
      <c r="G160" s="5"/>
      <c r="H160" s="549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</row>
    <row r="161" spans="1:25" s="20" customFormat="1" ht="89.25" customHeight="1">
      <c r="A161" s="6"/>
      <c r="B161" s="6"/>
      <c r="C161" s="16"/>
      <c r="D161" s="17"/>
      <c r="E161" s="6"/>
      <c r="F161" s="19"/>
      <c r="G161" s="5"/>
      <c r="H161" s="549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</row>
    <row r="162" spans="1:25" s="20" customFormat="1" ht="89.25" customHeight="1">
      <c r="A162" s="6"/>
      <c r="B162" s="6"/>
      <c r="C162" s="16"/>
      <c r="D162" s="17"/>
      <c r="E162" s="6"/>
      <c r="F162" s="19"/>
      <c r="G162" s="5"/>
      <c r="H162" s="549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</row>
    <row r="163" spans="1:25" s="20" customFormat="1" ht="89.25" customHeight="1">
      <c r="A163" s="6"/>
      <c r="B163" s="6"/>
      <c r="C163" s="16"/>
      <c r="D163" s="17"/>
      <c r="E163" s="6"/>
      <c r="F163" s="19"/>
      <c r="G163" s="5"/>
      <c r="H163" s="549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</row>
    <row r="164" spans="1:25" s="20" customFormat="1" ht="89.25" customHeight="1">
      <c r="A164" s="6"/>
      <c r="B164" s="6"/>
      <c r="C164" s="16"/>
      <c r="D164" s="17"/>
      <c r="E164" s="6"/>
      <c r="F164" s="19"/>
      <c r="G164" s="5"/>
      <c r="H164" s="549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</row>
    <row r="165" spans="1:25" s="20" customFormat="1" ht="89.25" customHeight="1">
      <c r="A165" s="6"/>
      <c r="B165" s="6"/>
      <c r="C165" s="16"/>
      <c r="D165" s="17"/>
      <c r="E165" s="6"/>
      <c r="F165" s="19"/>
      <c r="G165" s="5"/>
      <c r="H165" s="549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</row>
    <row r="166" spans="1:25" s="20" customFormat="1" ht="89.25" customHeight="1">
      <c r="A166" s="6"/>
      <c r="B166" s="6"/>
      <c r="C166" s="16"/>
      <c r="D166" s="17"/>
      <c r="E166" s="6"/>
      <c r="F166" s="19"/>
      <c r="G166" s="5"/>
      <c r="H166" s="549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</row>
    <row r="167" spans="1:25" s="20" customFormat="1" ht="89.25" customHeight="1">
      <c r="A167" s="6"/>
      <c r="B167" s="6"/>
      <c r="C167" s="16"/>
      <c r="D167" s="17"/>
      <c r="E167" s="6"/>
      <c r="F167" s="19"/>
      <c r="G167" s="5"/>
      <c r="H167" s="549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</row>
    <row r="168" spans="1:25" s="20" customFormat="1" ht="89.25" customHeight="1">
      <c r="A168" s="6"/>
      <c r="B168" s="6"/>
      <c r="C168" s="16"/>
      <c r="D168" s="17"/>
      <c r="E168" s="6"/>
      <c r="F168" s="19"/>
      <c r="G168" s="5"/>
      <c r="H168" s="549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</row>
    <row r="169" spans="1:25" s="20" customFormat="1" ht="89.25" customHeight="1">
      <c r="A169" s="6"/>
      <c r="B169" s="6"/>
      <c r="C169" s="16"/>
      <c r="D169" s="17"/>
      <c r="E169" s="6"/>
      <c r="F169" s="19"/>
      <c r="G169" s="5"/>
      <c r="H169" s="549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</row>
    <row r="170" spans="1:25" s="20" customFormat="1" ht="89.25" customHeight="1">
      <c r="A170" s="6"/>
      <c r="B170" s="6"/>
      <c r="C170" s="16"/>
      <c r="D170" s="17"/>
      <c r="E170" s="6"/>
      <c r="F170" s="19"/>
      <c r="G170" s="5"/>
      <c r="H170" s="549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</row>
    <row r="171" spans="1:25" s="20" customFormat="1" ht="89.25" customHeight="1">
      <c r="A171" s="6"/>
      <c r="B171" s="6"/>
      <c r="C171" s="16"/>
      <c r="D171" s="17"/>
      <c r="E171" s="6"/>
      <c r="F171" s="19"/>
      <c r="G171" s="5"/>
      <c r="H171" s="549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</row>
    <row r="172" spans="1:25" s="20" customFormat="1" ht="89.25" customHeight="1">
      <c r="A172" s="6"/>
      <c r="B172" s="6"/>
      <c r="C172" s="16"/>
      <c r="D172" s="17"/>
      <c r="E172" s="6"/>
      <c r="F172" s="19"/>
      <c r="G172" s="5"/>
      <c r="H172" s="549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</row>
    <row r="173" spans="1:25" s="20" customFormat="1" ht="89.25" customHeight="1">
      <c r="A173" s="6"/>
      <c r="B173" s="6"/>
      <c r="C173" s="16"/>
      <c r="D173" s="17"/>
      <c r="E173" s="6"/>
      <c r="F173" s="19"/>
      <c r="G173" s="5"/>
      <c r="H173" s="549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</row>
    <row r="174" spans="1:25" s="20" customFormat="1" ht="89.25" customHeight="1">
      <c r="A174" s="6"/>
      <c r="B174" s="6"/>
      <c r="C174" s="16"/>
      <c r="D174" s="17"/>
      <c r="E174" s="6"/>
      <c r="F174" s="19"/>
      <c r="G174" s="5"/>
      <c r="H174" s="549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</row>
    <row r="175" spans="1:25" s="20" customFormat="1" ht="89.25" customHeight="1">
      <c r="A175" s="6"/>
      <c r="B175" s="6"/>
      <c r="C175" s="16"/>
      <c r="D175" s="17"/>
      <c r="E175" s="6"/>
      <c r="F175" s="19"/>
      <c r="G175" s="5"/>
      <c r="H175" s="549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</row>
    <row r="176" spans="1:25" s="20" customFormat="1" ht="89.25" customHeight="1">
      <c r="A176" s="6"/>
      <c r="B176" s="6"/>
      <c r="C176" s="16"/>
      <c r="D176" s="17"/>
      <c r="E176" s="6"/>
      <c r="F176" s="19"/>
      <c r="G176" s="5"/>
      <c r="H176" s="549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</row>
    <row r="177" spans="1:25" s="20" customFormat="1" ht="89.25" customHeight="1">
      <c r="A177" s="6"/>
      <c r="B177" s="6"/>
      <c r="C177" s="16"/>
      <c r="D177" s="17"/>
      <c r="E177" s="6"/>
      <c r="F177" s="19"/>
      <c r="G177" s="5"/>
      <c r="H177" s="549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</row>
    <row r="178" spans="1:25" s="20" customFormat="1" ht="89.25" customHeight="1">
      <c r="A178" s="6"/>
      <c r="B178" s="6"/>
      <c r="C178" s="16"/>
      <c r="D178" s="17"/>
      <c r="E178" s="6"/>
      <c r="F178" s="19"/>
      <c r="G178" s="5"/>
      <c r="H178" s="549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</row>
    <row r="179" spans="1:25" s="20" customFormat="1" ht="89.25" customHeight="1">
      <c r="A179" s="6"/>
      <c r="B179" s="6"/>
      <c r="C179" s="16"/>
      <c r="D179" s="17"/>
      <c r="E179" s="6"/>
      <c r="F179" s="19"/>
      <c r="G179" s="5"/>
      <c r="H179" s="549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</row>
    <row r="180" spans="1:25" s="20" customFormat="1" ht="89.25" customHeight="1">
      <c r="A180" s="6"/>
      <c r="B180" s="6"/>
      <c r="C180" s="16"/>
      <c r="D180" s="17"/>
      <c r="E180" s="6"/>
      <c r="F180" s="19"/>
      <c r="G180" s="5"/>
      <c r="H180" s="549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</row>
    <row r="181" spans="1:25" s="20" customFormat="1" ht="89.25" customHeight="1">
      <c r="A181" s="6"/>
      <c r="B181" s="6"/>
      <c r="C181" s="16"/>
      <c r="D181" s="17"/>
      <c r="E181" s="6"/>
      <c r="F181" s="19"/>
      <c r="G181" s="5"/>
      <c r="H181" s="549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</row>
    <row r="182" spans="1:25" s="20" customFormat="1" ht="89.25" customHeight="1">
      <c r="A182" s="6"/>
      <c r="B182" s="6"/>
      <c r="C182" s="16"/>
      <c r="D182" s="17"/>
      <c r="E182" s="6"/>
      <c r="F182" s="19"/>
      <c r="G182" s="5"/>
      <c r="H182" s="549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</row>
    <row r="183" spans="1:25" s="20" customFormat="1" ht="89.25" customHeight="1">
      <c r="A183" s="6"/>
      <c r="B183" s="6"/>
      <c r="C183" s="16"/>
      <c r="D183" s="17"/>
      <c r="E183" s="6"/>
      <c r="F183" s="19"/>
      <c r="G183" s="5"/>
      <c r="H183" s="549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</row>
    <row r="184" spans="1:25" s="20" customFormat="1" ht="89.25" customHeight="1">
      <c r="A184" s="6"/>
      <c r="B184" s="6"/>
      <c r="C184" s="16"/>
      <c r="D184" s="17"/>
      <c r="E184" s="6"/>
      <c r="F184" s="19"/>
      <c r="G184" s="5"/>
      <c r="H184" s="549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</row>
    <row r="185" spans="1:25" s="20" customFormat="1" ht="89.25" customHeight="1">
      <c r="A185" s="6"/>
      <c r="B185" s="6"/>
      <c r="C185" s="16"/>
      <c r="D185" s="17"/>
      <c r="E185" s="6"/>
      <c r="F185" s="19"/>
      <c r="G185" s="5"/>
      <c r="H185" s="549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</row>
    <row r="186" spans="1:25" s="20" customFormat="1" ht="89.25" customHeight="1">
      <c r="A186" s="6"/>
      <c r="B186" s="6"/>
      <c r="C186" s="16"/>
      <c r="D186" s="17"/>
      <c r="E186" s="6"/>
      <c r="F186" s="19"/>
      <c r="G186" s="5"/>
      <c r="H186" s="549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</row>
    <row r="187" spans="1:25" s="20" customFormat="1" ht="89.25" customHeight="1">
      <c r="A187" s="6"/>
      <c r="B187" s="6"/>
      <c r="C187" s="16"/>
      <c r="D187" s="17"/>
      <c r="E187" s="6"/>
      <c r="F187" s="19"/>
      <c r="G187" s="5"/>
      <c r="H187" s="549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</row>
    <row r="188" spans="1:25" s="20" customFormat="1" ht="89.25" customHeight="1">
      <c r="A188" s="6"/>
      <c r="B188" s="6"/>
      <c r="C188" s="16"/>
      <c r="D188" s="17"/>
      <c r="E188" s="6"/>
      <c r="F188" s="19"/>
      <c r="G188" s="5"/>
      <c r="H188" s="549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</row>
    <row r="189" spans="1:25" s="20" customFormat="1" ht="89.25" customHeight="1">
      <c r="A189" s="6"/>
      <c r="B189" s="6"/>
      <c r="C189" s="16"/>
      <c r="D189" s="17"/>
      <c r="E189" s="6"/>
      <c r="F189" s="19"/>
      <c r="G189" s="5"/>
      <c r="H189" s="549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</row>
    <row r="190" spans="1:25" s="20" customFormat="1" ht="89.25" customHeight="1">
      <c r="A190" s="6"/>
      <c r="B190" s="6"/>
      <c r="C190" s="16"/>
      <c r="D190" s="17"/>
      <c r="E190" s="6"/>
      <c r="F190" s="19"/>
      <c r="G190" s="5"/>
      <c r="H190" s="549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</row>
    <row r="191" spans="1:25" s="20" customFormat="1" ht="89.25" customHeight="1">
      <c r="A191" s="6"/>
      <c r="B191" s="6"/>
      <c r="C191" s="16"/>
      <c r="D191" s="17"/>
      <c r="E191" s="6"/>
      <c r="F191" s="19"/>
      <c r="G191" s="5"/>
      <c r="H191" s="549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</row>
    <row r="192" spans="1:25" s="20" customFormat="1" ht="89.25" customHeight="1">
      <c r="A192" s="6"/>
      <c r="B192" s="6"/>
      <c r="C192" s="16"/>
      <c r="D192" s="17"/>
      <c r="E192" s="6"/>
      <c r="F192" s="19"/>
      <c r="G192" s="5"/>
      <c r="H192" s="549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</row>
    <row r="193" spans="1:25" s="20" customFormat="1" ht="89.25" customHeight="1">
      <c r="A193" s="6"/>
      <c r="B193" s="6"/>
      <c r="C193" s="16"/>
      <c r="D193" s="17"/>
      <c r="E193" s="6"/>
      <c r="F193" s="19"/>
      <c r="G193" s="5"/>
      <c r="H193" s="549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</row>
    <row r="194" spans="1:25" s="20" customFormat="1" ht="89.25" customHeight="1">
      <c r="A194" s="6"/>
      <c r="B194" s="6"/>
      <c r="C194" s="16"/>
      <c r="D194" s="17"/>
      <c r="E194" s="6"/>
      <c r="F194" s="19"/>
      <c r="G194" s="5"/>
      <c r="H194" s="549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</row>
    <row r="195" spans="1:25" s="20" customFormat="1" ht="89.25" customHeight="1">
      <c r="A195" s="6"/>
      <c r="B195" s="6"/>
      <c r="C195" s="16"/>
      <c r="D195" s="17"/>
      <c r="E195" s="6"/>
      <c r="F195" s="19"/>
      <c r="G195" s="5"/>
      <c r="H195" s="549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</row>
    <row r="196" spans="1:25" s="20" customFormat="1" ht="89.25" customHeight="1">
      <c r="A196" s="6"/>
      <c r="B196" s="6"/>
      <c r="C196" s="16"/>
      <c r="D196" s="17"/>
      <c r="E196" s="6"/>
      <c r="F196" s="19"/>
      <c r="G196" s="5"/>
      <c r="H196" s="549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</row>
    <row r="197" spans="1:25" s="20" customFormat="1" ht="89.25" customHeight="1">
      <c r="A197" s="6"/>
      <c r="B197" s="6"/>
      <c r="C197" s="16"/>
      <c r="D197" s="17"/>
      <c r="E197" s="6"/>
      <c r="F197" s="19"/>
      <c r="G197" s="5"/>
      <c r="H197" s="549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</row>
    <row r="198" spans="1:25" s="20" customFormat="1" ht="89.25" customHeight="1">
      <c r="A198" s="6"/>
      <c r="B198" s="6"/>
      <c r="C198" s="16"/>
      <c r="D198" s="17"/>
      <c r="E198" s="6"/>
      <c r="F198" s="19"/>
      <c r="G198" s="5"/>
      <c r="H198" s="549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</row>
    <row r="199" spans="1:25" s="20" customFormat="1" ht="89.25" customHeight="1">
      <c r="A199" s="6"/>
      <c r="B199" s="6"/>
      <c r="C199" s="16"/>
      <c r="D199" s="17"/>
      <c r="E199" s="6"/>
      <c r="F199" s="19"/>
      <c r="G199" s="5"/>
      <c r="H199" s="549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</row>
    <row r="200" spans="1:25" s="20" customFormat="1" ht="89.25" customHeight="1">
      <c r="A200" s="6"/>
      <c r="B200" s="6"/>
      <c r="C200" s="16"/>
      <c r="D200" s="17"/>
      <c r="E200" s="6"/>
      <c r="F200" s="19"/>
      <c r="G200" s="5"/>
      <c r="H200" s="549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</row>
    <row r="201" spans="1:25" s="20" customFormat="1" ht="89.25" customHeight="1">
      <c r="A201" s="6"/>
      <c r="B201" s="6"/>
      <c r="C201" s="16"/>
      <c r="D201" s="17"/>
      <c r="E201" s="6"/>
      <c r="F201" s="19"/>
      <c r="G201" s="5"/>
      <c r="H201" s="549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</row>
    <row r="202" spans="1:25" s="20" customFormat="1" ht="89.25" customHeight="1">
      <c r="A202" s="6"/>
      <c r="B202" s="6"/>
      <c r="C202" s="16"/>
      <c r="D202" s="17"/>
      <c r="E202" s="6"/>
      <c r="F202" s="19"/>
      <c r="G202" s="5"/>
      <c r="H202" s="549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</row>
    <row r="203" spans="1:25" s="20" customFormat="1" ht="89.25" customHeight="1">
      <c r="A203" s="6"/>
      <c r="B203" s="6"/>
      <c r="C203" s="16"/>
      <c r="D203" s="17"/>
      <c r="E203" s="6"/>
      <c r="F203" s="19"/>
      <c r="G203" s="5"/>
      <c r="H203" s="549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</row>
    <row r="204" spans="1:25" s="20" customFormat="1" ht="89.25" customHeight="1">
      <c r="A204" s="6"/>
      <c r="B204" s="6"/>
      <c r="C204" s="16"/>
      <c r="D204" s="17"/>
      <c r="E204" s="6"/>
      <c r="F204" s="19"/>
      <c r="G204" s="5"/>
      <c r="H204" s="549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</row>
    <row r="205" spans="1:25" s="20" customFormat="1" ht="89.25" customHeight="1">
      <c r="A205" s="6"/>
      <c r="B205" s="6"/>
      <c r="C205" s="16"/>
      <c r="D205" s="17"/>
      <c r="E205" s="6"/>
      <c r="F205" s="19"/>
      <c r="G205" s="5"/>
      <c r="H205" s="549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</row>
    <row r="206" spans="1:25" s="20" customFormat="1" ht="89.25" customHeight="1">
      <c r="A206" s="6"/>
      <c r="B206" s="6"/>
      <c r="C206" s="16"/>
      <c r="D206" s="17"/>
      <c r="E206" s="6"/>
      <c r="F206" s="19"/>
      <c r="G206" s="5"/>
      <c r="H206" s="549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</row>
    <row r="207" spans="1:25" s="20" customFormat="1" ht="89.25" customHeight="1">
      <c r="A207" s="6"/>
      <c r="B207" s="6"/>
      <c r="C207" s="16"/>
      <c r="D207" s="17"/>
      <c r="E207" s="6"/>
      <c r="F207" s="19"/>
      <c r="G207" s="5"/>
      <c r="H207" s="549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</row>
    <row r="208" spans="1:25" s="20" customFormat="1" ht="89.25" customHeight="1">
      <c r="A208" s="6"/>
      <c r="B208" s="6"/>
      <c r="C208" s="16"/>
      <c r="D208" s="17"/>
      <c r="E208" s="6"/>
      <c r="F208" s="19"/>
      <c r="G208" s="5"/>
      <c r="H208" s="549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</row>
    <row r="209" spans="1:25" s="20" customFormat="1" ht="89.25" customHeight="1">
      <c r="A209" s="6"/>
      <c r="B209" s="6"/>
      <c r="C209" s="16"/>
      <c r="D209" s="17"/>
      <c r="E209" s="6"/>
      <c r="F209" s="19"/>
      <c r="G209" s="5"/>
      <c r="H209" s="549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</row>
    <row r="210" spans="1:25" s="20" customFormat="1" ht="89.25" customHeight="1">
      <c r="A210" s="6"/>
      <c r="B210" s="6"/>
      <c r="C210" s="16"/>
      <c r="D210" s="17"/>
      <c r="E210" s="6"/>
      <c r="F210" s="19"/>
      <c r="G210" s="5"/>
      <c r="H210" s="549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</row>
    <row r="211" spans="1:25" s="20" customFormat="1" ht="89.25" customHeight="1">
      <c r="A211" s="6"/>
      <c r="B211" s="6"/>
      <c r="C211" s="16"/>
      <c r="D211" s="17"/>
      <c r="E211" s="6"/>
      <c r="F211" s="19"/>
      <c r="G211" s="5"/>
      <c r="H211" s="549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</row>
    <row r="212" spans="1:25" s="20" customFormat="1" ht="89.25" customHeight="1">
      <c r="A212" s="6"/>
      <c r="B212" s="6"/>
      <c r="C212" s="16"/>
      <c r="D212" s="17"/>
      <c r="E212" s="6"/>
      <c r="F212" s="19"/>
      <c r="G212" s="5"/>
      <c r="H212" s="549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</row>
    <row r="213" spans="1:25" s="20" customFormat="1" ht="89.25" customHeight="1">
      <c r="A213" s="6"/>
      <c r="B213" s="6"/>
      <c r="C213" s="16"/>
      <c r="D213" s="17"/>
      <c r="E213" s="6"/>
      <c r="F213" s="19"/>
      <c r="G213" s="5"/>
      <c r="H213" s="549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</row>
    <row r="214" spans="1:25" s="20" customFormat="1" ht="89.25" customHeight="1">
      <c r="A214" s="6"/>
      <c r="B214" s="6"/>
      <c r="C214" s="16"/>
      <c r="D214" s="17"/>
      <c r="E214" s="6"/>
      <c r="F214" s="19"/>
      <c r="G214" s="5"/>
      <c r="H214" s="549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</row>
    <row r="215" spans="1:25" s="20" customFormat="1" ht="89.25" customHeight="1">
      <c r="A215" s="6"/>
      <c r="B215" s="6"/>
      <c r="C215" s="16"/>
      <c r="D215" s="17"/>
      <c r="E215" s="6"/>
      <c r="F215" s="19"/>
      <c r="G215" s="5"/>
      <c r="H215" s="549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</row>
    <row r="216" spans="1:25" s="20" customFormat="1" ht="89.25" customHeight="1">
      <c r="A216" s="6"/>
      <c r="B216" s="6"/>
      <c r="C216" s="16"/>
      <c r="D216" s="17"/>
      <c r="E216" s="6"/>
      <c r="F216" s="19"/>
      <c r="G216" s="5"/>
      <c r="H216" s="549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</row>
    <row r="217" spans="1:25" s="20" customFormat="1" ht="89.25" customHeight="1">
      <c r="A217" s="6"/>
      <c r="B217" s="6"/>
      <c r="C217" s="16"/>
      <c r="D217" s="17"/>
      <c r="E217" s="6"/>
      <c r="F217" s="19"/>
      <c r="G217" s="5"/>
      <c r="H217" s="549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</row>
    <row r="218" spans="1:25" s="20" customFormat="1" ht="89.25" customHeight="1">
      <c r="A218" s="6"/>
      <c r="B218" s="6"/>
      <c r="C218" s="16"/>
      <c r="D218" s="17"/>
      <c r="E218" s="6"/>
      <c r="F218" s="19"/>
      <c r="G218" s="5"/>
      <c r="H218" s="549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</row>
    <row r="219" spans="1:25" s="20" customFormat="1" ht="89.25" customHeight="1">
      <c r="A219" s="6"/>
      <c r="B219" s="6"/>
      <c r="C219" s="16"/>
      <c r="D219" s="17"/>
      <c r="E219" s="6"/>
      <c r="F219" s="19"/>
      <c r="G219" s="5"/>
      <c r="H219" s="549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</row>
    <row r="220" spans="1:25" s="20" customFormat="1" ht="89.25" customHeight="1">
      <c r="A220" s="6"/>
      <c r="B220" s="6"/>
      <c r="C220" s="16"/>
      <c r="D220" s="17"/>
      <c r="E220" s="6"/>
      <c r="F220" s="19"/>
      <c r="G220" s="5"/>
      <c r="H220" s="549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</row>
    <row r="221" spans="1:25" s="20" customFormat="1" ht="89.25" customHeight="1">
      <c r="A221" s="6"/>
      <c r="B221" s="6"/>
      <c r="C221" s="16"/>
      <c r="D221" s="17"/>
      <c r="E221" s="6"/>
      <c r="F221" s="19"/>
      <c r="G221" s="5"/>
      <c r="H221" s="549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</row>
    <row r="222" spans="1:25" s="20" customFormat="1" ht="89.25" customHeight="1">
      <c r="A222" s="6"/>
      <c r="B222" s="6"/>
      <c r="C222" s="16"/>
      <c r="D222" s="17"/>
      <c r="E222" s="6"/>
      <c r="F222" s="19"/>
      <c r="G222" s="5"/>
      <c r="H222" s="549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</row>
    <row r="223" spans="1:25" s="20" customFormat="1" ht="89.25" customHeight="1">
      <c r="A223" s="6"/>
      <c r="B223" s="6"/>
      <c r="C223" s="16"/>
      <c r="D223" s="17"/>
      <c r="E223" s="6"/>
      <c r="F223" s="19"/>
      <c r="G223" s="5"/>
      <c r="H223" s="549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</row>
    <row r="224" spans="1:25" s="20" customFormat="1" ht="89.25" customHeight="1">
      <c r="A224" s="6"/>
      <c r="B224" s="6"/>
      <c r="C224" s="16"/>
      <c r="D224" s="17"/>
      <c r="E224" s="6"/>
      <c r="F224" s="19"/>
      <c r="G224" s="5"/>
      <c r="H224" s="549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</row>
    <row r="225" spans="1:25" s="20" customFormat="1" ht="89.25" customHeight="1">
      <c r="A225" s="6"/>
      <c r="B225" s="6"/>
      <c r="C225" s="16"/>
      <c r="D225" s="17"/>
      <c r="E225" s="6"/>
      <c r="F225" s="19"/>
      <c r="G225" s="5"/>
      <c r="H225" s="549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</row>
    <row r="226" spans="1:25" s="20" customFormat="1" ht="89.25" customHeight="1">
      <c r="A226" s="6"/>
      <c r="B226" s="6"/>
      <c r="C226" s="16"/>
      <c r="D226" s="17"/>
      <c r="E226" s="6"/>
      <c r="F226" s="19"/>
      <c r="G226" s="5"/>
      <c r="H226" s="549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</row>
    <row r="227" spans="1:25" s="20" customFormat="1" ht="89.25" customHeight="1">
      <c r="A227" s="6"/>
      <c r="B227" s="6"/>
      <c r="C227" s="16"/>
      <c r="D227" s="17"/>
      <c r="E227" s="6"/>
      <c r="F227" s="19"/>
      <c r="G227" s="5"/>
      <c r="H227" s="549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</row>
    <row r="228" spans="1:25" s="20" customFormat="1" ht="89.25" customHeight="1">
      <c r="A228" s="6"/>
      <c r="B228" s="6"/>
      <c r="C228" s="16"/>
      <c r="D228" s="17"/>
      <c r="E228" s="6"/>
      <c r="F228" s="19"/>
      <c r="G228" s="5"/>
      <c r="H228" s="549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</row>
    <row r="229" spans="1:25" s="20" customFormat="1" ht="89.25" customHeight="1">
      <c r="A229" s="6"/>
      <c r="B229" s="6"/>
      <c r="C229" s="16"/>
      <c r="D229" s="17"/>
      <c r="E229" s="6"/>
      <c r="F229" s="19"/>
      <c r="G229" s="5"/>
      <c r="H229" s="549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</row>
    <row r="230" spans="1:25" s="20" customFormat="1" ht="89.25" customHeight="1">
      <c r="A230" s="6"/>
      <c r="B230" s="6"/>
      <c r="C230" s="16"/>
      <c r="D230" s="17"/>
      <c r="E230" s="6"/>
      <c r="F230" s="19"/>
      <c r="G230" s="5"/>
      <c r="H230" s="549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</row>
    <row r="231" spans="1:25" s="20" customFormat="1" ht="89.25" customHeight="1">
      <c r="A231" s="6"/>
      <c r="B231" s="6"/>
      <c r="C231" s="16"/>
      <c r="D231" s="17"/>
      <c r="E231" s="6"/>
      <c r="F231" s="19"/>
      <c r="G231" s="5"/>
      <c r="H231" s="549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</row>
    <row r="232" spans="1:25" s="20" customFormat="1" ht="89.25" customHeight="1">
      <c r="A232" s="6"/>
      <c r="B232" s="6"/>
      <c r="C232" s="16"/>
      <c r="D232" s="17"/>
      <c r="E232" s="6"/>
      <c r="F232" s="19"/>
      <c r="G232" s="5"/>
      <c r="H232" s="549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</row>
    <row r="233" spans="1:25" s="20" customFormat="1" ht="89.25" customHeight="1">
      <c r="A233" s="6"/>
      <c r="B233" s="6"/>
      <c r="C233" s="16"/>
      <c r="D233" s="17"/>
      <c r="E233" s="6"/>
      <c r="F233" s="19"/>
      <c r="G233" s="5"/>
      <c r="H233" s="549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</row>
    <row r="234" spans="1:25" s="20" customFormat="1" ht="89.25" customHeight="1">
      <c r="A234" s="6"/>
      <c r="B234" s="6"/>
      <c r="C234" s="16"/>
      <c r="D234" s="17"/>
      <c r="E234" s="6"/>
      <c r="F234" s="19"/>
      <c r="G234" s="5"/>
      <c r="H234" s="549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</row>
    <row r="235" spans="1:25" s="20" customFormat="1" ht="89.25" customHeight="1">
      <c r="A235" s="6"/>
      <c r="B235" s="6"/>
      <c r="C235" s="16"/>
      <c r="D235" s="17"/>
      <c r="E235" s="6"/>
      <c r="F235" s="19"/>
      <c r="G235" s="5"/>
      <c r="H235" s="549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</row>
    <row r="236" spans="1:25" s="20" customFormat="1" ht="89.25" customHeight="1">
      <c r="A236" s="6"/>
      <c r="B236" s="6"/>
      <c r="C236" s="16"/>
      <c r="D236" s="17"/>
      <c r="E236" s="6"/>
      <c r="F236" s="19"/>
      <c r="G236" s="5"/>
      <c r="H236" s="549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</row>
    <row r="237" spans="1:25" s="20" customFormat="1" ht="89.25" customHeight="1">
      <c r="A237" s="6"/>
      <c r="B237" s="6"/>
      <c r="C237" s="16"/>
      <c r="D237" s="17"/>
      <c r="E237" s="6"/>
      <c r="F237" s="19"/>
      <c r="G237" s="5"/>
      <c r="H237" s="549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</row>
  </sheetData>
  <mergeCells count="25">
    <mergeCell ref="A4:F4"/>
    <mergeCell ref="D57:F57"/>
    <mergeCell ref="A1:F3"/>
    <mergeCell ref="A5:F5"/>
    <mergeCell ref="A6:F6"/>
    <mergeCell ref="A7:E7"/>
    <mergeCell ref="A9:D9"/>
    <mergeCell ref="A16:D16"/>
    <mergeCell ref="D52:E52"/>
    <mergeCell ref="A49:B49"/>
    <mergeCell ref="A51:B51"/>
    <mergeCell ref="D51:E51"/>
    <mergeCell ref="A19:D19"/>
    <mergeCell ref="A18:D18"/>
    <mergeCell ref="A12:D12"/>
    <mergeCell ref="D56:F56"/>
    <mergeCell ref="A15:D15"/>
    <mergeCell ref="D50:E50"/>
    <mergeCell ref="A10:D10"/>
    <mergeCell ref="A17:D17"/>
    <mergeCell ref="D49:E49"/>
    <mergeCell ref="A50:B50"/>
    <mergeCell ref="A13:D13"/>
    <mergeCell ref="A11:D11"/>
    <mergeCell ref="A14:D14"/>
  </mergeCells>
  <phoneticPr fontId="17" type="noConversion"/>
  <printOptions horizontalCentered="1" verticalCentered="1"/>
  <pageMargins left="0.59055118110236227" right="0.59055118110236227" top="0.59055118110236227" bottom="0.59055118110236227" header="0.31496062992125984" footer="0.31496062992125984"/>
  <pageSetup paperSize="9" scale="47" orientation="landscape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Hoja17">
    <tabColor rgb="FF00B0F0"/>
    <pageSetUpPr fitToPage="1"/>
  </sheetPr>
  <dimension ref="A1:AG237"/>
  <sheetViews>
    <sheetView showGridLines="0" topLeftCell="A22" zoomScale="80" zoomScaleNormal="80" workbookViewId="0">
      <selection activeCell="F43" sqref="F43"/>
    </sheetView>
  </sheetViews>
  <sheetFormatPr baseColWidth="10" defaultRowHeight="89.25" customHeight="1"/>
  <cols>
    <col min="1" max="2" width="25.28515625" style="6" customWidth="1"/>
    <col min="3" max="3" width="25.28515625" style="16" customWidth="1"/>
    <col min="4" max="4" width="25.28515625" style="17" customWidth="1"/>
    <col min="5" max="5" width="15.28515625" style="6" bestFit="1" customWidth="1"/>
    <col min="6" max="6" width="21.7109375" style="19" bestFit="1" customWidth="1"/>
    <col min="7" max="7" width="19.140625" style="5" bestFit="1" customWidth="1"/>
    <col min="8" max="8" width="20" style="5" bestFit="1" customWidth="1"/>
    <col min="9" max="10" width="18.7109375" style="5" customWidth="1"/>
    <col min="11" max="25" width="11.42578125" style="5"/>
    <col min="26" max="16384" width="11.42578125" style="6"/>
  </cols>
  <sheetData>
    <row r="1" spans="1:25" s="4" customFormat="1" ht="33.75" customHeight="1">
      <c r="A1" s="1339" t="s">
        <v>755</v>
      </c>
      <c r="B1" s="1339"/>
      <c r="C1" s="1339"/>
      <c r="D1" s="1339"/>
      <c r="E1" s="1339"/>
      <c r="F1" s="1339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spans="1:25" s="4" customFormat="1" ht="33.75" customHeight="1">
      <c r="A2" s="1339"/>
      <c r="B2" s="1339"/>
      <c r="C2" s="1339"/>
      <c r="D2" s="1339"/>
      <c r="E2" s="1339"/>
      <c r="F2" s="1339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 s="4" customFormat="1" ht="15.75">
      <c r="A3" s="1339"/>
      <c r="B3" s="1339"/>
      <c r="C3" s="1339"/>
      <c r="D3" s="1339"/>
      <c r="E3" s="1339"/>
      <c r="F3" s="1339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</row>
    <row r="4" spans="1:25" s="4" customFormat="1" ht="15.75">
      <c r="A4" s="1345" t="str">
        <f>+'Anexo 6 Tauramena'!A4:F4</f>
        <v>AL 31 DE JULIO DE 2023</v>
      </c>
      <c r="B4" s="1345"/>
      <c r="C4" s="1345"/>
      <c r="D4" s="1345"/>
      <c r="E4" s="1345"/>
      <c r="F4" s="1345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</row>
    <row r="5" spans="1:25" ht="30" customHeight="1">
      <c r="A5" s="1339" t="s">
        <v>205</v>
      </c>
      <c r="B5" s="1339"/>
      <c r="C5" s="1339"/>
      <c r="D5" s="1339"/>
      <c r="E5" s="1339"/>
      <c r="F5" s="1339"/>
    </row>
    <row r="6" spans="1:25" ht="30" customHeight="1" thickBot="1">
      <c r="A6" s="1339" t="s">
        <v>191</v>
      </c>
      <c r="B6" s="1339"/>
      <c r="C6" s="1339"/>
      <c r="D6" s="1339"/>
      <c r="E6" s="1339"/>
      <c r="F6" s="1339"/>
    </row>
    <row r="7" spans="1:25" ht="30" customHeight="1" thickBot="1">
      <c r="A7" s="1346" t="s">
        <v>1</v>
      </c>
      <c r="B7" s="1347"/>
      <c r="C7" s="1347"/>
      <c r="D7" s="1347"/>
      <c r="E7" s="1347"/>
      <c r="F7" s="7" t="s">
        <v>2</v>
      </c>
    </row>
    <row r="8" spans="1:25" ht="18.600000000000001" customHeight="1">
      <c r="A8" s="8"/>
      <c r="B8" s="9"/>
      <c r="C8" s="9"/>
      <c r="D8" s="9"/>
      <c r="E8" s="10"/>
      <c r="F8" s="11"/>
      <c r="I8" s="12"/>
      <c r="J8" s="12"/>
    </row>
    <row r="9" spans="1:25" ht="18.600000000000001" customHeight="1">
      <c r="A9" s="1342" t="str">
        <f>+'Anexo 6 Tauramena'!A9:D9</f>
        <v>TOTAL RENDIMIENTOS GENERADOS POR LOS RECURSOS DEL FONDO DE JULIO DE 2023</v>
      </c>
      <c r="B9" s="1343"/>
      <c r="C9" s="1343"/>
      <c r="D9" s="1343"/>
      <c r="E9" s="259"/>
      <c r="F9" s="260">
        <f>F43</f>
        <v>1651519.6099999999</v>
      </c>
      <c r="I9" s="13"/>
      <c r="J9" s="12"/>
    </row>
    <row r="10" spans="1:25" ht="18.600000000000001" customHeight="1">
      <c r="A10" s="1333" t="s">
        <v>213</v>
      </c>
      <c r="B10" s="1334"/>
      <c r="C10" s="1334"/>
      <c r="D10" s="1334"/>
      <c r="E10" s="261">
        <v>0</v>
      </c>
      <c r="F10" s="262"/>
    </row>
    <row r="11" spans="1:25" ht="18.600000000000001" customHeight="1">
      <c r="A11" s="1333" t="s">
        <v>212</v>
      </c>
      <c r="B11" s="1334"/>
      <c r="C11" s="1334"/>
      <c r="D11" s="1334"/>
      <c r="E11" s="261">
        <f>182475+14815.45</f>
        <v>197290.45</v>
      </c>
      <c r="F11" s="262"/>
    </row>
    <row r="12" spans="1:25" ht="18.600000000000001" customHeight="1">
      <c r="A12" s="1333" t="s">
        <v>223</v>
      </c>
      <c r="B12" s="1334"/>
      <c r="C12" s="1334"/>
      <c r="D12" s="1334"/>
      <c r="E12" s="261">
        <v>73165.19</v>
      </c>
      <c r="F12" s="262"/>
    </row>
    <row r="13" spans="1:25" ht="18.600000000000001" customHeight="1">
      <c r="A13" s="1333" t="s">
        <v>231</v>
      </c>
      <c r="B13" s="1334"/>
      <c r="C13" s="1334"/>
      <c r="D13" s="1334"/>
      <c r="E13" s="261">
        <v>85022.98</v>
      </c>
      <c r="F13" s="262"/>
    </row>
    <row r="14" spans="1:25" ht="18.600000000000001" customHeight="1">
      <c r="A14" s="1333" t="s">
        <v>244</v>
      </c>
      <c r="B14" s="1334"/>
      <c r="C14" s="1334"/>
      <c r="D14" s="1334"/>
      <c r="E14" s="261">
        <v>82029.14</v>
      </c>
      <c r="F14" s="262"/>
    </row>
    <row r="15" spans="1:25" ht="18.600000000000001" customHeight="1">
      <c r="A15" s="1333" t="s">
        <v>272</v>
      </c>
      <c r="B15" s="1334"/>
      <c r="C15" s="1334"/>
      <c r="D15" s="1334"/>
      <c r="E15" s="261">
        <v>85037.18</v>
      </c>
      <c r="F15" s="262"/>
    </row>
    <row r="16" spans="1:25" ht="18.600000000000001" customHeight="1">
      <c r="A16" s="1333" t="s">
        <v>276</v>
      </c>
      <c r="B16" s="1334"/>
      <c r="C16" s="1334"/>
      <c r="D16" s="1334"/>
      <c r="E16" s="261">
        <v>82042.84</v>
      </c>
      <c r="F16" s="262"/>
    </row>
    <row r="17" spans="1:7" ht="18.600000000000001" customHeight="1">
      <c r="A17" s="1333" t="s">
        <v>294</v>
      </c>
      <c r="B17" s="1334"/>
      <c r="C17" s="1334"/>
      <c r="D17" s="1334"/>
      <c r="E17" s="261">
        <v>59127.94</v>
      </c>
      <c r="F17" s="262"/>
    </row>
    <row r="18" spans="1:7" ht="18.600000000000001" customHeight="1">
      <c r="A18" s="1333" t="s">
        <v>307</v>
      </c>
      <c r="B18" s="1334"/>
      <c r="C18" s="1334"/>
      <c r="D18" s="1334"/>
      <c r="E18" s="261">
        <v>11999.42</v>
      </c>
      <c r="F18" s="262"/>
    </row>
    <row r="19" spans="1:7" ht="18.600000000000001" customHeight="1">
      <c r="A19" s="1333" t="s">
        <v>365</v>
      </c>
      <c r="B19" s="1334"/>
      <c r="C19" s="1334"/>
      <c r="D19" s="1334"/>
      <c r="E19" s="261">
        <v>11576.9</v>
      </c>
      <c r="F19" s="262"/>
    </row>
    <row r="20" spans="1:7" ht="18.600000000000001" customHeight="1">
      <c r="A20" s="574" t="s">
        <v>427</v>
      </c>
      <c r="B20" s="575"/>
      <c r="C20" s="575"/>
      <c r="D20" s="575"/>
      <c r="E20" s="261">
        <v>12001.43</v>
      </c>
      <c r="F20" s="262"/>
    </row>
    <row r="21" spans="1:7" ht="18.600000000000001" customHeight="1">
      <c r="A21" s="651" t="s">
        <v>462</v>
      </c>
      <c r="B21" s="652"/>
      <c r="C21" s="652"/>
      <c r="D21" s="652"/>
      <c r="E21" s="261">
        <v>11578.83</v>
      </c>
      <c r="F21" s="262"/>
    </row>
    <row r="22" spans="1:7" ht="18.600000000000001" customHeight="1">
      <c r="A22" s="670" t="s">
        <v>494</v>
      </c>
      <c r="B22" s="671"/>
      <c r="C22" s="671"/>
      <c r="D22" s="671"/>
      <c r="E22" s="261">
        <v>12003.43</v>
      </c>
      <c r="F22" s="262"/>
    </row>
    <row r="23" spans="1:7" ht="18.600000000000001" customHeight="1">
      <c r="A23" s="689" t="s">
        <v>501</v>
      </c>
      <c r="B23" s="690"/>
      <c r="C23" s="690"/>
      <c r="D23" s="690"/>
      <c r="E23" s="261">
        <v>12004.45</v>
      </c>
      <c r="F23" s="262"/>
    </row>
    <row r="24" spans="1:7" ht="18.600000000000001" customHeight="1">
      <c r="A24" s="725" t="s">
        <v>515</v>
      </c>
      <c r="B24" s="726"/>
      <c r="C24" s="726"/>
      <c r="D24" s="726"/>
      <c r="E24" s="261">
        <v>10875.55</v>
      </c>
      <c r="F24" s="262"/>
    </row>
    <row r="25" spans="1:7" ht="18.600000000000001" customHeight="1">
      <c r="A25" s="743" t="s">
        <v>520</v>
      </c>
      <c r="B25" s="744"/>
      <c r="C25" s="744"/>
      <c r="D25" s="744"/>
      <c r="E25" s="261">
        <v>4124.71</v>
      </c>
      <c r="F25" s="262"/>
      <c r="G25" s="5" t="str">
        <f>"+1"</f>
        <v>+1</v>
      </c>
    </row>
    <row r="26" spans="1:7" ht="18.600000000000001" customHeight="1">
      <c r="A26" s="773" t="s">
        <v>537</v>
      </c>
      <c r="B26" s="774"/>
      <c r="C26" s="774"/>
      <c r="D26" s="774"/>
      <c r="E26" s="261">
        <f>1760.54-1</f>
        <v>1759.54</v>
      </c>
      <c r="F26" s="262"/>
      <c r="G26" s="785" t="str">
        <f>"-1"</f>
        <v>-1</v>
      </c>
    </row>
    <row r="27" spans="1:7" ht="18.600000000000001" customHeight="1">
      <c r="A27" s="793" t="s">
        <v>567</v>
      </c>
      <c r="B27" s="794"/>
      <c r="C27" s="794"/>
      <c r="D27" s="794"/>
      <c r="E27" s="261">
        <v>1825.1</v>
      </c>
      <c r="F27" s="262"/>
      <c r="G27" s="785"/>
    </row>
    <row r="28" spans="1:7" ht="18.600000000000001" customHeight="1">
      <c r="A28" s="811" t="s">
        <v>577</v>
      </c>
      <c r="B28" s="812"/>
      <c r="C28" s="812"/>
      <c r="D28" s="812"/>
      <c r="E28" s="261">
        <v>1760.83</v>
      </c>
      <c r="F28" s="262"/>
      <c r="G28" s="785"/>
    </row>
    <row r="29" spans="1:7" ht="18.600000000000001" customHeight="1">
      <c r="A29" s="874" t="s">
        <v>625</v>
      </c>
      <c r="B29" s="875"/>
      <c r="C29" s="875"/>
      <c r="D29" s="875"/>
      <c r="E29" s="261">
        <v>1825.4</v>
      </c>
      <c r="F29" s="262"/>
      <c r="G29" s="785"/>
    </row>
    <row r="30" spans="1:7" ht="18.600000000000001" customHeight="1">
      <c r="A30" s="895" t="s">
        <v>720</v>
      </c>
      <c r="B30" s="896"/>
      <c r="C30" s="896"/>
      <c r="D30" s="896"/>
      <c r="E30" s="261">
        <v>1825.56</v>
      </c>
      <c r="F30" s="262"/>
      <c r="G30" s="785"/>
    </row>
    <row r="31" spans="1:7" ht="18.600000000000001" customHeight="1">
      <c r="A31" s="904" t="s">
        <v>647</v>
      </c>
      <c r="B31" s="905"/>
      <c r="C31" s="905"/>
      <c r="D31" s="905"/>
      <c r="E31" s="261">
        <v>1761.28</v>
      </c>
      <c r="F31" s="262"/>
      <c r="G31" s="785"/>
    </row>
    <row r="32" spans="1:7" ht="18.600000000000001" customHeight="1">
      <c r="A32" s="924" t="s">
        <v>655</v>
      </c>
      <c r="B32" s="925"/>
      <c r="C32" s="925"/>
      <c r="D32" s="925"/>
      <c r="E32" s="261">
        <v>1825.86</v>
      </c>
      <c r="F32" s="262"/>
      <c r="G32" s="785"/>
    </row>
    <row r="33" spans="1:33" ht="18.600000000000001" customHeight="1">
      <c r="A33" s="948" t="s">
        <v>665</v>
      </c>
      <c r="B33" s="949"/>
      <c r="C33" s="949"/>
      <c r="D33" s="949"/>
      <c r="E33" s="261">
        <v>1761.57</v>
      </c>
      <c r="F33" s="262"/>
      <c r="G33" s="785"/>
    </row>
    <row r="34" spans="1:33" ht="18.600000000000001" customHeight="1">
      <c r="A34" s="966" t="s">
        <v>677</v>
      </c>
      <c r="B34" s="967"/>
      <c r="C34" s="967"/>
      <c r="D34" s="967"/>
      <c r="E34" s="261">
        <v>1826.17</v>
      </c>
      <c r="F34" s="262"/>
      <c r="G34" s="785"/>
    </row>
    <row r="35" spans="1:33" ht="18.600000000000001" customHeight="1">
      <c r="A35" s="989" t="s">
        <v>687</v>
      </c>
      <c r="B35" s="990"/>
      <c r="C35" s="990"/>
      <c r="D35" s="990"/>
      <c r="E35" s="261">
        <v>1826.32</v>
      </c>
      <c r="F35" s="262"/>
      <c r="G35" s="785"/>
    </row>
    <row r="36" spans="1:33" ht="18.600000000000001" customHeight="1">
      <c r="A36" s="1009" t="s">
        <v>720</v>
      </c>
      <c r="B36" s="1010"/>
      <c r="C36" s="1010"/>
      <c r="D36" s="1010"/>
      <c r="E36" s="261">
        <v>1654.57</v>
      </c>
      <c r="F36" s="262"/>
      <c r="G36" s="785"/>
    </row>
    <row r="37" spans="1:33" ht="18.600000000000001" customHeight="1">
      <c r="A37" s="1032" t="s">
        <v>729</v>
      </c>
      <c r="B37" s="1033"/>
      <c r="C37" s="1033"/>
      <c r="D37" s="1033"/>
      <c r="E37" s="261">
        <v>140929.38</v>
      </c>
      <c r="F37" s="262"/>
      <c r="G37" s="785"/>
    </row>
    <row r="38" spans="1:33" ht="18.600000000000001" customHeight="1">
      <c r="A38" s="1069" t="s">
        <v>748</v>
      </c>
      <c r="B38" s="1070"/>
      <c r="C38" s="1070"/>
      <c r="D38" s="1070"/>
      <c r="E38" s="261">
        <v>137267.91</v>
      </c>
      <c r="F38" s="262"/>
      <c r="G38" s="785"/>
    </row>
    <row r="39" spans="1:33" ht="18.600000000000001" customHeight="1">
      <c r="A39" s="1090" t="str">
        <f>+'Anexo 6 Tauramena'!A39</f>
        <v>Rendimientos financieros AL 31 DE MAYO DE 2023</v>
      </c>
      <c r="B39" s="1091"/>
      <c r="C39" s="1091"/>
      <c r="D39" s="1091"/>
      <c r="E39" s="261">
        <v>142753.79999999999</v>
      </c>
      <c r="F39" s="262"/>
      <c r="G39" s="785">
        <f>+SUM(E10:E39)</f>
        <v>1190483.73</v>
      </c>
    </row>
    <row r="40" spans="1:33" ht="18.600000000000001" customHeight="1">
      <c r="A40" s="1100" t="str">
        <f>+'Anexo 6 Tauramena'!A40</f>
        <v>Rendimientos financieros AL 30 DE JUNIO DE 2023</v>
      </c>
      <c r="B40" s="1101"/>
      <c r="C40" s="1101"/>
      <c r="D40" s="1101"/>
      <c r="E40" s="261">
        <v>139044.92000000001</v>
      </c>
      <c r="F40" s="262"/>
      <c r="G40" s="785"/>
    </row>
    <row r="41" spans="1:33" ht="18.600000000000001" customHeight="1">
      <c r="A41" s="1128" t="str">
        <f>+'Anexo 6 Tauramena'!A41</f>
        <v>Rendimientos financieros AL 31 DE JULIO DE 2023</v>
      </c>
      <c r="B41" s="1129"/>
      <c r="C41" s="1129"/>
      <c r="D41" s="1129"/>
      <c r="E41" s="261">
        <v>321990.96000000002</v>
      </c>
      <c r="F41" s="262"/>
      <c r="G41" s="785"/>
    </row>
    <row r="42" spans="1:33" s="5" customFormat="1" ht="18.600000000000001" customHeight="1">
      <c r="A42" s="226"/>
      <c r="B42" s="227"/>
      <c r="C42" s="227"/>
      <c r="D42" s="227"/>
      <c r="E42" s="263"/>
      <c r="F42" s="264"/>
      <c r="G42" s="776" t="s">
        <v>535</v>
      </c>
      <c r="H42" s="775" t="s">
        <v>536</v>
      </c>
      <c r="I42" s="775" t="s">
        <v>516</v>
      </c>
      <c r="J42" s="742" t="s">
        <v>65</v>
      </c>
      <c r="Z42" s="6"/>
      <c r="AA42" s="6"/>
      <c r="AB42" s="6"/>
      <c r="AC42" s="6"/>
      <c r="AD42" s="6"/>
      <c r="AE42" s="6"/>
      <c r="AF42" s="6"/>
      <c r="AG42" s="6"/>
    </row>
    <row r="43" spans="1:33" s="5" customFormat="1" ht="24.75" customHeight="1" thickBot="1">
      <c r="A43" s="14" t="str">
        <f>+'Anexo 6 Tauramena'!A43</f>
        <v>TOTAL RENDIMIENTOS DISPONIBLES AL 31 DE JULIO DE 2023</v>
      </c>
      <c r="B43" s="15"/>
      <c r="C43" s="15"/>
      <c r="D43" s="15"/>
      <c r="E43" s="265"/>
      <c r="F43" s="266">
        <f>SUM(E10:E42)</f>
        <v>1651519.6099999999</v>
      </c>
      <c r="G43" s="5">
        <f>+F43+Adhesiones!H65</f>
        <v>62301553.609999999</v>
      </c>
      <c r="H43" s="741">
        <f>+G43-F43</f>
        <v>60650034</v>
      </c>
      <c r="I43" s="5">
        <f>-'Anexo 3-Porcion C-NC'!B20</f>
        <v>-60650034.5</v>
      </c>
      <c r="J43" s="5">
        <f>+H43+I43</f>
        <v>-0.5</v>
      </c>
      <c r="Z43" s="6"/>
      <c r="AA43" s="6"/>
      <c r="AB43" s="6"/>
      <c r="AC43" s="6"/>
      <c r="AD43" s="6"/>
      <c r="AE43" s="6"/>
      <c r="AF43" s="6"/>
      <c r="AG43" s="6"/>
    </row>
    <row r="44" spans="1:33" s="20" customFormat="1" ht="15.75">
      <c r="A44" s="6"/>
      <c r="B44" s="6"/>
      <c r="C44" s="16"/>
      <c r="D44" s="17"/>
      <c r="E44" s="18"/>
      <c r="F44" s="19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</row>
    <row r="45" spans="1:33" s="20" customFormat="1" ht="15.75">
      <c r="A45" s="6"/>
      <c r="B45" s="6"/>
      <c r="C45" s="16"/>
      <c r="D45" s="17"/>
      <c r="E45" s="21"/>
      <c r="F45" s="19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</row>
    <row r="46" spans="1:33" s="20" customFormat="1" ht="15.75">
      <c r="A46" s="6"/>
      <c r="B46" s="6"/>
      <c r="C46" s="16"/>
      <c r="D46" s="17"/>
      <c r="E46" s="22"/>
      <c r="F46" s="19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</row>
    <row r="47" spans="1:33" s="20" customFormat="1" ht="15.75">
      <c r="A47" s="6"/>
      <c r="B47" s="6"/>
      <c r="C47" s="16"/>
      <c r="D47" s="17"/>
      <c r="E47" s="22"/>
      <c r="F47" s="19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</row>
    <row r="48" spans="1:33" s="5" customFormat="1" ht="16.5" thickBot="1">
      <c r="A48" s="23"/>
      <c r="B48" s="24"/>
      <c r="C48" s="25"/>
      <c r="D48" s="131"/>
      <c r="E48" s="132"/>
      <c r="F48" s="133"/>
    </row>
    <row r="49" spans="1:25" s="5" customFormat="1" ht="15" customHeight="1">
      <c r="A49" s="1336" t="s">
        <v>135</v>
      </c>
      <c r="B49" s="1336"/>
      <c r="C49" s="1"/>
      <c r="D49" s="1336" t="s">
        <v>517</v>
      </c>
      <c r="E49" s="1336"/>
      <c r="F49" s="224"/>
    </row>
    <row r="50" spans="1:25" s="5" customFormat="1" ht="14.45" customHeight="1">
      <c r="A50" s="1332" t="s">
        <v>145</v>
      </c>
      <c r="B50" s="1332"/>
      <c r="C50" s="2"/>
      <c r="D50" s="1332" t="s">
        <v>519</v>
      </c>
      <c r="E50" s="1332"/>
      <c r="F50" s="225"/>
    </row>
    <row r="51" spans="1:25" s="5" customFormat="1" ht="15.75" customHeight="1">
      <c r="A51" s="1332" t="s">
        <v>48</v>
      </c>
      <c r="B51" s="1332"/>
      <c r="C51" s="2"/>
      <c r="D51" s="1332" t="s">
        <v>48</v>
      </c>
      <c r="E51" s="1332"/>
      <c r="F51" s="225"/>
    </row>
    <row r="52" spans="1:25" s="20" customFormat="1" ht="15.75" customHeight="1">
      <c r="A52" s="6"/>
      <c r="B52" s="6"/>
      <c r="C52" s="16"/>
      <c r="D52" s="1335" t="s">
        <v>518</v>
      </c>
      <c r="E52" s="1335"/>
      <c r="F52" s="22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</row>
    <row r="53" spans="1:25" s="20" customFormat="1" ht="15.75">
      <c r="A53" s="6"/>
      <c r="B53" s="6"/>
      <c r="C53" s="16"/>
      <c r="D53" s="17"/>
      <c r="E53" s="22"/>
      <c r="F53" s="19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</row>
    <row r="54" spans="1:25" s="20" customFormat="1" ht="15.75">
      <c r="A54" s="6"/>
      <c r="B54" s="6"/>
      <c r="C54" s="16"/>
      <c r="D54" s="17"/>
      <c r="E54" s="22"/>
      <c r="F54" s="19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</row>
    <row r="55" spans="1:25" s="20" customFormat="1" ht="15.75">
      <c r="A55" s="27"/>
      <c r="B55" s="27"/>
      <c r="C55" s="27"/>
      <c r="D55" s="27"/>
      <c r="E55" s="27"/>
      <c r="F55" s="19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</row>
    <row r="56" spans="1:25" s="5" customFormat="1" ht="15.75">
      <c r="A56" s="27"/>
      <c r="B56" s="27"/>
      <c r="C56" s="27"/>
      <c r="D56" s="27"/>
      <c r="E56" s="27"/>
      <c r="F56" s="26"/>
    </row>
    <row r="57" spans="1:25" s="5" customFormat="1" ht="15" customHeight="1">
      <c r="A57" s="27"/>
      <c r="B57" s="27"/>
      <c r="C57" s="27"/>
      <c r="D57" s="27"/>
      <c r="E57" s="27"/>
      <c r="F57" s="26"/>
    </row>
    <row r="58" spans="1:25" s="5" customFormat="1" ht="14.45" customHeight="1">
      <c r="A58" s="27"/>
      <c r="B58" s="27"/>
      <c r="C58" s="27"/>
      <c r="D58" s="27"/>
      <c r="E58" s="27"/>
      <c r="F58" s="26"/>
    </row>
    <row r="59" spans="1:25" s="5" customFormat="1" ht="14.45" customHeight="1">
      <c r="A59" s="27"/>
      <c r="B59" s="27"/>
      <c r="C59" s="27"/>
      <c r="D59" s="27"/>
      <c r="E59" s="27"/>
      <c r="F59" s="26"/>
    </row>
    <row r="60" spans="1:25" s="20" customFormat="1" ht="15.75">
      <c r="A60" s="27"/>
      <c r="B60" s="27"/>
      <c r="C60" s="27"/>
      <c r="D60" s="27"/>
      <c r="E60" s="27"/>
      <c r="F60" s="19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</row>
    <row r="61" spans="1:25" s="20" customFormat="1" ht="15.75">
      <c r="A61" s="6"/>
      <c r="B61" s="6"/>
      <c r="C61" s="16"/>
      <c r="D61" s="17"/>
      <c r="E61" s="6"/>
      <c r="F61" s="19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</row>
    <row r="62" spans="1:25" s="20" customFormat="1" ht="15.75">
      <c r="A62" s="6"/>
      <c r="B62" s="6"/>
      <c r="C62" s="16"/>
      <c r="D62" s="17"/>
      <c r="E62" s="6"/>
      <c r="F62" s="19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</row>
    <row r="63" spans="1:25" s="20" customFormat="1" ht="15.75">
      <c r="A63" s="6"/>
      <c r="B63" s="6"/>
      <c r="C63" s="16"/>
      <c r="D63" s="17"/>
      <c r="E63" s="6"/>
      <c r="F63" s="19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</row>
    <row r="64" spans="1:25" s="20" customFormat="1" ht="15.75">
      <c r="A64" s="6"/>
      <c r="B64" s="6"/>
      <c r="C64" s="16"/>
      <c r="D64" s="17"/>
      <c r="E64" s="6"/>
      <c r="F64" s="19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</row>
    <row r="65" spans="1:25" s="20" customFormat="1" ht="15.75">
      <c r="A65" s="6"/>
      <c r="B65" s="6"/>
      <c r="C65" s="16"/>
      <c r="D65" s="17"/>
      <c r="E65" s="6"/>
      <c r="F65" s="19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</row>
    <row r="66" spans="1:25" s="20" customFormat="1" ht="15.75">
      <c r="A66" s="6"/>
      <c r="B66" s="6"/>
      <c r="C66" s="16"/>
      <c r="D66" s="17"/>
      <c r="E66" s="6"/>
      <c r="F66" s="19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</row>
    <row r="67" spans="1:25" s="20" customFormat="1" ht="15.75">
      <c r="A67" s="6"/>
      <c r="B67" s="6"/>
      <c r="C67" s="16"/>
      <c r="D67" s="17"/>
      <c r="E67" s="6"/>
      <c r="F67" s="19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</row>
    <row r="68" spans="1:25" s="20" customFormat="1" ht="15.75">
      <c r="A68" s="6"/>
      <c r="B68" s="6"/>
      <c r="C68" s="16"/>
      <c r="D68" s="17"/>
      <c r="E68" s="6"/>
      <c r="F68" s="19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</row>
    <row r="69" spans="1:25" s="20" customFormat="1" ht="15.75">
      <c r="A69" s="6"/>
      <c r="B69" s="6"/>
      <c r="C69" s="16"/>
      <c r="D69" s="17"/>
      <c r="E69" s="6"/>
      <c r="F69" s="19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</row>
    <row r="70" spans="1:25" s="20" customFormat="1" ht="15.75">
      <c r="A70" s="6"/>
      <c r="B70" s="6"/>
      <c r="C70" s="16"/>
      <c r="D70" s="17"/>
      <c r="E70" s="6"/>
      <c r="F70" s="19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</row>
    <row r="71" spans="1:25" s="20" customFormat="1" ht="15.75">
      <c r="A71" s="6"/>
      <c r="B71" s="6"/>
      <c r="C71" s="16"/>
      <c r="D71" s="17"/>
      <c r="E71" s="6"/>
      <c r="F71" s="19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</row>
    <row r="72" spans="1:25" s="20" customFormat="1" ht="15.75">
      <c r="A72" s="6"/>
      <c r="B72" s="6"/>
      <c r="C72" s="16"/>
      <c r="D72" s="17"/>
      <c r="E72" s="6"/>
      <c r="F72" s="19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</row>
    <row r="73" spans="1:25" s="20" customFormat="1" ht="15.75">
      <c r="A73" s="6"/>
      <c r="B73" s="6"/>
      <c r="C73" s="16"/>
      <c r="D73" s="17"/>
      <c r="E73" s="6"/>
      <c r="F73" s="19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</row>
    <row r="74" spans="1:25" s="20" customFormat="1" ht="15.75">
      <c r="A74" s="6"/>
      <c r="B74" s="6"/>
      <c r="C74" s="16"/>
      <c r="D74" s="17"/>
      <c r="E74" s="6"/>
      <c r="F74" s="19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</row>
    <row r="75" spans="1:25" s="20" customFormat="1" ht="15.75">
      <c r="A75" s="6"/>
      <c r="B75" s="6"/>
      <c r="C75" s="16"/>
      <c r="D75" s="17"/>
      <c r="E75" s="6"/>
      <c r="F75" s="19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</row>
    <row r="76" spans="1:25" s="20" customFormat="1" ht="15.75">
      <c r="A76" s="6"/>
      <c r="B76" s="6"/>
      <c r="C76" s="16"/>
      <c r="D76" s="17"/>
      <c r="E76" s="6"/>
      <c r="F76" s="19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</row>
    <row r="77" spans="1:25" s="20" customFormat="1" ht="15.75">
      <c r="A77" s="6"/>
      <c r="B77" s="6"/>
      <c r="C77" s="16"/>
      <c r="D77" s="17"/>
      <c r="E77" s="6"/>
      <c r="F77" s="19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</row>
    <row r="78" spans="1:25" s="20" customFormat="1" ht="15.75">
      <c r="A78" s="6"/>
      <c r="B78" s="6"/>
      <c r="C78" s="16"/>
      <c r="D78" s="17"/>
      <c r="E78" s="6"/>
      <c r="F78" s="19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</row>
    <row r="79" spans="1:25" s="20" customFormat="1" ht="15.75">
      <c r="A79" s="6"/>
      <c r="B79" s="6"/>
      <c r="C79" s="16"/>
      <c r="D79" s="17"/>
      <c r="E79" s="6"/>
      <c r="F79" s="19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</row>
    <row r="80" spans="1:25" s="20" customFormat="1" ht="89.25" customHeight="1">
      <c r="A80" s="6"/>
      <c r="B80" s="6"/>
      <c r="C80" s="16"/>
      <c r="D80" s="17"/>
      <c r="E80" s="6"/>
      <c r="F80" s="19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</row>
    <row r="81" spans="1:25" s="20" customFormat="1" ht="89.25" customHeight="1">
      <c r="A81" s="6"/>
      <c r="B81" s="6"/>
      <c r="C81" s="16"/>
      <c r="D81" s="17"/>
      <c r="E81" s="6"/>
      <c r="F81" s="19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</row>
    <row r="82" spans="1:25" s="20" customFormat="1" ht="89.25" customHeight="1">
      <c r="A82" s="6"/>
      <c r="B82" s="6"/>
      <c r="C82" s="16"/>
      <c r="D82" s="17"/>
      <c r="E82" s="6"/>
      <c r="F82" s="19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</row>
    <row r="83" spans="1:25" s="20" customFormat="1" ht="89.25" customHeight="1">
      <c r="A83" s="6"/>
      <c r="B83" s="6"/>
      <c r="C83" s="16"/>
      <c r="D83" s="17"/>
      <c r="E83" s="6"/>
      <c r="F83" s="19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</row>
    <row r="84" spans="1:25" s="20" customFormat="1" ht="89.25" customHeight="1">
      <c r="A84" s="6"/>
      <c r="B84" s="6"/>
      <c r="C84" s="16"/>
      <c r="D84" s="17"/>
      <c r="E84" s="6"/>
      <c r="F84" s="19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</row>
    <row r="85" spans="1:25" s="20" customFormat="1" ht="89.25" customHeight="1">
      <c r="A85" s="6"/>
      <c r="B85" s="6"/>
      <c r="C85" s="16"/>
      <c r="D85" s="17"/>
      <c r="E85" s="6"/>
      <c r="F85" s="19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</row>
    <row r="86" spans="1:25" s="20" customFormat="1" ht="89.25" customHeight="1">
      <c r="A86" s="6"/>
      <c r="B86" s="6"/>
      <c r="C86" s="16"/>
      <c r="D86" s="17"/>
      <c r="E86" s="6"/>
      <c r="F86" s="19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</row>
    <row r="87" spans="1:25" s="20" customFormat="1" ht="89.25" customHeight="1">
      <c r="A87" s="6"/>
      <c r="B87" s="6"/>
      <c r="C87" s="16"/>
      <c r="D87" s="17"/>
      <c r="E87" s="6"/>
      <c r="F87" s="19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</row>
    <row r="88" spans="1:25" s="20" customFormat="1" ht="89.25" customHeight="1">
      <c r="A88" s="6"/>
      <c r="B88" s="6"/>
      <c r="C88" s="16"/>
      <c r="D88" s="17"/>
      <c r="E88" s="6"/>
      <c r="F88" s="19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</row>
    <row r="89" spans="1:25" s="20" customFormat="1" ht="89.25" customHeight="1">
      <c r="A89" s="6"/>
      <c r="B89" s="6"/>
      <c r="C89" s="16"/>
      <c r="D89" s="17"/>
      <c r="E89" s="6"/>
      <c r="F89" s="19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</row>
    <row r="90" spans="1:25" s="20" customFormat="1" ht="89.25" customHeight="1">
      <c r="A90" s="6"/>
      <c r="B90" s="6"/>
      <c r="C90" s="16"/>
      <c r="D90" s="17"/>
      <c r="E90" s="6"/>
      <c r="F90" s="19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</row>
    <row r="91" spans="1:25" s="20" customFormat="1" ht="89.25" customHeight="1">
      <c r="A91" s="6"/>
      <c r="B91" s="6"/>
      <c r="C91" s="16"/>
      <c r="D91" s="17"/>
      <c r="E91" s="6"/>
      <c r="F91" s="19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</row>
    <row r="92" spans="1:25" s="20" customFormat="1" ht="89.25" customHeight="1">
      <c r="A92" s="6"/>
      <c r="B92" s="6"/>
      <c r="C92" s="16"/>
      <c r="D92" s="17"/>
      <c r="E92" s="6"/>
      <c r="F92" s="19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</row>
    <row r="93" spans="1:25" s="20" customFormat="1" ht="89.25" customHeight="1">
      <c r="A93" s="6"/>
      <c r="B93" s="6"/>
      <c r="C93" s="16"/>
      <c r="D93" s="17"/>
      <c r="E93" s="6"/>
      <c r="F93" s="19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</row>
    <row r="94" spans="1:25" s="20" customFormat="1" ht="89.25" customHeight="1">
      <c r="A94" s="6"/>
      <c r="B94" s="6"/>
      <c r="C94" s="16"/>
      <c r="D94" s="17"/>
      <c r="E94" s="6"/>
      <c r="F94" s="19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</row>
    <row r="95" spans="1:25" s="20" customFormat="1" ht="89.25" customHeight="1">
      <c r="A95" s="6"/>
      <c r="B95" s="6"/>
      <c r="C95" s="16"/>
      <c r="D95" s="17"/>
      <c r="E95" s="6"/>
      <c r="F95" s="19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</row>
    <row r="96" spans="1:25" s="20" customFormat="1" ht="89.25" customHeight="1">
      <c r="A96" s="6"/>
      <c r="B96" s="6"/>
      <c r="C96" s="16"/>
      <c r="D96" s="17"/>
      <c r="E96" s="6"/>
      <c r="F96" s="19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</row>
    <row r="97" spans="1:25" s="20" customFormat="1" ht="89.25" customHeight="1">
      <c r="A97" s="6"/>
      <c r="B97" s="6"/>
      <c r="C97" s="16"/>
      <c r="D97" s="17"/>
      <c r="E97" s="6"/>
      <c r="F97" s="19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</row>
    <row r="98" spans="1:25" s="20" customFormat="1" ht="89.25" customHeight="1">
      <c r="A98" s="6"/>
      <c r="B98" s="6"/>
      <c r="C98" s="16"/>
      <c r="D98" s="17"/>
      <c r="E98" s="6"/>
      <c r="F98" s="19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</row>
    <row r="99" spans="1:25" s="20" customFormat="1" ht="89.25" customHeight="1">
      <c r="A99" s="6"/>
      <c r="B99" s="6"/>
      <c r="C99" s="16"/>
      <c r="D99" s="17"/>
      <c r="E99" s="6"/>
      <c r="F99" s="19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</row>
    <row r="100" spans="1:25" s="20" customFormat="1" ht="89.25" customHeight="1">
      <c r="A100" s="6"/>
      <c r="B100" s="6"/>
      <c r="C100" s="16"/>
      <c r="D100" s="17"/>
      <c r="E100" s="6"/>
      <c r="F100" s="19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</row>
    <row r="101" spans="1:25" s="20" customFormat="1" ht="89.25" customHeight="1">
      <c r="A101" s="6"/>
      <c r="B101" s="6"/>
      <c r="C101" s="16"/>
      <c r="D101" s="17"/>
      <c r="E101" s="6"/>
      <c r="F101" s="19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</row>
    <row r="102" spans="1:25" s="20" customFormat="1" ht="89.25" customHeight="1">
      <c r="A102" s="6"/>
      <c r="B102" s="6"/>
      <c r="C102" s="16"/>
      <c r="D102" s="17"/>
      <c r="E102" s="6"/>
      <c r="F102" s="19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</row>
    <row r="103" spans="1:25" s="20" customFormat="1" ht="89.25" customHeight="1">
      <c r="A103" s="6"/>
      <c r="B103" s="6"/>
      <c r="C103" s="16"/>
      <c r="D103" s="17"/>
      <c r="E103" s="6"/>
      <c r="F103" s="19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</row>
    <row r="104" spans="1:25" s="20" customFormat="1" ht="89.25" customHeight="1">
      <c r="A104" s="6"/>
      <c r="B104" s="6"/>
      <c r="C104" s="16"/>
      <c r="D104" s="17"/>
      <c r="E104" s="6"/>
      <c r="F104" s="19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</row>
    <row r="105" spans="1:25" s="20" customFormat="1" ht="89.25" customHeight="1">
      <c r="A105" s="6"/>
      <c r="B105" s="6"/>
      <c r="C105" s="16"/>
      <c r="D105" s="17"/>
      <c r="E105" s="6"/>
      <c r="F105" s="19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</row>
    <row r="106" spans="1:25" s="20" customFormat="1" ht="89.25" customHeight="1">
      <c r="A106" s="6"/>
      <c r="B106" s="6"/>
      <c r="C106" s="16"/>
      <c r="D106" s="17"/>
      <c r="E106" s="6"/>
      <c r="F106" s="19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</row>
    <row r="107" spans="1:25" s="20" customFormat="1" ht="89.25" customHeight="1">
      <c r="A107" s="6"/>
      <c r="B107" s="6"/>
      <c r="C107" s="16"/>
      <c r="D107" s="17"/>
      <c r="E107" s="6"/>
      <c r="F107" s="19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</row>
    <row r="108" spans="1:25" s="20" customFormat="1" ht="89.25" customHeight="1">
      <c r="A108" s="6"/>
      <c r="B108" s="6"/>
      <c r="C108" s="16"/>
      <c r="D108" s="17"/>
      <c r="E108" s="6"/>
      <c r="F108" s="19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</row>
    <row r="109" spans="1:25" s="20" customFormat="1" ht="89.25" customHeight="1">
      <c r="A109" s="6"/>
      <c r="B109" s="6"/>
      <c r="C109" s="16"/>
      <c r="D109" s="17"/>
      <c r="E109" s="6"/>
      <c r="F109" s="19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</row>
    <row r="110" spans="1:25" s="20" customFormat="1" ht="89.25" customHeight="1">
      <c r="A110" s="6"/>
      <c r="B110" s="6"/>
      <c r="C110" s="16"/>
      <c r="D110" s="17"/>
      <c r="E110" s="6"/>
      <c r="F110" s="19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</row>
    <row r="111" spans="1:25" s="20" customFormat="1" ht="89.25" customHeight="1">
      <c r="A111" s="6"/>
      <c r="B111" s="6"/>
      <c r="C111" s="16"/>
      <c r="D111" s="17"/>
      <c r="E111" s="6"/>
      <c r="F111" s="19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</row>
    <row r="112" spans="1:25" s="20" customFormat="1" ht="89.25" customHeight="1">
      <c r="A112" s="6"/>
      <c r="B112" s="6"/>
      <c r="C112" s="16"/>
      <c r="D112" s="17"/>
      <c r="E112" s="6"/>
      <c r="F112" s="19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</row>
    <row r="113" spans="1:25" s="20" customFormat="1" ht="89.25" customHeight="1">
      <c r="A113" s="6"/>
      <c r="B113" s="6"/>
      <c r="C113" s="16"/>
      <c r="D113" s="17"/>
      <c r="E113" s="6"/>
      <c r="F113" s="19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</row>
    <row r="114" spans="1:25" s="20" customFormat="1" ht="89.25" customHeight="1">
      <c r="A114" s="6"/>
      <c r="B114" s="6"/>
      <c r="C114" s="16"/>
      <c r="D114" s="17"/>
      <c r="E114" s="6"/>
      <c r="F114" s="19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</row>
    <row r="115" spans="1:25" s="20" customFormat="1" ht="89.25" customHeight="1">
      <c r="A115" s="6"/>
      <c r="B115" s="6"/>
      <c r="C115" s="16"/>
      <c r="D115" s="17"/>
      <c r="E115" s="6"/>
      <c r="F115" s="19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</row>
    <row r="116" spans="1:25" s="20" customFormat="1" ht="89.25" customHeight="1">
      <c r="A116" s="6"/>
      <c r="B116" s="6"/>
      <c r="C116" s="16"/>
      <c r="D116" s="17"/>
      <c r="E116" s="6"/>
      <c r="F116" s="19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</row>
    <row r="117" spans="1:25" s="20" customFormat="1" ht="89.25" customHeight="1">
      <c r="A117" s="6"/>
      <c r="B117" s="6"/>
      <c r="C117" s="16"/>
      <c r="D117" s="17"/>
      <c r="E117" s="6"/>
      <c r="F117" s="19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</row>
    <row r="118" spans="1:25" s="20" customFormat="1" ht="89.25" customHeight="1">
      <c r="A118" s="6"/>
      <c r="B118" s="6"/>
      <c r="C118" s="16"/>
      <c r="D118" s="17"/>
      <c r="E118" s="6"/>
      <c r="F118" s="19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</row>
    <row r="119" spans="1:25" s="20" customFormat="1" ht="89.25" customHeight="1">
      <c r="A119" s="6"/>
      <c r="B119" s="6"/>
      <c r="C119" s="16"/>
      <c r="D119" s="17"/>
      <c r="E119" s="6"/>
      <c r="F119" s="19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</row>
    <row r="120" spans="1:25" s="20" customFormat="1" ht="89.25" customHeight="1">
      <c r="A120" s="6"/>
      <c r="B120" s="6"/>
      <c r="C120" s="16"/>
      <c r="D120" s="17"/>
      <c r="E120" s="6"/>
      <c r="F120" s="19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</row>
    <row r="121" spans="1:25" s="20" customFormat="1" ht="89.25" customHeight="1">
      <c r="A121" s="6"/>
      <c r="B121" s="6"/>
      <c r="C121" s="16"/>
      <c r="D121" s="17"/>
      <c r="E121" s="6"/>
      <c r="F121" s="19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</row>
    <row r="122" spans="1:25" s="20" customFormat="1" ht="89.25" customHeight="1">
      <c r="A122" s="6"/>
      <c r="B122" s="6"/>
      <c r="C122" s="16"/>
      <c r="D122" s="17"/>
      <c r="E122" s="6"/>
      <c r="F122" s="19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</row>
    <row r="123" spans="1:25" s="20" customFormat="1" ht="89.25" customHeight="1">
      <c r="A123" s="6"/>
      <c r="B123" s="6"/>
      <c r="C123" s="16"/>
      <c r="D123" s="17"/>
      <c r="E123" s="6"/>
      <c r="F123" s="19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</row>
    <row r="124" spans="1:25" s="20" customFormat="1" ht="89.25" customHeight="1">
      <c r="A124" s="6"/>
      <c r="B124" s="6"/>
      <c r="C124" s="16"/>
      <c r="D124" s="17"/>
      <c r="E124" s="6"/>
      <c r="F124" s="19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</row>
    <row r="125" spans="1:25" s="20" customFormat="1" ht="89.25" customHeight="1">
      <c r="A125" s="6"/>
      <c r="B125" s="6"/>
      <c r="C125" s="16"/>
      <c r="D125" s="17"/>
      <c r="E125" s="6"/>
      <c r="F125" s="19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</row>
    <row r="126" spans="1:25" s="20" customFormat="1" ht="89.25" customHeight="1">
      <c r="A126" s="6"/>
      <c r="B126" s="6"/>
      <c r="C126" s="16"/>
      <c r="D126" s="17"/>
      <c r="E126" s="6"/>
      <c r="F126" s="19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</row>
    <row r="127" spans="1:25" s="20" customFormat="1" ht="89.25" customHeight="1">
      <c r="A127" s="6"/>
      <c r="B127" s="6"/>
      <c r="C127" s="16"/>
      <c r="D127" s="17"/>
      <c r="E127" s="6"/>
      <c r="F127" s="19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</row>
    <row r="128" spans="1:25" s="20" customFormat="1" ht="89.25" customHeight="1">
      <c r="A128" s="6"/>
      <c r="B128" s="6"/>
      <c r="C128" s="16"/>
      <c r="D128" s="17"/>
      <c r="E128" s="6"/>
      <c r="F128" s="19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</row>
    <row r="129" spans="1:25" s="20" customFormat="1" ht="89.25" customHeight="1">
      <c r="A129" s="6"/>
      <c r="B129" s="6"/>
      <c r="C129" s="16"/>
      <c r="D129" s="17"/>
      <c r="E129" s="6"/>
      <c r="F129" s="19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</row>
    <row r="130" spans="1:25" s="20" customFormat="1" ht="89.25" customHeight="1">
      <c r="A130" s="6"/>
      <c r="B130" s="6"/>
      <c r="C130" s="16"/>
      <c r="D130" s="17"/>
      <c r="E130" s="6"/>
      <c r="F130" s="19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</row>
    <row r="131" spans="1:25" s="20" customFormat="1" ht="89.25" customHeight="1">
      <c r="A131" s="6"/>
      <c r="B131" s="6"/>
      <c r="C131" s="16"/>
      <c r="D131" s="17"/>
      <c r="E131" s="6"/>
      <c r="F131" s="19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</row>
    <row r="132" spans="1:25" s="20" customFormat="1" ht="89.25" customHeight="1">
      <c r="A132" s="6"/>
      <c r="B132" s="6"/>
      <c r="C132" s="16"/>
      <c r="D132" s="17"/>
      <c r="E132" s="6"/>
      <c r="F132" s="19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</row>
    <row r="133" spans="1:25" s="20" customFormat="1" ht="89.25" customHeight="1">
      <c r="A133" s="6"/>
      <c r="B133" s="6"/>
      <c r="C133" s="16"/>
      <c r="D133" s="17"/>
      <c r="E133" s="6"/>
      <c r="F133" s="19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</row>
    <row r="134" spans="1:25" s="20" customFormat="1" ht="89.25" customHeight="1">
      <c r="A134" s="6"/>
      <c r="B134" s="6"/>
      <c r="C134" s="16"/>
      <c r="D134" s="17"/>
      <c r="E134" s="6"/>
      <c r="F134" s="19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</row>
    <row r="135" spans="1:25" s="20" customFormat="1" ht="89.25" customHeight="1">
      <c r="A135" s="6"/>
      <c r="B135" s="6"/>
      <c r="C135" s="16"/>
      <c r="D135" s="17"/>
      <c r="E135" s="6"/>
      <c r="F135" s="19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</row>
    <row r="136" spans="1:25" s="20" customFormat="1" ht="89.25" customHeight="1">
      <c r="A136" s="6"/>
      <c r="B136" s="6"/>
      <c r="C136" s="16"/>
      <c r="D136" s="17"/>
      <c r="E136" s="6"/>
      <c r="F136" s="19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</row>
    <row r="137" spans="1:25" s="20" customFormat="1" ht="89.25" customHeight="1">
      <c r="A137" s="6"/>
      <c r="B137" s="6"/>
      <c r="C137" s="16"/>
      <c r="D137" s="17"/>
      <c r="E137" s="6"/>
      <c r="F137" s="19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</row>
    <row r="138" spans="1:25" s="20" customFormat="1" ht="89.25" customHeight="1">
      <c r="A138" s="6"/>
      <c r="B138" s="6"/>
      <c r="C138" s="16"/>
      <c r="D138" s="17"/>
      <c r="E138" s="6"/>
      <c r="F138" s="19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</row>
    <row r="139" spans="1:25" s="20" customFormat="1" ht="89.25" customHeight="1">
      <c r="A139" s="6"/>
      <c r="B139" s="6"/>
      <c r="C139" s="16"/>
      <c r="D139" s="17"/>
      <c r="E139" s="6"/>
      <c r="F139" s="19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</row>
    <row r="140" spans="1:25" s="20" customFormat="1" ht="89.25" customHeight="1">
      <c r="A140" s="6"/>
      <c r="B140" s="6"/>
      <c r="C140" s="16"/>
      <c r="D140" s="17"/>
      <c r="E140" s="6"/>
      <c r="F140" s="19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</row>
    <row r="141" spans="1:25" s="20" customFormat="1" ht="89.25" customHeight="1">
      <c r="A141" s="6"/>
      <c r="B141" s="6"/>
      <c r="C141" s="16"/>
      <c r="D141" s="17"/>
      <c r="E141" s="6"/>
      <c r="F141" s="19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</row>
    <row r="142" spans="1:25" s="20" customFormat="1" ht="89.25" customHeight="1">
      <c r="A142" s="6"/>
      <c r="B142" s="6"/>
      <c r="C142" s="16"/>
      <c r="D142" s="17"/>
      <c r="E142" s="6"/>
      <c r="F142" s="19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</row>
    <row r="143" spans="1:25" s="20" customFormat="1" ht="89.25" customHeight="1">
      <c r="A143" s="6"/>
      <c r="B143" s="6"/>
      <c r="C143" s="16"/>
      <c r="D143" s="17"/>
      <c r="E143" s="6"/>
      <c r="F143" s="19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</row>
    <row r="144" spans="1:25" s="20" customFormat="1" ht="89.25" customHeight="1">
      <c r="A144" s="6"/>
      <c r="B144" s="6"/>
      <c r="C144" s="16"/>
      <c r="D144" s="17"/>
      <c r="E144" s="6"/>
      <c r="F144" s="19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</row>
    <row r="145" spans="1:25" s="20" customFormat="1" ht="89.25" customHeight="1">
      <c r="A145" s="6"/>
      <c r="B145" s="6"/>
      <c r="C145" s="16"/>
      <c r="D145" s="17"/>
      <c r="E145" s="6"/>
      <c r="F145" s="19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</row>
    <row r="146" spans="1:25" s="20" customFormat="1" ht="89.25" customHeight="1">
      <c r="A146" s="6"/>
      <c r="B146" s="6"/>
      <c r="C146" s="16"/>
      <c r="D146" s="17"/>
      <c r="E146" s="6"/>
      <c r="F146" s="19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</row>
    <row r="147" spans="1:25" s="20" customFormat="1" ht="89.25" customHeight="1">
      <c r="A147" s="6"/>
      <c r="B147" s="6"/>
      <c r="C147" s="16"/>
      <c r="D147" s="17"/>
      <c r="E147" s="6"/>
      <c r="F147" s="19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</row>
    <row r="148" spans="1:25" s="20" customFormat="1" ht="89.25" customHeight="1">
      <c r="A148" s="6"/>
      <c r="B148" s="6"/>
      <c r="C148" s="16"/>
      <c r="D148" s="17"/>
      <c r="E148" s="6"/>
      <c r="F148" s="19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</row>
    <row r="149" spans="1:25" s="20" customFormat="1" ht="89.25" customHeight="1">
      <c r="A149" s="6"/>
      <c r="B149" s="6"/>
      <c r="C149" s="16"/>
      <c r="D149" s="17"/>
      <c r="E149" s="6"/>
      <c r="F149" s="19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</row>
    <row r="150" spans="1:25" s="20" customFormat="1" ht="89.25" customHeight="1">
      <c r="A150" s="6"/>
      <c r="B150" s="6"/>
      <c r="C150" s="16"/>
      <c r="D150" s="17"/>
      <c r="E150" s="6"/>
      <c r="F150" s="19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</row>
    <row r="151" spans="1:25" s="20" customFormat="1" ht="89.25" customHeight="1">
      <c r="A151" s="6"/>
      <c r="B151" s="6"/>
      <c r="C151" s="16"/>
      <c r="D151" s="17"/>
      <c r="E151" s="6"/>
      <c r="F151" s="19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</row>
    <row r="152" spans="1:25" s="20" customFormat="1" ht="89.25" customHeight="1">
      <c r="A152" s="6"/>
      <c r="B152" s="6"/>
      <c r="C152" s="16"/>
      <c r="D152" s="17"/>
      <c r="E152" s="6"/>
      <c r="F152" s="19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</row>
    <row r="153" spans="1:25" s="20" customFormat="1" ht="89.25" customHeight="1">
      <c r="A153" s="6"/>
      <c r="B153" s="6"/>
      <c r="C153" s="16"/>
      <c r="D153" s="17"/>
      <c r="E153" s="6"/>
      <c r="F153" s="19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</row>
    <row r="154" spans="1:25" s="20" customFormat="1" ht="89.25" customHeight="1">
      <c r="A154" s="6"/>
      <c r="B154" s="6"/>
      <c r="C154" s="16"/>
      <c r="D154" s="17"/>
      <c r="E154" s="6"/>
      <c r="F154" s="19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</row>
    <row r="155" spans="1:25" s="20" customFormat="1" ht="89.25" customHeight="1">
      <c r="A155" s="6"/>
      <c r="B155" s="6"/>
      <c r="C155" s="16"/>
      <c r="D155" s="17"/>
      <c r="E155" s="6"/>
      <c r="F155" s="19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</row>
    <row r="156" spans="1:25" s="20" customFormat="1" ht="89.25" customHeight="1">
      <c r="A156" s="6"/>
      <c r="B156" s="6"/>
      <c r="C156" s="16"/>
      <c r="D156" s="17"/>
      <c r="E156" s="6"/>
      <c r="F156" s="19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</row>
    <row r="157" spans="1:25" s="20" customFormat="1" ht="89.25" customHeight="1">
      <c r="A157" s="6"/>
      <c r="B157" s="6"/>
      <c r="C157" s="16"/>
      <c r="D157" s="17"/>
      <c r="E157" s="6"/>
      <c r="F157" s="19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</row>
    <row r="158" spans="1:25" s="20" customFormat="1" ht="89.25" customHeight="1">
      <c r="A158" s="6"/>
      <c r="B158" s="6"/>
      <c r="C158" s="16"/>
      <c r="D158" s="17"/>
      <c r="E158" s="6"/>
      <c r="F158" s="19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</row>
    <row r="159" spans="1:25" s="20" customFormat="1" ht="89.25" customHeight="1">
      <c r="A159" s="6"/>
      <c r="B159" s="6"/>
      <c r="C159" s="16"/>
      <c r="D159" s="17"/>
      <c r="E159" s="6"/>
      <c r="F159" s="19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</row>
    <row r="160" spans="1:25" s="20" customFormat="1" ht="89.25" customHeight="1">
      <c r="A160" s="6"/>
      <c r="B160" s="6"/>
      <c r="C160" s="16"/>
      <c r="D160" s="17"/>
      <c r="E160" s="6"/>
      <c r="F160" s="19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</row>
    <row r="161" spans="1:25" s="20" customFormat="1" ht="89.25" customHeight="1">
      <c r="A161" s="6"/>
      <c r="B161" s="6"/>
      <c r="C161" s="16"/>
      <c r="D161" s="17"/>
      <c r="E161" s="6"/>
      <c r="F161" s="19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</row>
    <row r="162" spans="1:25" s="20" customFormat="1" ht="89.25" customHeight="1">
      <c r="A162" s="6"/>
      <c r="B162" s="6"/>
      <c r="C162" s="16"/>
      <c r="D162" s="17"/>
      <c r="E162" s="6"/>
      <c r="F162" s="19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</row>
    <row r="163" spans="1:25" s="20" customFormat="1" ht="89.25" customHeight="1">
      <c r="A163" s="6"/>
      <c r="B163" s="6"/>
      <c r="C163" s="16"/>
      <c r="D163" s="17"/>
      <c r="E163" s="6"/>
      <c r="F163" s="19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</row>
    <row r="164" spans="1:25" s="20" customFormat="1" ht="89.25" customHeight="1">
      <c r="A164" s="6"/>
      <c r="B164" s="6"/>
      <c r="C164" s="16"/>
      <c r="D164" s="17"/>
      <c r="E164" s="6"/>
      <c r="F164" s="19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</row>
    <row r="165" spans="1:25" s="20" customFormat="1" ht="89.25" customHeight="1">
      <c r="A165" s="6"/>
      <c r="B165" s="6"/>
      <c r="C165" s="16"/>
      <c r="D165" s="17"/>
      <c r="E165" s="6"/>
      <c r="F165" s="19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</row>
    <row r="166" spans="1:25" s="20" customFormat="1" ht="89.25" customHeight="1">
      <c r="A166" s="6"/>
      <c r="B166" s="6"/>
      <c r="C166" s="16"/>
      <c r="D166" s="17"/>
      <c r="E166" s="6"/>
      <c r="F166" s="19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</row>
    <row r="167" spans="1:25" s="20" customFormat="1" ht="89.25" customHeight="1">
      <c r="A167" s="6"/>
      <c r="B167" s="6"/>
      <c r="C167" s="16"/>
      <c r="D167" s="17"/>
      <c r="E167" s="6"/>
      <c r="F167" s="19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</row>
    <row r="168" spans="1:25" s="20" customFormat="1" ht="89.25" customHeight="1">
      <c r="A168" s="6"/>
      <c r="B168" s="6"/>
      <c r="C168" s="16"/>
      <c r="D168" s="17"/>
      <c r="E168" s="6"/>
      <c r="F168" s="19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</row>
    <row r="169" spans="1:25" s="20" customFormat="1" ht="89.25" customHeight="1">
      <c r="A169" s="6"/>
      <c r="B169" s="6"/>
      <c r="C169" s="16"/>
      <c r="D169" s="17"/>
      <c r="E169" s="6"/>
      <c r="F169" s="19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</row>
    <row r="170" spans="1:25" s="20" customFormat="1" ht="89.25" customHeight="1">
      <c r="A170" s="6"/>
      <c r="B170" s="6"/>
      <c r="C170" s="16"/>
      <c r="D170" s="17"/>
      <c r="E170" s="6"/>
      <c r="F170" s="19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</row>
    <row r="171" spans="1:25" s="20" customFormat="1" ht="89.25" customHeight="1">
      <c r="A171" s="6"/>
      <c r="B171" s="6"/>
      <c r="C171" s="16"/>
      <c r="D171" s="17"/>
      <c r="E171" s="6"/>
      <c r="F171" s="19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</row>
    <row r="172" spans="1:25" s="20" customFormat="1" ht="89.25" customHeight="1">
      <c r="A172" s="6"/>
      <c r="B172" s="6"/>
      <c r="C172" s="16"/>
      <c r="D172" s="17"/>
      <c r="E172" s="6"/>
      <c r="F172" s="19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</row>
    <row r="173" spans="1:25" s="20" customFormat="1" ht="89.25" customHeight="1">
      <c r="A173" s="6"/>
      <c r="B173" s="6"/>
      <c r="C173" s="16"/>
      <c r="D173" s="17"/>
      <c r="E173" s="6"/>
      <c r="F173" s="19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</row>
    <row r="174" spans="1:25" s="20" customFormat="1" ht="89.25" customHeight="1">
      <c r="A174" s="6"/>
      <c r="B174" s="6"/>
      <c r="C174" s="16"/>
      <c r="D174" s="17"/>
      <c r="E174" s="6"/>
      <c r="F174" s="19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</row>
    <row r="175" spans="1:25" s="20" customFormat="1" ht="89.25" customHeight="1">
      <c r="A175" s="6"/>
      <c r="B175" s="6"/>
      <c r="C175" s="16"/>
      <c r="D175" s="17"/>
      <c r="E175" s="6"/>
      <c r="F175" s="19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</row>
    <row r="176" spans="1:25" s="20" customFormat="1" ht="89.25" customHeight="1">
      <c r="A176" s="6"/>
      <c r="B176" s="6"/>
      <c r="C176" s="16"/>
      <c r="D176" s="17"/>
      <c r="E176" s="6"/>
      <c r="F176" s="19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</row>
    <row r="177" spans="1:25" s="20" customFormat="1" ht="89.25" customHeight="1">
      <c r="A177" s="6"/>
      <c r="B177" s="6"/>
      <c r="C177" s="16"/>
      <c r="D177" s="17"/>
      <c r="E177" s="6"/>
      <c r="F177" s="19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</row>
    <row r="178" spans="1:25" s="20" customFormat="1" ht="89.25" customHeight="1">
      <c r="A178" s="6"/>
      <c r="B178" s="6"/>
      <c r="C178" s="16"/>
      <c r="D178" s="17"/>
      <c r="E178" s="6"/>
      <c r="F178" s="19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</row>
    <row r="179" spans="1:25" s="20" customFormat="1" ht="89.25" customHeight="1">
      <c r="A179" s="6"/>
      <c r="B179" s="6"/>
      <c r="C179" s="16"/>
      <c r="D179" s="17"/>
      <c r="E179" s="6"/>
      <c r="F179" s="19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</row>
    <row r="180" spans="1:25" s="20" customFormat="1" ht="89.25" customHeight="1">
      <c r="A180" s="6"/>
      <c r="B180" s="6"/>
      <c r="C180" s="16"/>
      <c r="D180" s="17"/>
      <c r="E180" s="6"/>
      <c r="F180" s="19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</row>
    <row r="181" spans="1:25" s="20" customFormat="1" ht="89.25" customHeight="1">
      <c r="A181" s="6"/>
      <c r="B181" s="6"/>
      <c r="C181" s="16"/>
      <c r="D181" s="17"/>
      <c r="E181" s="6"/>
      <c r="F181" s="19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</row>
    <row r="182" spans="1:25" s="20" customFormat="1" ht="89.25" customHeight="1">
      <c r="A182" s="6"/>
      <c r="B182" s="6"/>
      <c r="C182" s="16"/>
      <c r="D182" s="17"/>
      <c r="E182" s="6"/>
      <c r="F182" s="19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</row>
    <row r="183" spans="1:25" s="20" customFormat="1" ht="89.25" customHeight="1">
      <c r="A183" s="6"/>
      <c r="B183" s="6"/>
      <c r="C183" s="16"/>
      <c r="D183" s="17"/>
      <c r="E183" s="6"/>
      <c r="F183" s="19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</row>
    <row r="184" spans="1:25" s="20" customFormat="1" ht="89.25" customHeight="1">
      <c r="A184" s="6"/>
      <c r="B184" s="6"/>
      <c r="C184" s="16"/>
      <c r="D184" s="17"/>
      <c r="E184" s="6"/>
      <c r="F184" s="19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</row>
    <row r="185" spans="1:25" s="20" customFormat="1" ht="89.25" customHeight="1">
      <c r="A185" s="6"/>
      <c r="B185" s="6"/>
      <c r="C185" s="16"/>
      <c r="D185" s="17"/>
      <c r="E185" s="6"/>
      <c r="F185" s="19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</row>
    <row r="186" spans="1:25" s="20" customFormat="1" ht="89.25" customHeight="1">
      <c r="A186" s="6"/>
      <c r="B186" s="6"/>
      <c r="C186" s="16"/>
      <c r="D186" s="17"/>
      <c r="E186" s="6"/>
      <c r="F186" s="19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</row>
    <row r="187" spans="1:25" s="20" customFormat="1" ht="89.25" customHeight="1">
      <c r="A187" s="6"/>
      <c r="B187" s="6"/>
      <c r="C187" s="16"/>
      <c r="D187" s="17"/>
      <c r="E187" s="6"/>
      <c r="F187" s="19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</row>
    <row r="188" spans="1:25" s="20" customFormat="1" ht="89.25" customHeight="1">
      <c r="A188" s="6"/>
      <c r="B188" s="6"/>
      <c r="C188" s="16"/>
      <c r="D188" s="17"/>
      <c r="E188" s="6"/>
      <c r="F188" s="19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</row>
    <row r="189" spans="1:25" s="20" customFormat="1" ht="89.25" customHeight="1">
      <c r="A189" s="6"/>
      <c r="B189" s="6"/>
      <c r="C189" s="16"/>
      <c r="D189" s="17"/>
      <c r="E189" s="6"/>
      <c r="F189" s="19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</row>
    <row r="190" spans="1:25" s="20" customFormat="1" ht="89.25" customHeight="1">
      <c r="A190" s="6"/>
      <c r="B190" s="6"/>
      <c r="C190" s="16"/>
      <c r="D190" s="17"/>
      <c r="E190" s="6"/>
      <c r="F190" s="19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</row>
    <row r="191" spans="1:25" s="20" customFormat="1" ht="89.25" customHeight="1">
      <c r="A191" s="6"/>
      <c r="B191" s="6"/>
      <c r="C191" s="16"/>
      <c r="D191" s="17"/>
      <c r="E191" s="6"/>
      <c r="F191" s="19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</row>
    <row r="192" spans="1:25" s="20" customFormat="1" ht="89.25" customHeight="1">
      <c r="A192" s="6"/>
      <c r="B192" s="6"/>
      <c r="C192" s="16"/>
      <c r="D192" s="17"/>
      <c r="E192" s="6"/>
      <c r="F192" s="19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</row>
    <row r="193" spans="1:25" s="20" customFormat="1" ht="89.25" customHeight="1">
      <c r="A193" s="6"/>
      <c r="B193" s="6"/>
      <c r="C193" s="16"/>
      <c r="D193" s="17"/>
      <c r="E193" s="6"/>
      <c r="F193" s="19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</row>
    <row r="194" spans="1:25" s="20" customFormat="1" ht="89.25" customHeight="1">
      <c r="A194" s="6"/>
      <c r="B194" s="6"/>
      <c r="C194" s="16"/>
      <c r="D194" s="17"/>
      <c r="E194" s="6"/>
      <c r="F194" s="19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</row>
    <row r="195" spans="1:25" s="20" customFormat="1" ht="89.25" customHeight="1">
      <c r="A195" s="6"/>
      <c r="B195" s="6"/>
      <c r="C195" s="16"/>
      <c r="D195" s="17"/>
      <c r="E195" s="6"/>
      <c r="F195" s="19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</row>
    <row r="196" spans="1:25" s="20" customFormat="1" ht="89.25" customHeight="1">
      <c r="A196" s="6"/>
      <c r="B196" s="6"/>
      <c r="C196" s="16"/>
      <c r="D196" s="17"/>
      <c r="E196" s="6"/>
      <c r="F196" s="19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</row>
    <row r="197" spans="1:25" s="20" customFormat="1" ht="89.25" customHeight="1">
      <c r="A197" s="6"/>
      <c r="B197" s="6"/>
      <c r="C197" s="16"/>
      <c r="D197" s="17"/>
      <c r="E197" s="6"/>
      <c r="F197" s="19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</row>
    <row r="198" spans="1:25" s="20" customFormat="1" ht="89.25" customHeight="1">
      <c r="A198" s="6"/>
      <c r="B198" s="6"/>
      <c r="C198" s="16"/>
      <c r="D198" s="17"/>
      <c r="E198" s="6"/>
      <c r="F198" s="19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</row>
    <row r="199" spans="1:25" s="20" customFormat="1" ht="89.25" customHeight="1">
      <c r="A199" s="6"/>
      <c r="B199" s="6"/>
      <c r="C199" s="16"/>
      <c r="D199" s="17"/>
      <c r="E199" s="6"/>
      <c r="F199" s="19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</row>
    <row r="200" spans="1:25" s="20" customFormat="1" ht="89.25" customHeight="1">
      <c r="A200" s="6"/>
      <c r="B200" s="6"/>
      <c r="C200" s="16"/>
      <c r="D200" s="17"/>
      <c r="E200" s="6"/>
      <c r="F200" s="19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</row>
    <row r="201" spans="1:25" s="20" customFormat="1" ht="89.25" customHeight="1">
      <c r="A201" s="6"/>
      <c r="B201" s="6"/>
      <c r="C201" s="16"/>
      <c r="D201" s="17"/>
      <c r="E201" s="6"/>
      <c r="F201" s="19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</row>
    <row r="202" spans="1:25" s="20" customFormat="1" ht="89.25" customHeight="1">
      <c r="A202" s="6"/>
      <c r="B202" s="6"/>
      <c r="C202" s="16"/>
      <c r="D202" s="17"/>
      <c r="E202" s="6"/>
      <c r="F202" s="19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</row>
    <row r="203" spans="1:25" s="20" customFormat="1" ht="89.25" customHeight="1">
      <c r="A203" s="6"/>
      <c r="B203" s="6"/>
      <c r="C203" s="16"/>
      <c r="D203" s="17"/>
      <c r="E203" s="6"/>
      <c r="F203" s="19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</row>
    <row r="204" spans="1:25" s="20" customFormat="1" ht="89.25" customHeight="1">
      <c r="A204" s="6"/>
      <c r="B204" s="6"/>
      <c r="C204" s="16"/>
      <c r="D204" s="17"/>
      <c r="E204" s="6"/>
      <c r="F204" s="19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</row>
    <row r="205" spans="1:25" s="20" customFormat="1" ht="89.25" customHeight="1">
      <c r="A205" s="6"/>
      <c r="B205" s="6"/>
      <c r="C205" s="16"/>
      <c r="D205" s="17"/>
      <c r="E205" s="6"/>
      <c r="F205" s="19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</row>
    <row r="206" spans="1:25" s="20" customFormat="1" ht="89.25" customHeight="1">
      <c r="A206" s="6"/>
      <c r="B206" s="6"/>
      <c r="C206" s="16"/>
      <c r="D206" s="17"/>
      <c r="E206" s="6"/>
      <c r="F206" s="19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</row>
    <row r="207" spans="1:25" s="20" customFormat="1" ht="89.25" customHeight="1">
      <c r="A207" s="6"/>
      <c r="B207" s="6"/>
      <c r="C207" s="16"/>
      <c r="D207" s="17"/>
      <c r="E207" s="6"/>
      <c r="F207" s="19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</row>
    <row r="208" spans="1:25" s="20" customFormat="1" ht="89.25" customHeight="1">
      <c r="A208" s="6"/>
      <c r="B208" s="6"/>
      <c r="C208" s="16"/>
      <c r="D208" s="17"/>
      <c r="E208" s="6"/>
      <c r="F208" s="19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</row>
    <row r="209" spans="1:25" s="20" customFormat="1" ht="89.25" customHeight="1">
      <c r="A209" s="6"/>
      <c r="B209" s="6"/>
      <c r="C209" s="16"/>
      <c r="D209" s="17"/>
      <c r="E209" s="6"/>
      <c r="F209" s="19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</row>
    <row r="210" spans="1:25" s="20" customFormat="1" ht="89.25" customHeight="1">
      <c r="A210" s="6"/>
      <c r="B210" s="6"/>
      <c r="C210" s="16"/>
      <c r="D210" s="17"/>
      <c r="E210" s="6"/>
      <c r="F210" s="19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</row>
    <row r="211" spans="1:25" s="20" customFormat="1" ht="89.25" customHeight="1">
      <c r="A211" s="6"/>
      <c r="B211" s="6"/>
      <c r="C211" s="16"/>
      <c r="D211" s="17"/>
      <c r="E211" s="6"/>
      <c r="F211" s="19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</row>
    <row r="212" spans="1:25" s="20" customFormat="1" ht="89.25" customHeight="1">
      <c r="A212" s="6"/>
      <c r="B212" s="6"/>
      <c r="C212" s="16"/>
      <c r="D212" s="17"/>
      <c r="E212" s="6"/>
      <c r="F212" s="19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</row>
    <row r="213" spans="1:25" s="20" customFormat="1" ht="89.25" customHeight="1">
      <c r="A213" s="6"/>
      <c r="B213" s="6"/>
      <c r="C213" s="16"/>
      <c r="D213" s="17"/>
      <c r="E213" s="6"/>
      <c r="F213" s="19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</row>
    <row r="214" spans="1:25" s="20" customFormat="1" ht="89.25" customHeight="1">
      <c r="A214" s="6"/>
      <c r="B214" s="6"/>
      <c r="C214" s="16"/>
      <c r="D214" s="17"/>
      <c r="E214" s="6"/>
      <c r="F214" s="19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</row>
    <row r="215" spans="1:25" s="20" customFormat="1" ht="89.25" customHeight="1">
      <c r="A215" s="6"/>
      <c r="B215" s="6"/>
      <c r="C215" s="16"/>
      <c r="D215" s="17"/>
      <c r="E215" s="6"/>
      <c r="F215" s="19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</row>
    <row r="216" spans="1:25" s="20" customFormat="1" ht="89.25" customHeight="1">
      <c r="A216" s="6"/>
      <c r="B216" s="6"/>
      <c r="C216" s="16"/>
      <c r="D216" s="17"/>
      <c r="E216" s="6"/>
      <c r="F216" s="19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</row>
    <row r="217" spans="1:25" s="20" customFormat="1" ht="89.25" customHeight="1">
      <c r="A217" s="6"/>
      <c r="B217" s="6"/>
      <c r="C217" s="16"/>
      <c r="D217" s="17"/>
      <c r="E217" s="6"/>
      <c r="F217" s="19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</row>
    <row r="218" spans="1:25" s="20" customFormat="1" ht="89.25" customHeight="1">
      <c r="A218" s="6"/>
      <c r="B218" s="6"/>
      <c r="C218" s="16"/>
      <c r="D218" s="17"/>
      <c r="E218" s="6"/>
      <c r="F218" s="19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</row>
    <row r="219" spans="1:25" s="20" customFormat="1" ht="89.25" customHeight="1">
      <c r="A219" s="6"/>
      <c r="B219" s="6"/>
      <c r="C219" s="16"/>
      <c r="D219" s="17"/>
      <c r="E219" s="6"/>
      <c r="F219" s="19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</row>
    <row r="220" spans="1:25" s="20" customFormat="1" ht="89.25" customHeight="1">
      <c r="A220" s="6"/>
      <c r="B220" s="6"/>
      <c r="C220" s="16"/>
      <c r="D220" s="17"/>
      <c r="E220" s="6"/>
      <c r="F220" s="19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</row>
    <row r="221" spans="1:25" s="20" customFormat="1" ht="89.25" customHeight="1">
      <c r="A221" s="6"/>
      <c r="B221" s="6"/>
      <c r="C221" s="16"/>
      <c r="D221" s="17"/>
      <c r="E221" s="6"/>
      <c r="F221" s="19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</row>
    <row r="222" spans="1:25" s="20" customFormat="1" ht="89.25" customHeight="1">
      <c r="A222" s="6"/>
      <c r="B222" s="6"/>
      <c r="C222" s="16"/>
      <c r="D222" s="17"/>
      <c r="E222" s="6"/>
      <c r="F222" s="19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</row>
    <row r="223" spans="1:25" s="20" customFormat="1" ht="89.25" customHeight="1">
      <c r="A223" s="6"/>
      <c r="B223" s="6"/>
      <c r="C223" s="16"/>
      <c r="D223" s="17"/>
      <c r="E223" s="6"/>
      <c r="F223" s="19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</row>
    <row r="224" spans="1:25" s="20" customFormat="1" ht="89.25" customHeight="1">
      <c r="A224" s="6"/>
      <c r="B224" s="6"/>
      <c r="C224" s="16"/>
      <c r="D224" s="17"/>
      <c r="E224" s="6"/>
      <c r="F224" s="19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</row>
    <row r="225" spans="1:25" s="20" customFormat="1" ht="89.25" customHeight="1">
      <c r="A225" s="6"/>
      <c r="B225" s="6"/>
      <c r="C225" s="16"/>
      <c r="D225" s="17"/>
      <c r="E225" s="6"/>
      <c r="F225" s="19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</row>
    <row r="226" spans="1:25" s="20" customFormat="1" ht="89.25" customHeight="1">
      <c r="A226" s="6"/>
      <c r="B226" s="6"/>
      <c r="C226" s="16"/>
      <c r="D226" s="17"/>
      <c r="E226" s="6"/>
      <c r="F226" s="19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</row>
    <row r="227" spans="1:25" s="20" customFormat="1" ht="89.25" customHeight="1">
      <c r="A227" s="6"/>
      <c r="B227" s="6"/>
      <c r="C227" s="16"/>
      <c r="D227" s="17"/>
      <c r="E227" s="6"/>
      <c r="F227" s="19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</row>
    <row r="228" spans="1:25" s="20" customFormat="1" ht="89.25" customHeight="1">
      <c r="A228" s="6"/>
      <c r="B228" s="6"/>
      <c r="C228" s="16"/>
      <c r="D228" s="17"/>
      <c r="E228" s="6"/>
      <c r="F228" s="19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</row>
    <row r="229" spans="1:25" s="20" customFormat="1" ht="89.25" customHeight="1">
      <c r="A229" s="6"/>
      <c r="B229" s="6"/>
      <c r="C229" s="16"/>
      <c r="D229" s="17"/>
      <c r="E229" s="6"/>
      <c r="F229" s="19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</row>
    <row r="230" spans="1:25" s="20" customFormat="1" ht="89.25" customHeight="1">
      <c r="A230" s="6"/>
      <c r="B230" s="6"/>
      <c r="C230" s="16"/>
      <c r="D230" s="17"/>
      <c r="E230" s="6"/>
      <c r="F230" s="19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</row>
    <row r="231" spans="1:25" s="20" customFormat="1" ht="89.25" customHeight="1">
      <c r="A231" s="6"/>
      <c r="B231" s="6"/>
      <c r="C231" s="16"/>
      <c r="D231" s="17"/>
      <c r="E231" s="6"/>
      <c r="F231" s="19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</row>
    <row r="232" spans="1:25" s="20" customFormat="1" ht="89.25" customHeight="1">
      <c r="A232" s="6"/>
      <c r="B232" s="6"/>
      <c r="C232" s="16"/>
      <c r="D232" s="17"/>
      <c r="E232" s="6"/>
      <c r="F232" s="19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</row>
    <row r="233" spans="1:25" s="20" customFormat="1" ht="89.25" customHeight="1">
      <c r="A233" s="6"/>
      <c r="B233" s="6"/>
      <c r="C233" s="16"/>
      <c r="D233" s="17"/>
      <c r="E233" s="6"/>
      <c r="F233" s="19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</row>
    <row r="234" spans="1:25" s="20" customFormat="1" ht="89.25" customHeight="1">
      <c r="A234" s="6"/>
      <c r="B234" s="6"/>
      <c r="C234" s="16"/>
      <c r="D234" s="17"/>
      <c r="E234" s="6"/>
      <c r="F234" s="19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</row>
    <row r="235" spans="1:25" s="20" customFormat="1" ht="89.25" customHeight="1">
      <c r="A235" s="6"/>
      <c r="B235" s="6"/>
      <c r="C235" s="16"/>
      <c r="D235" s="17"/>
      <c r="E235" s="6"/>
      <c r="F235" s="19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</row>
    <row r="236" spans="1:25" s="20" customFormat="1" ht="89.25" customHeight="1">
      <c r="A236" s="6"/>
      <c r="B236" s="6"/>
      <c r="C236" s="16"/>
      <c r="D236" s="17"/>
      <c r="E236" s="6"/>
      <c r="F236" s="19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</row>
    <row r="237" spans="1:25" s="20" customFormat="1" ht="89.25" customHeight="1">
      <c r="A237" s="6"/>
      <c r="B237" s="6"/>
      <c r="C237" s="16"/>
      <c r="D237" s="17"/>
      <c r="E237" s="6"/>
      <c r="F237" s="19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</row>
  </sheetData>
  <mergeCells count="23">
    <mergeCell ref="A14:D14"/>
    <mergeCell ref="D50:E50"/>
    <mergeCell ref="D49:E49"/>
    <mergeCell ref="A12:D12"/>
    <mergeCell ref="A17:D17"/>
    <mergeCell ref="A19:D19"/>
    <mergeCell ref="A13:D13"/>
    <mergeCell ref="D52:E52"/>
    <mergeCell ref="A49:B49"/>
    <mergeCell ref="A15:D15"/>
    <mergeCell ref="A18:D18"/>
    <mergeCell ref="A16:D16"/>
    <mergeCell ref="D51:E51"/>
    <mergeCell ref="A51:B51"/>
    <mergeCell ref="A50:B50"/>
    <mergeCell ref="A10:D10"/>
    <mergeCell ref="A11:D11"/>
    <mergeCell ref="A1:F3"/>
    <mergeCell ref="A5:F5"/>
    <mergeCell ref="A6:F6"/>
    <mergeCell ref="A7:E7"/>
    <mergeCell ref="A9:D9"/>
    <mergeCell ref="A4:F4"/>
  </mergeCells>
  <printOptions horizontalCentered="1" verticalCentered="1"/>
  <pageMargins left="0.59055118110236227" right="0.59055118110236227" top="0.59055118110236227" bottom="0.59055118110236227" header="0.31496062992125984" footer="0.31496062992125984"/>
  <pageSetup paperSize="9" scale="47" orientation="landscape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Hoja18">
    <tabColor rgb="FF00B0F0"/>
    <pageSetUpPr fitToPage="1"/>
  </sheetPr>
  <dimension ref="A1:AG237"/>
  <sheetViews>
    <sheetView showGridLines="0" topLeftCell="A23" zoomScale="82" zoomScaleNormal="90" workbookViewId="0">
      <selection activeCell="F43" sqref="F43"/>
    </sheetView>
  </sheetViews>
  <sheetFormatPr baseColWidth="10" defaultRowHeight="89.25" customHeight="1"/>
  <cols>
    <col min="1" max="2" width="25.28515625" style="6" customWidth="1"/>
    <col min="3" max="3" width="25.28515625" style="16" customWidth="1"/>
    <col min="4" max="4" width="25.28515625" style="17" customWidth="1"/>
    <col min="5" max="5" width="15.28515625" style="6" bestFit="1" customWidth="1"/>
    <col min="6" max="6" width="21.7109375" style="19" bestFit="1" customWidth="1"/>
    <col min="7" max="7" width="19.140625" style="5" bestFit="1" customWidth="1"/>
    <col min="8" max="8" width="18.28515625" style="5" bestFit="1" customWidth="1"/>
    <col min="9" max="10" width="18.7109375" style="5" customWidth="1"/>
    <col min="11" max="25" width="11.42578125" style="5"/>
    <col min="26" max="16384" width="11.42578125" style="6"/>
  </cols>
  <sheetData>
    <row r="1" spans="1:25" s="4" customFormat="1" ht="33.75" customHeight="1">
      <c r="A1" s="1339" t="s">
        <v>775</v>
      </c>
      <c r="B1" s="1339"/>
      <c r="C1" s="1339"/>
      <c r="D1" s="1339"/>
      <c r="E1" s="1339"/>
      <c r="F1" s="1339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spans="1:25" s="4" customFormat="1" ht="33.75" customHeight="1">
      <c r="A2" s="1339"/>
      <c r="B2" s="1339"/>
      <c r="C2" s="1339"/>
      <c r="D2" s="1339"/>
      <c r="E2" s="1339"/>
      <c r="F2" s="1339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 s="4" customFormat="1" ht="15.75">
      <c r="A3" s="1339"/>
      <c r="B3" s="1339"/>
      <c r="C3" s="1339"/>
      <c r="D3" s="1339"/>
      <c r="E3" s="1339"/>
      <c r="F3" s="1339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</row>
    <row r="4" spans="1:25" s="4" customFormat="1" ht="15.75">
      <c r="A4" s="1345" t="str">
        <f>+'Anexo 5 Itagüí'!A4:F4</f>
        <v>AL 31 DE JULIO DE 2023</v>
      </c>
      <c r="B4" s="1345"/>
      <c r="C4" s="1345"/>
      <c r="D4" s="1345"/>
      <c r="E4" s="1345"/>
      <c r="F4" s="1345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</row>
    <row r="5" spans="1:25" ht="30" customHeight="1">
      <c r="A5" s="1339" t="s">
        <v>205</v>
      </c>
      <c r="B5" s="1339"/>
      <c r="C5" s="1339"/>
      <c r="D5" s="1339"/>
      <c r="E5" s="1339"/>
      <c r="F5" s="1339"/>
    </row>
    <row r="6" spans="1:25" ht="30" customHeight="1" thickBot="1">
      <c r="A6" s="1339" t="s">
        <v>192</v>
      </c>
      <c r="B6" s="1339"/>
      <c r="C6" s="1339"/>
      <c r="D6" s="1339"/>
      <c r="E6" s="1339"/>
      <c r="F6" s="1339"/>
    </row>
    <row r="7" spans="1:25" ht="30" customHeight="1" thickBot="1">
      <c r="A7" s="1346" t="s">
        <v>1</v>
      </c>
      <c r="B7" s="1347"/>
      <c r="C7" s="1347"/>
      <c r="D7" s="1347"/>
      <c r="E7" s="1347"/>
      <c r="F7" s="7" t="s">
        <v>2</v>
      </c>
    </row>
    <row r="8" spans="1:25" ht="18.600000000000001" customHeight="1">
      <c r="A8" s="8"/>
      <c r="B8" s="9"/>
      <c r="C8" s="9"/>
      <c r="D8" s="9"/>
      <c r="E8" s="10"/>
      <c r="F8" s="11"/>
      <c r="I8" s="12"/>
      <c r="J8" s="12"/>
    </row>
    <row r="9" spans="1:25" ht="18.600000000000001" customHeight="1">
      <c r="A9" s="1342" t="str">
        <f>+'Anexo 5 Itagüí'!A9:D9</f>
        <v>TOTAL RENDIMIENTOS GENERADOS POR LOS RECURSOS DEL FONDO DE JULIO DE 2023</v>
      </c>
      <c r="B9" s="1343"/>
      <c r="C9" s="1343"/>
      <c r="D9" s="1343"/>
      <c r="E9" s="259"/>
      <c r="F9" s="260">
        <f>F43</f>
        <v>340196.97</v>
      </c>
      <c r="I9" s="13"/>
      <c r="J9" s="12"/>
    </row>
    <row r="10" spans="1:25" ht="18.600000000000001" customHeight="1">
      <c r="A10" s="1333" t="s">
        <v>213</v>
      </c>
      <c r="B10" s="1334"/>
      <c r="C10" s="1334"/>
      <c r="D10" s="1334"/>
      <c r="E10" s="263">
        <v>11516.12</v>
      </c>
      <c r="F10" s="262"/>
    </row>
    <row r="11" spans="1:25" ht="18.600000000000001" customHeight="1">
      <c r="A11" s="1333" t="s">
        <v>212</v>
      </c>
      <c r="B11" s="1334"/>
      <c r="C11" s="1334"/>
      <c r="D11" s="1334"/>
      <c r="E11" s="263">
        <v>25500.97</v>
      </c>
      <c r="F11" s="262"/>
    </row>
    <row r="12" spans="1:25" ht="18.600000000000001" customHeight="1">
      <c r="A12" s="1333" t="s">
        <v>223</v>
      </c>
      <c r="B12" s="1334"/>
      <c r="C12" s="1334"/>
      <c r="D12" s="1334"/>
      <c r="E12" s="261">
        <v>23102.85</v>
      </c>
      <c r="F12" s="262"/>
    </row>
    <row r="13" spans="1:25" ht="18.600000000000001" customHeight="1">
      <c r="A13" s="1333" t="s">
        <v>245</v>
      </c>
      <c r="B13" s="1334"/>
      <c r="C13" s="1334"/>
      <c r="D13" s="1334"/>
      <c r="E13" s="261">
        <v>25505.11</v>
      </c>
      <c r="F13" s="262"/>
    </row>
    <row r="14" spans="1:25" ht="18.600000000000001" customHeight="1">
      <c r="A14" s="1333" t="s">
        <v>243</v>
      </c>
      <c r="B14" s="1334"/>
      <c r="C14" s="1334"/>
      <c r="D14" s="1334"/>
      <c r="E14" s="261">
        <v>24607.02</v>
      </c>
      <c r="F14" s="262"/>
    </row>
    <row r="15" spans="1:25" ht="18.600000000000001" customHeight="1">
      <c r="A15" s="1333" t="s">
        <v>272</v>
      </c>
      <c r="B15" s="1334"/>
      <c r="C15" s="1334"/>
      <c r="D15" s="1334"/>
      <c r="E15" s="261">
        <v>25509.360000000001</v>
      </c>
      <c r="F15" s="262"/>
    </row>
    <row r="16" spans="1:25" ht="18.600000000000001" customHeight="1">
      <c r="A16" s="1333" t="s">
        <v>276</v>
      </c>
      <c r="B16" s="1334"/>
      <c r="C16" s="1334"/>
      <c r="D16" s="1334"/>
      <c r="E16" s="261">
        <v>24611.13</v>
      </c>
      <c r="F16" s="262"/>
    </row>
    <row r="17" spans="1:7" ht="18.600000000000001" customHeight="1">
      <c r="A17" s="1333" t="s">
        <v>294</v>
      </c>
      <c r="B17" s="1334"/>
      <c r="C17" s="1334"/>
      <c r="D17" s="1334"/>
      <c r="E17" s="261">
        <v>25513.62</v>
      </c>
      <c r="F17" s="262"/>
    </row>
    <row r="18" spans="1:7" ht="18.600000000000001" customHeight="1">
      <c r="A18" s="1333" t="s">
        <v>307</v>
      </c>
      <c r="B18" s="1334"/>
      <c r="C18" s="1334"/>
      <c r="D18" s="1334"/>
      <c r="E18" s="261">
        <v>25515.79</v>
      </c>
      <c r="F18" s="262"/>
    </row>
    <row r="19" spans="1:7" ht="18.600000000000001" customHeight="1">
      <c r="A19" s="1333" t="s">
        <v>365</v>
      </c>
      <c r="B19" s="1334"/>
      <c r="C19" s="1334"/>
      <c r="D19" s="1334"/>
      <c r="E19" s="261">
        <f>23375.68+1</f>
        <v>23376.68</v>
      </c>
      <c r="F19" s="262"/>
      <c r="G19" s="5" t="str">
        <f>+"+1"</f>
        <v>+1</v>
      </c>
    </row>
    <row r="20" spans="1:7" ht="18.600000000000001" customHeight="1">
      <c r="A20" s="574" t="s">
        <v>427</v>
      </c>
      <c r="B20" s="575"/>
      <c r="C20" s="575"/>
      <c r="D20" s="575"/>
      <c r="E20" s="261">
        <v>22945.79</v>
      </c>
      <c r="F20" s="262"/>
    </row>
    <row r="21" spans="1:7" ht="18.600000000000001" customHeight="1">
      <c r="A21" s="651" t="s">
        <v>462</v>
      </c>
      <c r="B21" s="652"/>
      <c r="C21" s="652"/>
      <c r="D21" s="652"/>
      <c r="E21" s="261">
        <v>22137.82</v>
      </c>
      <c r="F21" s="262"/>
    </row>
    <row r="22" spans="1:7" ht="18.600000000000001" customHeight="1">
      <c r="A22" s="670" t="s">
        <v>494</v>
      </c>
      <c r="B22" s="671"/>
      <c r="C22" s="671"/>
      <c r="D22" s="671"/>
      <c r="E22" s="261">
        <v>12550.86</v>
      </c>
      <c r="F22" s="262"/>
    </row>
    <row r="23" spans="1:7" ht="18.600000000000001" customHeight="1">
      <c r="A23" s="689" t="s">
        <v>501</v>
      </c>
      <c r="B23" s="690"/>
      <c r="C23" s="690"/>
      <c r="D23" s="690"/>
      <c r="E23" s="261">
        <v>5984.28</v>
      </c>
      <c r="F23" s="262"/>
    </row>
    <row r="24" spans="1:7" ht="18.600000000000001" customHeight="1">
      <c r="A24" s="725" t="s">
        <v>515</v>
      </c>
      <c r="B24" s="726"/>
      <c r="C24" s="726"/>
      <c r="D24" s="726"/>
      <c r="E24" s="261">
        <v>5421.52</v>
      </c>
      <c r="F24" s="262"/>
    </row>
    <row r="25" spans="1:7" ht="18.600000000000001" customHeight="1">
      <c r="A25" s="743" t="s">
        <v>520</v>
      </c>
      <c r="B25" s="744"/>
      <c r="C25" s="744"/>
      <c r="D25" s="744"/>
      <c r="E25" s="261">
        <v>3534.99</v>
      </c>
      <c r="F25" s="262"/>
      <c r="G25" s="5" t="str">
        <f>+"+1"</f>
        <v>+1</v>
      </c>
    </row>
    <row r="26" spans="1:7" ht="18.600000000000001" customHeight="1">
      <c r="A26" s="773" t="s">
        <v>537</v>
      </c>
      <c r="B26" s="774"/>
      <c r="C26" s="774"/>
      <c r="D26" s="774"/>
      <c r="E26" s="261">
        <f>2719.83-2</f>
        <v>2717.83</v>
      </c>
      <c r="F26" s="262"/>
      <c r="G26" s="785" t="str">
        <f>"-2"</f>
        <v>-2</v>
      </c>
    </row>
    <row r="27" spans="1:7" ht="18.600000000000001" customHeight="1">
      <c r="A27" s="793" t="s">
        <v>567</v>
      </c>
      <c r="B27" s="794"/>
      <c r="C27" s="794"/>
      <c r="D27" s="794"/>
      <c r="E27" s="261">
        <v>2819.57</v>
      </c>
      <c r="F27" s="262"/>
      <c r="G27" s="785"/>
    </row>
    <row r="28" spans="1:7" ht="18.600000000000001" customHeight="1">
      <c r="A28" s="811" t="s">
        <v>577</v>
      </c>
      <c r="B28" s="812"/>
      <c r="C28" s="812"/>
      <c r="D28" s="812"/>
      <c r="E28" s="261">
        <v>2720.29</v>
      </c>
      <c r="F28" s="262"/>
      <c r="G28" s="785"/>
    </row>
    <row r="29" spans="1:7" ht="18.600000000000001" customHeight="1">
      <c r="A29" s="874" t="s">
        <v>625</v>
      </c>
      <c r="B29" s="875"/>
      <c r="C29" s="875"/>
      <c r="D29" s="875"/>
      <c r="E29" s="261">
        <v>2820.04</v>
      </c>
      <c r="F29" s="262"/>
      <c r="G29" s="785"/>
    </row>
    <row r="30" spans="1:7" ht="18.600000000000001" customHeight="1">
      <c r="A30" s="895" t="s">
        <v>720</v>
      </c>
      <c r="B30" s="896"/>
      <c r="C30" s="896"/>
      <c r="D30" s="896"/>
      <c r="E30" s="261">
        <v>2820.28</v>
      </c>
      <c r="F30" s="262"/>
      <c r="G30" s="785"/>
    </row>
    <row r="31" spans="1:7" ht="18.600000000000001" customHeight="1">
      <c r="A31" s="904" t="s">
        <v>647</v>
      </c>
      <c r="B31" s="905"/>
      <c r="C31" s="905"/>
      <c r="D31" s="905"/>
      <c r="E31" s="261">
        <v>2720.97</v>
      </c>
      <c r="F31" s="262"/>
      <c r="G31" s="785"/>
    </row>
    <row r="32" spans="1:7" ht="18.600000000000001" customHeight="1">
      <c r="A32" s="924" t="s">
        <v>655</v>
      </c>
      <c r="B32" s="925"/>
      <c r="C32" s="925"/>
      <c r="D32" s="925"/>
      <c r="E32" s="261">
        <v>2820.75</v>
      </c>
      <c r="F32" s="262"/>
      <c r="G32" s="785"/>
    </row>
    <row r="33" spans="1:33" ht="18.600000000000001" customHeight="1">
      <c r="A33" s="948" t="s">
        <v>665</v>
      </c>
      <c r="B33" s="949"/>
      <c r="C33" s="949"/>
      <c r="D33" s="949"/>
      <c r="E33" s="261">
        <v>2541.7800000000002</v>
      </c>
      <c r="F33" s="262"/>
      <c r="G33" s="785"/>
    </row>
    <row r="34" spans="1:33" ht="18.600000000000001" customHeight="1">
      <c r="A34" s="966" t="s">
        <v>677</v>
      </c>
      <c r="B34" s="967"/>
      <c r="C34" s="967"/>
      <c r="D34" s="967"/>
      <c r="E34" s="261">
        <v>27.99</v>
      </c>
      <c r="F34" s="262"/>
      <c r="G34" s="785"/>
    </row>
    <row r="35" spans="1:33" ht="18.600000000000001" customHeight="1">
      <c r="A35" s="989" t="s">
        <v>687</v>
      </c>
      <c r="B35" s="990"/>
      <c r="C35" s="990"/>
      <c r="D35" s="990"/>
      <c r="E35" s="261">
        <v>27.99</v>
      </c>
      <c r="F35" s="262"/>
      <c r="G35" s="785"/>
    </row>
    <row r="36" spans="1:33" ht="18.600000000000001" customHeight="1">
      <c r="A36" s="1011" t="s">
        <v>720</v>
      </c>
      <c r="B36" s="1012"/>
      <c r="C36" s="1012"/>
      <c r="D36" s="1012"/>
      <c r="E36" s="261">
        <v>25.36</v>
      </c>
      <c r="F36" s="262"/>
      <c r="G36" s="785"/>
    </row>
    <row r="37" spans="1:33" ht="18.600000000000001" customHeight="1">
      <c r="A37" s="1032" t="s">
        <v>729</v>
      </c>
      <c r="B37" s="1033"/>
      <c r="C37" s="1033"/>
      <c r="D37" s="1033"/>
      <c r="E37" s="261">
        <v>2160.19</v>
      </c>
      <c r="F37" s="262"/>
      <c r="G37" s="785"/>
    </row>
    <row r="38" spans="1:33" ht="18.600000000000001" customHeight="1">
      <c r="A38" s="1069" t="s">
        <v>748</v>
      </c>
      <c r="B38" s="1070"/>
      <c r="C38" s="1070"/>
      <c r="D38" s="1070"/>
      <c r="E38" s="261">
        <v>2104.0700000000002</v>
      </c>
      <c r="F38" s="262"/>
      <c r="G38" s="785"/>
    </row>
    <row r="39" spans="1:33" ht="18.600000000000001" customHeight="1">
      <c r="A39" s="1090" t="str">
        <f>+'Anexo 5 Itagüí'!A39</f>
        <v>Rendimientos financieros AL 31 DE MAYO DE 2023</v>
      </c>
      <c r="B39" s="1091"/>
      <c r="C39" s="1091"/>
      <c r="D39" s="1091"/>
      <c r="E39" s="261">
        <v>2188.16</v>
      </c>
      <c r="F39" s="262"/>
      <c r="G39" s="785">
        <f>+SUM(E10:E39)</f>
        <v>335849.18</v>
      </c>
    </row>
    <row r="40" spans="1:33" ht="18.600000000000001" customHeight="1">
      <c r="A40" s="1100" t="str">
        <f>+'Anexo 5 Itagüí'!A40</f>
        <v>Rendimientos financieros AL 30 DE JUNIO DE 2023</v>
      </c>
      <c r="B40" s="1101"/>
      <c r="C40" s="1101"/>
      <c r="D40" s="1101"/>
      <c r="E40" s="261">
        <v>2131.31</v>
      </c>
      <c r="F40" s="262"/>
      <c r="G40" s="785"/>
    </row>
    <row r="41" spans="1:33" ht="18.600000000000001" customHeight="1">
      <c r="A41" s="1128" t="str">
        <f>+'Anexo 5 Itagüí'!A41</f>
        <v>Rendimientos financieros AL 31 DE JULIO DE 2023</v>
      </c>
      <c r="B41" s="1129"/>
      <c r="C41" s="1129"/>
      <c r="D41" s="1129"/>
      <c r="E41" s="261">
        <v>2216.48</v>
      </c>
      <c r="F41" s="262"/>
      <c r="G41" s="785"/>
    </row>
    <row r="42" spans="1:33" s="5" customFormat="1" ht="18.600000000000001" customHeight="1">
      <c r="A42" s="226"/>
      <c r="B42" s="227"/>
      <c r="C42" s="227"/>
      <c r="D42" s="227"/>
      <c r="E42" s="263"/>
      <c r="F42" s="264"/>
      <c r="G42" s="776" t="s">
        <v>535</v>
      </c>
      <c r="H42" s="775" t="s">
        <v>536</v>
      </c>
      <c r="I42" s="775" t="s">
        <v>516</v>
      </c>
      <c r="J42" s="742" t="s">
        <v>65</v>
      </c>
      <c r="Z42" s="6"/>
      <c r="AA42" s="6"/>
      <c r="AB42" s="6"/>
      <c r="AC42" s="6"/>
      <c r="AD42" s="6"/>
      <c r="AE42" s="6"/>
      <c r="AF42" s="6"/>
      <c r="AG42" s="6"/>
    </row>
    <row r="43" spans="1:33" s="5" customFormat="1" ht="24.75" customHeight="1" thickBot="1">
      <c r="A43" s="14" t="str">
        <f>+'Anexo 5 Itagüí'!A43</f>
        <v>TOTAL RENDIMIENTOS DISPONIBLES AL 31 DE JULIO DE 2023</v>
      </c>
      <c r="B43" s="15"/>
      <c r="C43" s="15"/>
      <c r="D43" s="15"/>
      <c r="E43" s="265"/>
      <c r="F43" s="266">
        <f>SUM(E10:E42)</f>
        <v>340196.97</v>
      </c>
      <c r="G43" s="5">
        <f>++Adhesiones!H71+F43</f>
        <v>340196.97</v>
      </c>
      <c r="H43" s="741">
        <f>+G43-F43</f>
        <v>0</v>
      </c>
      <c r="I43" s="5">
        <f>-'Anexo 3-Porcion C-NC'!B16</f>
        <v>0</v>
      </c>
      <c r="J43" s="5">
        <f>+H43+I43</f>
        <v>0</v>
      </c>
      <c r="Z43" s="6"/>
      <c r="AA43" s="6"/>
      <c r="AB43" s="6"/>
      <c r="AC43" s="6"/>
      <c r="AD43" s="6"/>
      <c r="AE43" s="6"/>
      <c r="AF43" s="6"/>
      <c r="AG43" s="6"/>
    </row>
    <row r="44" spans="1:33" s="20" customFormat="1" ht="15.75">
      <c r="A44" s="6"/>
      <c r="B44" s="6"/>
      <c r="C44" s="16"/>
      <c r="D44" s="17"/>
      <c r="E44" s="18"/>
      <c r="F44" s="19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</row>
    <row r="45" spans="1:33" s="20" customFormat="1" ht="15.75">
      <c r="A45" s="6"/>
      <c r="B45" s="6"/>
      <c r="C45" s="16"/>
      <c r="D45" s="17"/>
      <c r="E45" s="21"/>
      <c r="F45" s="19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</row>
    <row r="46" spans="1:33" s="20" customFormat="1" ht="15.75">
      <c r="A46" s="6"/>
      <c r="B46" s="6"/>
      <c r="C46" s="16"/>
      <c r="D46" s="17"/>
      <c r="E46" s="22"/>
      <c r="F46" s="19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</row>
    <row r="47" spans="1:33" s="20" customFormat="1" ht="15.75">
      <c r="A47" s="6"/>
      <c r="B47" s="6"/>
      <c r="C47" s="16"/>
      <c r="D47" s="17"/>
      <c r="E47" s="22"/>
      <c r="F47" s="19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</row>
    <row r="48" spans="1:33" s="5" customFormat="1" ht="16.5" thickBot="1">
      <c r="A48" s="23"/>
      <c r="B48" s="24"/>
      <c r="C48" s="25"/>
      <c r="D48" s="131"/>
      <c r="E48" s="132"/>
      <c r="F48" s="133"/>
    </row>
    <row r="49" spans="1:25" s="5" customFormat="1" ht="15" customHeight="1">
      <c r="A49" s="1336" t="s">
        <v>135</v>
      </c>
      <c r="B49" s="1336"/>
      <c r="C49" s="1"/>
      <c r="D49" s="1336" t="s">
        <v>517</v>
      </c>
      <c r="E49" s="1336"/>
      <c r="F49" s="224"/>
    </row>
    <row r="50" spans="1:25" s="5" customFormat="1" ht="14.45" customHeight="1">
      <c r="A50" s="1332" t="s">
        <v>145</v>
      </c>
      <c r="B50" s="1332"/>
      <c r="C50" s="2"/>
      <c r="D50" s="1332" t="s">
        <v>519</v>
      </c>
      <c r="E50" s="1332"/>
      <c r="F50" s="225"/>
    </row>
    <row r="51" spans="1:25" s="5" customFormat="1" ht="15.75" customHeight="1">
      <c r="A51" s="1332" t="s">
        <v>48</v>
      </c>
      <c r="B51" s="1332"/>
      <c r="C51" s="2"/>
      <c r="D51" s="1332" t="s">
        <v>48</v>
      </c>
      <c r="E51" s="1332"/>
      <c r="F51" s="225"/>
    </row>
    <row r="52" spans="1:25" s="20" customFormat="1" ht="15.75" customHeight="1">
      <c r="A52" s="6"/>
      <c r="B52" s="6"/>
      <c r="C52" s="16"/>
      <c r="D52" s="1335" t="s">
        <v>518</v>
      </c>
      <c r="E52" s="1335"/>
      <c r="F52" s="22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</row>
    <row r="53" spans="1:25" s="20" customFormat="1" ht="15.75">
      <c r="A53" s="6"/>
      <c r="B53" s="6"/>
      <c r="C53" s="16"/>
      <c r="D53" s="17"/>
      <c r="E53" s="22"/>
      <c r="F53" s="19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</row>
    <row r="54" spans="1:25" s="20" customFormat="1" ht="15.75">
      <c r="A54" s="6"/>
      <c r="B54" s="6"/>
      <c r="C54" s="16"/>
      <c r="D54" s="17"/>
      <c r="E54" s="22"/>
      <c r="F54" s="19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</row>
    <row r="55" spans="1:25" s="20" customFormat="1" ht="15.75">
      <c r="A55" s="27"/>
      <c r="B55" s="27"/>
      <c r="C55" s="27"/>
      <c r="D55" s="27"/>
      <c r="E55" s="27"/>
      <c r="F55" s="19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</row>
    <row r="56" spans="1:25" s="5" customFormat="1" ht="15.75">
      <c r="A56" s="27"/>
      <c r="B56" s="27"/>
      <c r="C56" s="27"/>
      <c r="D56" s="27"/>
      <c r="E56" s="27"/>
      <c r="F56" s="26"/>
    </row>
    <row r="57" spans="1:25" s="5" customFormat="1" ht="15" customHeight="1">
      <c r="A57" s="27"/>
      <c r="B57" s="27"/>
      <c r="C57" s="27"/>
      <c r="D57" s="27"/>
      <c r="E57" s="27"/>
      <c r="F57" s="26"/>
    </row>
    <row r="58" spans="1:25" s="5" customFormat="1" ht="14.45" customHeight="1">
      <c r="A58" s="27"/>
      <c r="B58" s="27"/>
      <c r="C58" s="27"/>
      <c r="D58" s="27"/>
      <c r="E58" s="27"/>
      <c r="F58" s="26"/>
    </row>
    <row r="59" spans="1:25" s="5" customFormat="1" ht="14.45" customHeight="1">
      <c r="A59" s="27"/>
      <c r="B59" s="27"/>
      <c r="C59" s="27"/>
      <c r="D59" s="27"/>
      <c r="E59" s="27"/>
      <c r="F59" s="26"/>
    </row>
    <row r="60" spans="1:25" s="20" customFormat="1" ht="15.75">
      <c r="A60" s="27"/>
      <c r="B60" s="27"/>
      <c r="C60" s="27"/>
      <c r="D60" s="27"/>
      <c r="E60" s="27"/>
      <c r="F60" s="19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</row>
    <row r="61" spans="1:25" s="20" customFormat="1" ht="15.75">
      <c r="A61" s="6"/>
      <c r="B61" s="6"/>
      <c r="C61" s="16"/>
      <c r="D61" s="17"/>
      <c r="E61" s="6"/>
      <c r="F61" s="19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</row>
    <row r="62" spans="1:25" s="20" customFormat="1" ht="15.75">
      <c r="A62" s="6"/>
      <c r="B62" s="6"/>
      <c r="C62" s="16"/>
      <c r="D62" s="17"/>
      <c r="E62" s="6"/>
      <c r="F62" s="19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</row>
    <row r="63" spans="1:25" s="20" customFormat="1" ht="15.75">
      <c r="A63" s="6"/>
      <c r="B63" s="6"/>
      <c r="C63" s="16"/>
      <c r="D63" s="17"/>
      <c r="E63" s="6"/>
      <c r="F63" s="19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</row>
    <row r="64" spans="1:25" s="20" customFormat="1" ht="15.75">
      <c r="A64" s="6"/>
      <c r="B64" s="6"/>
      <c r="C64" s="16"/>
      <c r="D64" s="17"/>
      <c r="E64" s="6"/>
      <c r="F64" s="19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</row>
    <row r="65" spans="1:25" s="20" customFormat="1" ht="15.75">
      <c r="A65" s="6"/>
      <c r="B65" s="6"/>
      <c r="C65" s="16"/>
      <c r="D65" s="17"/>
      <c r="E65" s="6"/>
      <c r="F65" s="19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</row>
    <row r="66" spans="1:25" s="20" customFormat="1" ht="15.75">
      <c r="A66" s="6"/>
      <c r="B66" s="6"/>
      <c r="C66" s="16"/>
      <c r="D66" s="17"/>
      <c r="E66" s="6"/>
      <c r="F66" s="19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</row>
    <row r="67" spans="1:25" s="20" customFormat="1" ht="15.75">
      <c r="A67" s="6"/>
      <c r="B67" s="6"/>
      <c r="C67" s="16"/>
      <c r="D67" s="17"/>
      <c r="E67" s="6"/>
      <c r="F67" s="19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</row>
    <row r="68" spans="1:25" s="20" customFormat="1" ht="15.75">
      <c r="A68" s="6"/>
      <c r="B68" s="6"/>
      <c r="C68" s="16"/>
      <c r="D68" s="17"/>
      <c r="E68" s="6"/>
      <c r="F68" s="19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</row>
    <row r="69" spans="1:25" s="20" customFormat="1" ht="15.75">
      <c r="A69" s="6"/>
      <c r="B69" s="6"/>
      <c r="C69" s="16"/>
      <c r="D69" s="17"/>
      <c r="E69" s="6"/>
      <c r="F69" s="19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</row>
    <row r="70" spans="1:25" s="20" customFormat="1" ht="15.75">
      <c r="A70" s="6"/>
      <c r="B70" s="6"/>
      <c r="C70" s="16"/>
      <c r="D70" s="17"/>
      <c r="E70" s="6"/>
      <c r="F70" s="19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</row>
    <row r="71" spans="1:25" s="20" customFormat="1" ht="15.75">
      <c r="A71" s="6"/>
      <c r="B71" s="6"/>
      <c r="C71" s="16"/>
      <c r="D71" s="17"/>
      <c r="E71" s="6"/>
      <c r="F71" s="19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</row>
    <row r="72" spans="1:25" s="20" customFormat="1" ht="15.75">
      <c r="A72" s="6"/>
      <c r="B72" s="6"/>
      <c r="C72" s="16"/>
      <c r="D72" s="17"/>
      <c r="E72" s="6"/>
      <c r="F72" s="19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</row>
    <row r="73" spans="1:25" s="20" customFormat="1" ht="15.75">
      <c r="A73" s="6"/>
      <c r="B73" s="6"/>
      <c r="C73" s="16"/>
      <c r="D73" s="17"/>
      <c r="E73" s="6"/>
      <c r="F73" s="19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</row>
    <row r="74" spans="1:25" s="20" customFormat="1" ht="15.75">
      <c r="A74" s="6"/>
      <c r="B74" s="6"/>
      <c r="C74" s="16"/>
      <c r="D74" s="17"/>
      <c r="E74" s="6"/>
      <c r="F74" s="19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</row>
    <row r="75" spans="1:25" s="20" customFormat="1" ht="15.75">
      <c r="A75" s="6"/>
      <c r="B75" s="6"/>
      <c r="C75" s="16"/>
      <c r="D75" s="17"/>
      <c r="E75" s="6"/>
      <c r="F75" s="19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</row>
    <row r="76" spans="1:25" s="20" customFormat="1" ht="15.75">
      <c r="A76" s="6"/>
      <c r="B76" s="6"/>
      <c r="C76" s="16"/>
      <c r="D76" s="17"/>
      <c r="E76" s="6"/>
      <c r="F76" s="19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</row>
    <row r="77" spans="1:25" s="20" customFormat="1" ht="15.75">
      <c r="A77" s="6"/>
      <c r="B77" s="6"/>
      <c r="C77" s="16"/>
      <c r="D77" s="17"/>
      <c r="E77" s="6"/>
      <c r="F77" s="19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</row>
    <row r="78" spans="1:25" s="20" customFormat="1" ht="15.75">
      <c r="A78" s="6"/>
      <c r="B78" s="6"/>
      <c r="C78" s="16"/>
      <c r="D78" s="17"/>
      <c r="E78" s="6"/>
      <c r="F78" s="19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</row>
    <row r="79" spans="1:25" s="20" customFormat="1" ht="15.75">
      <c r="A79" s="6"/>
      <c r="B79" s="6"/>
      <c r="C79" s="16"/>
      <c r="D79" s="17"/>
      <c r="E79" s="6"/>
      <c r="F79" s="19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</row>
    <row r="80" spans="1:25" s="20" customFormat="1" ht="89.25" customHeight="1">
      <c r="A80" s="6"/>
      <c r="B80" s="6"/>
      <c r="C80" s="16"/>
      <c r="D80" s="17"/>
      <c r="E80" s="6"/>
      <c r="F80" s="19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</row>
    <row r="81" spans="1:25" s="20" customFormat="1" ht="89.25" customHeight="1">
      <c r="A81" s="6"/>
      <c r="B81" s="6"/>
      <c r="C81" s="16"/>
      <c r="D81" s="17"/>
      <c r="E81" s="6"/>
      <c r="F81" s="19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</row>
    <row r="82" spans="1:25" s="20" customFormat="1" ht="89.25" customHeight="1">
      <c r="A82" s="6"/>
      <c r="B82" s="6"/>
      <c r="C82" s="16"/>
      <c r="D82" s="17"/>
      <c r="E82" s="6"/>
      <c r="F82" s="19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</row>
    <row r="83" spans="1:25" s="20" customFormat="1" ht="89.25" customHeight="1">
      <c r="A83" s="6"/>
      <c r="B83" s="6"/>
      <c r="C83" s="16"/>
      <c r="D83" s="17"/>
      <c r="E83" s="6"/>
      <c r="F83" s="19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</row>
    <row r="84" spans="1:25" s="20" customFormat="1" ht="89.25" customHeight="1">
      <c r="A84" s="6"/>
      <c r="B84" s="6"/>
      <c r="C84" s="16"/>
      <c r="D84" s="17"/>
      <c r="E84" s="6"/>
      <c r="F84" s="19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</row>
    <row r="85" spans="1:25" s="20" customFormat="1" ht="89.25" customHeight="1">
      <c r="A85" s="6"/>
      <c r="B85" s="6"/>
      <c r="C85" s="16"/>
      <c r="D85" s="17"/>
      <c r="E85" s="6"/>
      <c r="F85" s="19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</row>
    <row r="86" spans="1:25" s="20" customFormat="1" ht="89.25" customHeight="1">
      <c r="A86" s="6"/>
      <c r="B86" s="6"/>
      <c r="C86" s="16"/>
      <c r="D86" s="17"/>
      <c r="E86" s="6"/>
      <c r="F86" s="19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</row>
    <row r="87" spans="1:25" s="20" customFormat="1" ht="89.25" customHeight="1">
      <c r="A87" s="6"/>
      <c r="B87" s="6"/>
      <c r="C87" s="16"/>
      <c r="D87" s="17"/>
      <c r="E87" s="6"/>
      <c r="F87" s="19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</row>
    <row r="88" spans="1:25" s="20" customFormat="1" ht="89.25" customHeight="1">
      <c r="A88" s="6"/>
      <c r="B88" s="6"/>
      <c r="C88" s="16"/>
      <c r="D88" s="17"/>
      <c r="E88" s="6"/>
      <c r="F88" s="19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</row>
    <row r="89" spans="1:25" s="20" customFormat="1" ht="89.25" customHeight="1">
      <c r="A89" s="6"/>
      <c r="B89" s="6"/>
      <c r="C89" s="16"/>
      <c r="D89" s="17"/>
      <c r="E89" s="6"/>
      <c r="F89" s="19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</row>
    <row r="90" spans="1:25" s="20" customFormat="1" ht="89.25" customHeight="1">
      <c r="A90" s="6"/>
      <c r="B90" s="6"/>
      <c r="C90" s="16"/>
      <c r="D90" s="17"/>
      <c r="E90" s="6"/>
      <c r="F90" s="19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</row>
    <row r="91" spans="1:25" s="20" customFormat="1" ht="89.25" customHeight="1">
      <c r="A91" s="6"/>
      <c r="B91" s="6"/>
      <c r="C91" s="16"/>
      <c r="D91" s="17"/>
      <c r="E91" s="6"/>
      <c r="F91" s="19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</row>
    <row r="92" spans="1:25" s="20" customFormat="1" ht="89.25" customHeight="1">
      <c r="A92" s="6"/>
      <c r="B92" s="6"/>
      <c r="C92" s="16"/>
      <c r="D92" s="17"/>
      <c r="E92" s="6"/>
      <c r="F92" s="19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</row>
    <row r="93" spans="1:25" s="20" customFormat="1" ht="89.25" customHeight="1">
      <c r="A93" s="6"/>
      <c r="B93" s="6"/>
      <c r="C93" s="16"/>
      <c r="D93" s="17"/>
      <c r="E93" s="6"/>
      <c r="F93" s="19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</row>
    <row r="94" spans="1:25" s="20" customFormat="1" ht="89.25" customHeight="1">
      <c r="A94" s="6"/>
      <c r="B94" s="6"/>
      <c r="C94" s="16"/>
      <c r="D94" s="17"/>
      <c r="E94" s="6"/>
      <c r="F94" s="19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</row>
    <row r="95" spans="1:25" s="20" customFormat="1" ht="89.25" customHeight="1">
      <c r="A95" s="6"/>
      <c r="B95" s="6"/>
      <c r="C95" s="16"/>
      <c r="D95" s="17"/>
      <c r="E95" s="6"/>
      <c r="F95" s="19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</row>
    <row r="96" spans="1:25" s="20" customFormat="1" ht="89.25" customHeight="1">
      <c r="A96" s="6"/>
      <c r="B96" s="6"/>
      <c r="C96" s="16"/>
      <c r="D96" s="17"/>
      <c r="E96" s="6"/>
      <c r="F96" s="19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</row>
    <row r="97" spans="1:25" s="20" customFormat="1" ht="89.25" customHeight="1">
      <c r="A97" s="6"/>
      <c r="B97" s="6"/>
      <c r="C97" s="16"/>
      <c r="D97" s="17"/>
      <c r="E97" s="6"/>
      <c r="F97" s="19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</row>
    <row r="98" spans="1:25" s="20" customFormat="1" ht="89.25" customHeight="1">
      <c r="A98" s="6"/>
      <c r="B98" s="6"/>
      <c r="C98" s="16"/>
      <c r="D98" s="17"/>
      <c r="E98" s="6"/>
      <c r="F98" s="19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</row>
    <row r="99" spans="1:25" s="20" customFormat="1" ht="89.25" customHeight="1">
      <c r="A99" s="6"/>
      <c r="B99" s="6"/>
      <c r="C99" s="16"/>
      <c r="D99" s="17"/>
      <c r="E99" s="6"/>
      <c r="F99" s="19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</row>
    <row r="100" spans="1:25" s="20" customFormat="1" ht="89.25" customHeight="1">
      <c r="A100" s="6"/>
      <c r="B100" s="6"/>
      <c r="C100" s="16"/>
      <c r="D100" s="17"/>
      <c r="E100" s="6"/>
      <c r="F100" s="19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</row>
    <row r="101" spans="1:25" s="20" customFormat="1" ht="89.25" customHeight="1">
      <c r="A101" s="6"/>
      <c r="B101" s="6"/>
      <c r="C101" s="16"/>
      <c r="D101" s="17"/>
      <c r="E101" s="6"/>
      <c r="F101" s="19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</row>
    <row r="102" spans="1:25" s="20" customFormat="1" ht="89.25" customHeight="1">
      <c r="A102" s="6"/>
      <c r="B102" s="6"/>
      <c r="C102" s="16"/>
      <c r="D102" s="17"/>
      <c r="E102" s="6"/>
      <c r="F102" s="19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</row>
    <row r="103" spans="1:25" s="20" customFormat="1" ht="89.25" customHeight="1">
      <c r="A103" s="6"/>
      <c r="B103" s="6"/>
      <c r="C103" s="16"/>
      <c r="D103" s="17"/>
      <c r="E103" s="6"/>
      <c r="F103" s="19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</row>
    <row r="104" spans="1:25" s="20" customFormat="1" ht="89.25" customHeight="1">
      <c r="A104" s="6"/>
      <c r="B104" s="6"/>
      <c r="C104" s="16"/>
      <c r="D104" s="17"/>
      <c r="E104" s="6"/>
      <c r="F104" s="19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</row>
    <row r="105" spans="1:25" s="20" customFormat="1" ht="89.25" customHeight="1">
      <c r="A105" s="6"/>
      <c r="B105" s="6"/>
      <c r="C105" s="16"/>
      <c r="D105" s="17"/>
      <c r="E105" s="6"/>
      <c r="F105" s="19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</row>
    <row r="106" spans="1:25" s="20" customFormat="1" ht="89.25" customHeight="1">
      <c r="A106" s="6"/>
      <c r="B106" s="6"/>
      <c r="C106" s="16"/>
      <c r="D106" s="17"/>
      <c r="E106" s="6"/>
      <c r="F106" s="19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</row>
    <row r="107" spans="1:25" s="20" customFormat="1" ht="89.25" customHeight="1">
      <c r="A107" s="6"/>
      <c r="B107" s="6"/>
      <c r="C107" s="16"/>
      <c r="D107" s="17"/>
      <c r="E107" s="6"/>
      <c r="F107" s="19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</row>
    <row r="108" spans="1:25" s="20" customFormat="1" ht="89.25" customHeight="1">
      <c r="A108" s="6"/>
      <c r="B108" s="6"/>
      <c r="C108" s="16"/>
      <c r="D108" s="17"/>
      <c r="E108" s="6"/>
      <c r="F108" s="19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</row>
    <row r="109" spans="1:25" s="20" customFormat="1" ht="89.25" customHeight="1">
      <c r="A109" s="6"/>
      <c r="B109" s="6"/>
      <c r="C109" s="16"/>
      <c r="D109" s="17"/>
      <c r="E109" s="6"/>
      <c r="F109" s="19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</row>
    <row r="110" spans="1:25" s="20" customFormat="1" ht="89.25" customHeight="1">
      <c r="A110" s="6"/>
      <c r="B110" s="6"/>
      <c r="C110" s="16"/>
      <c r="D110" s="17"/>
      <c r="E110" s="6"/>
      <c r="F110" s="19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</row>
    <row r="111" spans="1:25" s="20" customFormat="1" ht="89.25" customHeight="1">
      <c r="A111" s="6"/>
      <c r="B111" s="6"/>
      <c r="C111" s="16"/>
      <c r="D111" s="17"/>
      <c r="E111" s="6"/>
      <c r="F111" s="19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</row>
    <row r="112" spans="1:25" s="20" customFormat="1" ht="89.25" customHeight="1">
      <c r="A112" s="6"/>
      <c r="B112" s="6"/>
      <c r="C112" s="16"/>
      <c r="D112" s="17"/>
      <c r="E112" s="6"/>
      <c r="F112" s="19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</row>
    <row r="113" spans="1:25" s="20" customFormat="1" ht="89.25" customHeight="1">
      <c r="A113" s="6"/>
      <c r="B113" s="6"/>
      <c r="C113" s="16"/>
      <c r="D113" s="17"/>
      <c r="E113" s="6"/>
      <c r="F113" s="19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</row>
    <row r="114" spans="1:25" s="20" customFormat="1" ht="89.25" customHeight="1">
      <c r="A114" s="6"/>
      <c r="B114" s="6"/>
      <c r="C114" s="16"/>
      <c r="D114" s="17"/>
      <c r="E114" s="6"/>
      <c r="F114" s="19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</row>
    <row r="115" spans="1:25" s="20" customFormat="1" ht="89.25" customHeight="1">
      <c r="A115" s="6"/>
      <c r="B115" s="6"/>
      <c r="C115" s="16"/>
      <c r="D115" s="17"/>
      <c r="E115" s="6"/>
      <c r="F115" s="19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</row>
    <row r="116" spans="1:25" s="20" customFormat="1" ht="89.25" customHeight="1">
      <c r="A116" s="6"/>
      <c r="B116" s="6"/>
      <c r="C116" s="16"/>
      <c r="D116" s="17"/>
      <c r="E116" s="6"/>
      <c r="F116" s="19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</row>
    <row r="117" spans="1:25" s="20" customFormat="1" ht="89.25" customHeight="1">
      <c r="A117" s="6"/>
      <c r="B117" s="6"/>
      <c r="C117" s="16"/>
      <c r="D117" s="17"/>
      <c r="E117" s="6"/>
      <c r="F117" s="19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</row>
    <row r="118" spans="1:25" s="20" customFormat="1" ht="89.25" customHeight="1">
      <c r="A118" s="6"/>
      <c r="B118" s="6"/>
      <c r="C118" s="16"/>
      <c r="D118" s="17"/>
      <c r="E118" s="6"/>
      <c r="F118" s="19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</row>
    <row r="119" spans="1:25" s="20" customFormat="1" ht="89.25" customHeight="1">
      <c r="A119" s="6"/>
      <c r="B119" s="6"/>
      <c r="C119" s="16"/>
      <c r="D119" s="17"/>
      <c r="E119" s="6"/>
      <c r="F119" s="19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</row>
    <row r="120" spans="1:25" s="20" customFormat="1" ht="89.25" customHeight="1">
      <c r="A120" s="6"/>
      <c r="B120" s="6"/>
      <c r="C120" s="16"/>
      <c r="D120" s="17"/>
      <c r="E120" s="6"/>
      <c r="F120" s="19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</row>
    <row r="121" spans="1:25" s="20" customFormat="1" ht="89.25" customHeight="1">
      <c r="A121" s="6"/>
      <c r="B121" s="6"/>
      <c r="C121" s="16"/>
      <c r="D121" s="17"/>
      <c r="E121" s="6"/>
      <c r="F121" s="19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</row>
    <row r="122" spans="1:25" s="20" customFormat="1" ht="89.25" customHeight="1">
      <c r="A122" s="6"/>
      <c r="B122" s="6"/>
      <c r="C122" s="16"/>
      <c r="D122" s="17"/>
      <c r="E122" s="6"/>
      <c r="F122" s="19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</row>
    <row r="123" spans="1:25" s="20" customFormat="1" ht="89.25" customHeight="1">
      <c r="A123" s="6"/>
      <c r="B123" s="6"/>
      <c r="C123" s="16"/>
      <c r="D123" s="17"/>
      <c r="E123" s="6"/>
      <c r="F123" s="19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</row>
    <row r="124" spans="1:25" s="20" customFormat="1" ht="89.25" customHeight="1">
      <c r="A124" s="6"/>
      <c r="B124" s="6"/>
      <c r="C124" s="16"/>
      <c r="D124" s="17"/>
      <c r="E124" s="6"/>
      <c r="F124" s="19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</row>
    <row r="125" spans="1:25" s="20" customFormat="1" ht="89.25" customHeight="1">
      <c r="A125" s="6"/>
      <c r="B125" s="6"/>
      <c r="C125" s="16"/>
      <c r="D125" s="17"/>
      <c r="E125" s="6"/>
      <c r="F125" s="19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</row>
    <row r="126" spans="1:25" s="20" customFormat="1" ht="89.25" customHeight="1">
      <c r="A126" s="6"/>
      <c r="B126" s="6"/>
      <c r="C126" s="16"/>
      <c r="D126" s="17"/>
      <c r="E126" s="6"/>
      <c r="F126" s="19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</row>
    <row r="127" spans="1:25" s="20" customFormat="1" ht="89.25" customHeight="1">
      <c r="A127" s="6"/>
      <c r="B127" s="6"/>
      <c r="C127" s="16"/>
      <c r="D127" s="17"/>
      <c r="E127" s="6"/>
      <c r="F127" s="19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</row>
    <row r="128" spans="1:25" s="20" customFormat="1" ht="89.25" customHeight="1">
      <c r="A128" s="6"/>
      <c r="B128" s="6"/>
      <c r="C128" s="16"/>
      <c r="D128" s="17"/>
      <c r="E128" s="6"/>
      <c r="F128" s="19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</row>
    <row r="129" spans="1:25" s="20" customFormat="1" ht="89.25" customHeight="1">
      <c r="A129" s="6"/>
      <c r="B129" s="6"/>
      <c r="C129" s="16"/>
      <c r="D129" s="17"/>
      <c r="E129" s="6"/>
      <c r="F129" s="19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</row>
    <row r="130" spans="1:25" s="20" customFormat="1" ht="89.25" customHeight="1">
      <c r="A130" s="6"/>
      <c r="B130" s="6"/>
      <c r="C130" s="16"/>
      <c r="D130" s="17"/>
      <c r="E130" s="6"/>
      <c r="F130" s="19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</row>
    <row r="131" spans="1:25" s="20" customFormat="1" ht="89.25" customHeight="1">
      <c r="A131" s="6"/>
      <c r="B131" s="6"/>
      <c r="C131" s="16"/>
      <c r="D131" s="17"/>
      <c r="E131" s="6"/>
      <c r="F131" s="19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</row>
    <row r="132" spans="1:25" s="20" customFormat="1" ht="89.25" customHeight="1">
      <c r="A132" s="6"/>
      <c r="B132" s="6"/>
      <c r="C132" s="16"/>
      <c r="D132" s="17"/>
      <c r="E132" s="6"/>
      <c r="F132" s="19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</row>
    <row r="133" spans="1:25" s="20" customFormat="1" ht="89.25" customHeight="1">
      <c r="A133" s="6"/>
      <c r="B133" s="6"/>
      <c r="C133" s="16"/>
      <c r="D133" s="17"/>
      <c r="E133" s="6"/>
      <c r="F133" s="19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</row>
    <row r="134" spans="1:25" s="20" customFormat="1" ht="89.25" customHeight="1">
      <c r="A134" s="6"/>
      <c r="B134" s="6"/>
      <c r="C134" s="16"/>
      <c r="D134" s="17"/>
      <c r="E134" s="6"/>
      <c r="F134" s="19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</row>
    <row r="135" spans="1:25" s="20" customFormat="1" ht="89.25" customHeight="1">
      <c r="A135" s="6"/>
      <c r="B135" s="6"/>
      <c r="C135" s="16"/>
      <c r="D135" s="17"/>
      <c r="E135" s="6"/>
      <c r="F135" s="19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</row>
    <row r="136" spans="1:25" s="20" customFormat="1" ht="89.25" customHeight="1">
      <c r="A136" s="6"/>
      <c r="B136" s="6"/>
      <c r="C136" s="16"/>
      <c r="D136" s="17"/>
      <c r="E136" s="6"/>
      <c r="F136" s="19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</row>
    <row r="137" spans="1:25" s="20" customFormat="1" ht="89.25" customHeight="1">
      <c r="A137" s="6"/>
      <c r="B137" s="6"/>
      <c r="C137" s="16"/>
      <c r="D137" s="17"/>
      <c r="E137" s="6"/>
      <c r="F137" s="19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</row>
    <row r="138" spans="1:25" s="20" customFormat="1" ht="89.25" customHeight="1">
      <c r="A138" s="6"/>
      <c r="B138" s="6"/>
      <c r="C138" s="16"/>
      <c r="D138" s="17"/>
      <c r="E138" s="6"/>
      <c r="F138" s="19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</row>
    <row r="139" spans="1:25" s="20" customFormat="1" ht="89.25" customHeight="1">
      <c r="A139" s="6"/>
      <c r="B139" s="6"/>
      <c r="C139" s="16"/>
      <c r="D139" s="17"/>
      <c r="E139" s="6"/>
      <c r="F139" s="19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</row>
    <row r="140" spans="1:25" s="20" customFormat="1" ht="89.25" customHeight="1">
      <c r="A140" s="6"/>
      <c r="B140" s="6"/>
      <c r="C140" s="16"/>
      <c r="D140" s="17"/>
      <c r="E140" s="6"/>
      <c r="F140" s="19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</row>
    <row r="141" spans="1:25" s="20" customFormat="1" ht="89.25" customHeight="1">
      <c r="A141" s="6"/>
      <c r="B141" s="6"/>
      <c r="C141" s="16"/>
      <c r="D141" s="17"/>
      <c r="E141" s="6"/>
      <c r="F141" s="19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</row>
    <row r="142" spans="1:25" s="20" customFormat="1" ht="89.25" customHeight="1">
      <c r="A142" s="6"/>
      <c r="B142" s="6"/>
      <c r="C142" s="16"/>
      <c r="D142" s="17"/>
      <c r="E142" s="6"/>
      <c r="F142" s="19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</row>
    <row r="143" spans="1:25" s="20" customFormat="1" ht="89.25" customHeight="1">
      <c r="A143" s="6"/>
      <c r="B143" s="6"/>
      <c r="C143" s="16"/>
      <c r="D143" s="17"/>
      <c r="E143" s="6"/>
      <c r="F143" s="19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</row>
    <row r="144" spans="1:25" s="20" customFormat="1" ht="89.25" customHeight="1">
      <c r="A144" s="6"/>
      <c r="B144" s="6"/>
      <c r="C144" s="16"/>
      <c r="D144" s="17"/>
      <c r="E144" s="6"/>
      <c r="F144" s="19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</row>
    <row r="145" spans="1:25" s="20" customFormat="1" ht="89.25" customHeight="1">
      <c r="A145" s="6"/>
      <c r="B145" s="6"/>
      <c r="C145" s="16"/>
      <c r="D145" s="17"/>
      <c r="E145" s="6"/>
      <c r="F145" s="19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</row>
    <row r="146" spans="1:25" s="20" customFormat="1" ht="89.25" customHeight="1">
      <c r="A146" s="6"/>
      <c r="B146" s="6"/>
      <c r="C146" s="16"/>
      <c r="D146" s="17"/>
      <c r="E146" s="6"/>
      <c r="F146" s="19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</row>
    <row r="147" spans="1:25" s="20" customFormat="1" ht="89.25" customHeight="1">
      <c r="A147" s="6"/>
      <c r="B147" s="6"/>
      <c r="C147" s="16"/>
      <c r="D147" s="17"/>
      <c r="E147" s="6"/>
      <c r="F147" s="19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</row>
    <row r="148" spans="1:25" s="20" customFormat="1" ht="89.25" customHeight="1">
      <c r="A148" s="6"/>
      <c r="B148" s="6"/>
      <c r="C148" s="16"/>
      <c r="D148" s="17"/>
      <c r="E148" s="6"/>
      <c r="F148" s="19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</row>
    <row r="149" spans="1:25" s="20" customFormat="1" ht="89.25" customHeight="1">
      <c r="A149" s="6"/>
      <c r="B149" s="6"/>
      <c r="C149" s="16"/>
      <c r="D149" s="17"/>
      <c r="E149" s="6"/>
      <c r="F149" s="19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</row>
    <row r="150" spans="1:25" s="20" customFormat="1" ht="89.25" customHeight="1">
      <c r="A150" s="6"/>
      <c r="B150" s="6"/>
      <c r="C150" s="16"/>
      <c r="D150" s="17"/>
      <c r="E150" s="6"/>
      <c r="F150" s="19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</row>
    <row r="151" spans="1:25" s="20" customFormat="1" ht="89.25" customHeight="1">
      <c r="A151" s="6"/>
      <c r="B151" s="6"/>
      <c r="C151" s="16"/>
      <c r="D151" s="17"/>
      <c r="E151" s="6"/>
      <c r="F151" s="19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</row>
    <row r="152" spans="1:25" s="20" customFormat="1" ht="89.25" customHeight="1">
      <c r="A152" s="6"/>
      <c r="B152" s="6"/>
      <c r="C152" s="16"/>
      <c r="D152" s="17"/>
      <c r="E152" s="6"/>
      <c r="F152" s="19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</row>
    <row r="153" spans="1:25" s="20" customFormat="1" ht="89.25" customHeight="1">
      <c r="A153" s="6"/>
      <c r="B153" s="6"/>
      <c r="C153" s="16"/>
      <c r="D153" s="17"/>
      <c r="E153" s="6"/>
      <c r="F153" s="19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</row>
    <row r="154" spans="1:25" s="20" customFormat="1" ht="89.25" customHeight="1">
      <c r="A154" s="6"/>
      <c r="B154" s="6"/>
      <c r="C154" s="16"/>
      <c r="D154" s="17"/>
      <c r="E154" s="6"/>
      <c r="F154" s="19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</row>
    <row r="155" spans="1:25" s="20" customFormat="1" ht="89.25" customHeight="1">
      <c r="A155" s="6"/>
      <c r="B155" s="6"/>
      <c r="C155" s="16"/>
      <c r="D155" s="17"/>
      <c r="E155" s="6"/>
      <c r="F155" s="19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</row>
    <row r="156" spans="1:25" s="20" customFormat="1" ht="89.25" customHeight="1">
      <c r="A156" s="6"/>
      <c r="B156" s="6"/>
      <c r="C156" s="16"/>
      <c r="D156" s="17"/>
      <c r="E156" s="6"/>
      <c r="F156" s="19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</row>
    <row r="157" spans="1:25" s="20" customFormat="1" ht="89.25" customHeight="1">
      <c r="A157" s="6"/>
      <c r="B157" s="6"/>
      <c r="C157" s="16"/>
      <c r="D157" s="17"/>
      <c r="E157" s="6"/>
      <c r="F157" s="19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</row>
    <row r="158" spans="1:25" s="20" customFormat="1" ht="89.25" customHeight="1">
      <c r="A158" s="6"/>
      <c r="B158" s="6"/>
      <c r="C158" s="16"/>
      <c r="D158" s="17"/>
      <c r="E158" s="6"/>
      <c r="F158" s="19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</row>
    <row r="159" spans="1:25" s="20" customFormat="1" ht="89.25" customHeight="1">
      <c r="A159" s="6"/>
      <c r="B159" s="6"/>
      <c r="C159" s="16"/>
      <c r="D159" s="17"/>
      <c r="E159" s="6"/>
      <c r="F159" s="19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</row>
    <row r="160" spans="1:25" s="20" customFormat="1" ht="89.25" customHeight="1">
      <c r="A160" s="6"/>
      <c r="B160" s="6"/>
      <c r="C160" s="16"/>
      <c r="D160" s="17"/>
      <c r="E160" s="6"/>
      <c r="F160" s="19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</row>
    <row r="161" spans="1:25" s="20" customFormat="1" ht="89.25" customHeight="1">
      <c r="A161" s="6"/>
      <c r="B161" s="6"/>
      <c r="C161" s="16"/>
      <c r="D161" s="17"/>
      <c r="E161" s="6"/>
      <c r="F161" s="19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</row>
    <row r="162" spans="1:25" s="20" customFormat="1" ht="89.25" customHeight="1">
      <c r="A162" s="6"/>
      <c r="B162" s="6"/>
      <c r="C162" s="16"/>
      <c r="D162" s="17"/>
      <c r="E162" s="6"/>
      <c r="F162" s="19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</row>
    <row r="163" spans="1:25" s="20" customFormat="1" ht="89.25" customHeight="1">
      <c r="A163" s="6"/>
      <c r="B163" s="6"/>
      <c r="C163" s="16"/>
      <c r="D163" s="17"/>
      <c r="E163" s="6"/>
      <c r="F163" s="19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</row>
    <row r="164" spans="1:25" s="20" customFormat="1" ht="89.25" customHeight="1">
      <c r="A164" s="6"/>
      <c r="B164" s="6"/>
      <c r="C164" s="16"/>
      <c r="D164" s="17"/>
      <c r="E164" s="6"/>
      <c r="F164" s="19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</row>
    <row r="165" spans="1:25" s="20" customFormat="1" ht="89.25" customHeight="1">
      <c r="A165" s="6"/>
      <c r="B165" s="6"/>
      <c r="C165" s="16"/>
      <c r="D165" s="17"/>
      <c r="E165" s="6"/>
      <c r="F165" s="19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</row>
    <row r="166" spans="1:25" s="20" customFormat="1" ht="89.25" customHeight="1">
      <c r="A166" s="6"/>
      <c r="B166" s="6"/>
      <c r="C166" s="16"/>
      <c r="D166" s="17"/>
      <c r="E166" s="6"/>
      <c r="F166" s="19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</row>
    <row r="167" spans="1:25" s="20" customFormat="1" ht="89.25" customHeight="1">
      <c r="A167" s="6"/>
      <c r="B167" s="6"/>
      <c r="C167" s="16"/>
      <c r="D167" s="17"/>
      <c r="E167" s="6"/>
      <c r="F167" s="19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</row>
    <row r="168" spans="1:25" s="20" customFormat="1" ht="89.25" customHeight="1">
      <c r="A168" s="6"/>
      <c r="B168" s="6"/>
      <c r="C168" s="16"/>
      <c r="D168" s="17"/>
      <c r="E168" s="6"/>
      <c r="F168" s="19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</row>
    <row r="169" spans="1:25" s="20" customFormat="1" ht="89.25" customHeight="1">
      <c r="A169" s="6"/>
      <c r="B169" s="6"/>
      <c r="C169" s="16"/>
      <c r="D169" s="17"/>
      <c r="E169" s="6"/>
      <c r="F169" s="19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</row>
    <row r="170" spans="1:25" s="20" customFormat="1" ht="89.25" customHeight="1">
      <c r="A170" s="6"/>
      <c r="B170" s="6"/>
      <c r="C170" s="16"/>
      <c r="D170" s="17"/>
      <c r="E170" s="6"/>
      <c r="F170" s="19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</row>
    <row r="171" spans="1:25" s="20" customFormat="1" ht="89.25" customHeight="1">
      <c r="A171" s="6"/>
      <c r="B171" s="6"/>
      <c r="C171" s="16"/>
      <c r="D171" s="17"/>
      <c r="E171" s="6"/>
      <c r="F171" s="19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</row>
    <row r="172" spans="1:25" s="20" customFormat="1" ht="89.25" customHeight="1">
      <c r="A172" s="6"/>
      <c r="B172" s="6"/>
      <c r="C172" s="16"/>
      <c r="D172" s="17"/>
      <c r="E172" s="6"/>
      <c r="F172" s="19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</row>
    <row r="173" spans="1:25" s="20" customFormat="1" ht="89.25" customHeight="1">
      <c r="A173" s="6"/>
      <c r="B173" s="6"/>
      <c r="C173" s="16"/>
      <c r="D173" s="17"/>
      <c r="E173" s="6"/>
      <c r="F173" s="19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</row>
    <row r="174" spans="1:25" s="20" customFormat="1" ht="89.25" customHeight="1">
      <c r="A174" s="6"/>
      <c r="B174" s="6"/>
      <c r="C174" s="16"/>
      <c r="D174" s="17"/>
      <c r="E174" s="6"/>
      <c r="F174" s="19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</row>
    <row r="175" spans="1:25" s="20" customFormat="1" ht="89.25" customHeight="1">
      <c r="A175" s="6"/>
      <c r="B175" s="6"/>
      <c r="C175" s="16"/>
      <c r="D175" s="17"/>
      <c r="E175" s="6"/>
      <c r="F175" s="19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</row>
    <row r="176" spans="1:25" s="20" customFormat="1" ht="89.25" customHeight="1">
      <c r="A176" s="6"/>
      <c r="B176" s="6"/>
      <c r="C176" s="16"/>
      <c r="D176" s="17"/>
      <c r="E176" s="6"/>
      <c r="F176" s="19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</row>
    <row r="177" spans="1:25" s="20" customFormat="1" ht="89.25" customHeight="1">
      <c r="A177" s="6"/>
      <c r="B177" s="6"/>
      <c r="C177" s="16"/>
      <c r="D177" s="17"/>
      <c r="E177" s="6"/>
      <c r="F177" s="19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</row>
    <row r="178" spans="1:25" s="20" customFormat="1" ht="89.25" customHeight="1">
      <c r="A178" s="6"/>
      <c r="B178" s="6"/>
      <c r="C178" s="16"/>
      <c r="D178" s="17"/>
      <c r="E178" s="6"/>
      <c r="F178" s="19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</row>
    <row r="179" spans="1:25" s="20" customFormat="1" ht="89.25" customHeight="1">
      <c r="A179" s="6"/>
      <c r="B179" s="6"/>
      <c r="C179" s="16"/>
      <c r="D179" s="17"/>
      <c r="E179" s="6"/>
      <c r="F179" s="19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</row>
    <row r="180" spans="1:25" s="20" customFormat="1" ht="89.25" customHeight="1">
      <c r="A180" s="6"/>
      <c r="B180" s="6"/>
      <c r="C180" s="16"/>
      <c r="D180" s="17"/>
      <c r="E180" s="6"/>
      <c r="F180" s="19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</row>
    <row r="181" spans="1:25" s="20" customFormat="1" ht="89.25" customHeight="1">
      <c r="A181" s="6"/>
      <c r="B181" s="6"/>
      <c r="C181" s="16"/>
      <c r="D181" s="17"/>
      <c r="E181" s="6"/>
      <c r="F181" s="19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</row>
    <row r="182" spans="1:25" s="20" customFormat="1" ht="89.25" customHeight="1">
      <c r="A182" s="6"/>
      <c r="B182" s="6"/>
      <c r="C182" s="16"/>
      <c r="D182" s="17"/>
      <c r="E182" s="6"/>
      <c r="F182" s="19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</row>
    <row r="183" spans="1:25" s="20" customFormat="1" ht="89.25" customHeight="1">
      <c r="A183" s="6"/>
      <c r="B183" s="6"/>
      <c r="C183" s="16"/>
      <c r="D183" s="17"/>
      <c r="E183" s="6"/>
      <c r="F183" s="19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</row>
    <row r="184" spans="1:25" s="20" customFormat="1" ht="89.25" customHeight="1">
      <c r="A184" s="6"/>
      <c r="B184" s="6"/>
      <c r="C184" s="16"/>
      <c r="D184" s="17"/>
      <c r="E184" s="6"/>
      <c r="F184" s="19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</row>
    <row r="185" spans="1:25" s="20" customFormat="1" ht="89.25" customHeight="1">
      <c r="A185" s="6"/>
      <c r="B185" s="6"/>
      <c r="C185" s="16"/>
      <c r="D185" s="17"/>
      <c r="E185" s="6"/>
      <c r="F185" s="19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</row>
    <row r="186" spans="1:25" s="20" customFormat="1" ht="89.25" customHeight="1">
      <c r="A186" s="6"/>
      <c r="B186" s="6"/>
      <c r="C186" s="16"/>
      <c r="D186" s="17"/>
      <c r="E186" s="6"/>
      <c r="F186" s="19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</row>
    <row r="187" spans="1:25" s="20" customFormat="1" ht="89.25" customHeight="1">
      <c r="A187" s="6"/>
      <c r="B187" s="6"/>
      <c r="C187" s="16"/>
      <c r="D187" s="17"/>
      <c r="E187" s="6"/>
      <c r="F187" s="19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</row>
    <row r="188" spans="1:25" s="20" customFormat="1" ht="89.25" customHeight="1">
      <c r="A188" s="6"/>
      <c r="B188" s="6"/>
      <c r="C188" s="16"/>
      <c r="D188" s="17"/>
      <c r="E188" s="6"/>
      <c r="F188" s="19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</row>
    <row r="189" spans="1:25" s="20" customFormat="1" ht="89.25" customHeight="1">
      <c r="A189" s="6"/>
      <c r="B189" s="6"/>
      <c r="C189" s="16"/>
      <c r="D189" s="17"/>
      <c r="E189" s="6"/>
      <c r="F189" s="19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</row>
    <row r="190" spans="1:25" s="20" customFormat="1" ht="89.25" customHeight="1">
      <c r="A190" s="6"/>
      <c r="B190" s="6"/>
      <c r="C190" s="16"/>
      <c r="D190" s="17"/>
      <c r="E190" s="6"/>
      <c r="F190" s="19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</row>
    <row r="191" spans="1:25" s="20" customFormat="1" ht="89.25" customHeight="1">
      <c r="A191" s="6"/>
      <c r="B191" s="6"/>
      <c r="C191" s="16"/>
      <c r="D191" s="17"/>
      <c r="E191" s="6"/>
      <c r="F191" s="19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</row>
    <row r="192" spans="1:25" s="20" customFormat="1" ht="89.25" customHeight="1">
      <c r="A192" s="6"/>
      <c r="B192" s="6"/>
      <c r="C192" s="16"/>
      <c r="D192" s="17"/>
      <c r="E192" s="6"/>
      <c r="F192" s="19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</row>
    <row r="193" spans="1:25" s="20" customFormat="1" ht="89.25" customHeight="1">
      <c r="A193" s="6"/>
      <c r="B193" s="6"/>
      <c r="C193" s="16"/>
      <c r="D193" s="17"/>
      <c r="E193" s="6"/>
      <c r="F193" s="19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</row>
    <row r="194" spans="1:25" s="20" customFormat="1" ht="89.25" customHeight="1">
      <c r="A194" s="6"/>
      <c r="B194" s="6"/>
      <c r="C194" s="16"/>
      <c r="D194" s="17"/>
      <c r="E194" s="6"/>
      <c r="F194" s="19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</row>
    <row r="195" spans="1:25" s="20" customFormat="1" ht="89.25" customHeight="1">
      <c r="A195" s="6"/>
      <c r="B195" s="6"/>
      <c r="C195" s="16"/>
      <c r="D195" s="17"/>
      <c r="E195" s="6"/>
      <c r="F195" s="19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</row>
    <row r="196" spans="1:25" s="20" customFormat="1" ht="89.25" customHeight="1">
      <c r="A196" s="6"/>
      <c r="B196" s="6"/>
      <c r="C196" s="16"/>
      <c r="D196" s="17"/>
      <c r="E196" s="6"/>
      <c r="F196" s="19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</row>
    <row r="197" spans="1:25" s="20" customFormat="1" ht="89.25" customHeight="1">
      <c r="A197" s="6"/>
      <c r="B197" s="6"/>
      <c r="C197" s="16"/>
      <c r="D197" s="17"/>
      <c r="E197" s="6"/>
      <c r="F197" s="19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</row>
    <row r="198" spans="1:25" s="20" customFormat="1" ht="89.25" customHeight="1">
      <c r="A198" s="6"/>
      <c r="B198" s="6"/>
      <c r="C198" s="16"/>
      <c r="D198" s="17"/>
      <c r="E198" s="6"/>
      <c r="F198" s="19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</row>
    <row r="199" spans="1:25" s="20" customFormat="1" ht="89.25" customHeight="1">
      <c r="A199" s="6"/>
      <c r="B199" s="6"/>
      <c r="C199" s="16"/>
      <c r="D199" s="17"/>
      <c r="E199" s="6"/>
      <c r="F199" s="19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</row>
    <row r="200" spans="1:25" s="20" customFormat="1" ht="89.25" customHeight="1">
      <c r="A200" s="6"/>
      <c r="B200" s="6"/>
      <c r="C200" s="16"/>
      <c r="D200" s="17"/>
      <c r="E200" s="6"/>
      <c r="F200" s="19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</row>
    <row r="201" spans="1:25" s="20" customFormat="1" ht="89.25" customHeight="1">
      <c r="A201" s="6"/>
      <c r="B201" s="6"/>
      <c r="C201" s="16"/>
      <c r="D201" s="17"/>
      <c r="E201" s="6"/>
      <c r="F201" s="19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</row>
    <row r="202" spans="1:25" s="20" customFormat="1" ht="89.25" customHeight="1">
      <c r="A202" s="6"/>
      <c r="B202" s="6"/>
      <c r="C202" s="16"/>
      <c r="D202" s="17"/>
      <c r="E202" s="6"/>
      <c r="F202" s="19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</row>
    <row r="203" spans="1:25" s="20" customFormat="1" ht="89.25" customHeight="1">
      <c r="A203" s="6"/>
      <c r="B203" s="6"/>
      <c r="C203" s="16"/>
      <c r="D203" s="17"/>
      <c r="E203" s="6"/>
      <c r="F203" s="19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</row>
    <row r="204" spans="1:25" s="20" customFormat="1" ht="89.25" customHeight="1">
      <c r="A204" s="6"/>
      <c r="B204" s="6"/>
      <c r="C204" s="16"/>
      <c r="D204" s="17"/>
      <c r="E204" s="6"/>
      <c r="F204" s="19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</row>
    <row r="205" spans="1:25" s="20" customFormat="1" ht="89.25" customHeight="1">
      <c r="A205" s="6"/>
      <c r="B205" s="6"/>
      <c r="C205" s="16"/>
      <c r="D205" s="17"/>
      <c r="E205" s="6"/>
      <c r="F205" s="19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</row>
    <row r="206" spans="1:25" s="20" customFormat="1" ht="89.25" customHeight="1">
      <c r="A206" s="6"/>
      <c r="B206" s="6"/>
      <c r="C206" s="16"/>
      <c r="D206" s="17"/>
      <c r="E206" s="6"/>
      <c r="F206" s="19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</row>
    <row r="207" spans="1:25" s="20" customFormat="1" ht="89.25" customHeight="1">
      <c r="A207" s="6"/>
      <c r="B207" s="6"/>
      <c r="C207" s="16"/>
      <c r="D207" s="17"/>
      <c r="E207" s="6"/>
      <c r="F207" s="19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</row>
    <row r="208" spans="1:25" s="20" customFormat="1" ht="89.25" customHeight="1">
      <c r="A208" s="6"/>
      <c r="B208" s="6"/>
      <c r="C208" s="16"/>
      <c r="D208" s="17"/>
      <c r="E208" s="6"/>
      <c r="F208" s="19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</row>
    <row r="209" spans="1:25" s="20" customFormat="1" ht="89.25" customHeight="1">
      <c r="A209" s="6"/>
      <c r="B209" s="6"/>
      <c r="C209" s="16"/>
      <c r="D209" s="17"/>
      <c r="E209" s="6"/>
      <c r="F209" s="19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</row>
    <row r="210" spans="1:25" s="20" customFormat="1" ht="89.25" customHeight="1">
      <c r="A210" s="6"/>
      <c r="B210" s="6"/>
      <c r="C210" s="16"/>
      <c r="D210" s="17"/>
      <c r="E210" s="6"/>
      <c r="F210" s="19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</row>
    <row r="211" spans="1:25" s="20" customFormat="1" ht="89.25" customHeight="1">
      <c r="A211" s="6"/>
      <c r="B211" s="6"/>
      <c r="C211" s="16"/>
      <c r="D211" s="17"/>
      <c r="E211" s="6"/>
      <c r="F211" s="19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</row>
    <row r="212" spans="1:25" s="20" customFormat="1" ht="89.25" customHeight="1">
      <c r="A212" s="6"/>
      <c r="B212" s="6"/>
      <c r="C212" s="16"/>
      <c r="D212" s="17"/>
      <c r="E212" s="6"/>
      <c r="F212" s="19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</row>
    <row r="213" spans="1:25" s="20" customFormat="1" ht="89.25" customHeight="1">
      <c r="A213" s="6"/>
      <c r="B213" s="6"/>
      <c r="C213" s="16"/>
      <c r="D213" s="17"/>
      <c r="E213" s="6"/>
      <c r="F213" s="19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</row>
    <row r="214" spans="1:25" s="20" customFormat="1" ht="89.25" customHeight="1">
      <c r="A214" s="6"/>
      <c r="B214" s="6"/>
      <c r="C214" s="16"/>
      <c r="D214" s="17"/>
      <c r="E214" s="6"/>
      <c r="F214" s="19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</row>
    <row r="215" spans="1:25" s="20" customFormat="1" ht="89.25" customHeight="1">
      <c r="A215" s="6"/>
      <c r="B215" s="6"/>
      <c r="C215" s="16"/>
      <c r="D215" s="17"/>
      <c r="E215" s="6"/>
      <c r="F215" s="19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</row>
    <row r="216" spans="1:25" s="20" customFormat="1" ht="89.25" customHeight="1">
      <c r="A216" s="6"/>
      <c r="B216" s="6"/>
      <c r="C216" s="16"/>
      <c r="D216" s="17"/>
      <c r="E216" s="6"/>
      <c r="F216" s="19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</row>
    <row r="217" spans="1:25" s="20" customFormat="1" ht="89.25" customHeight="1">
      <c r="A217" s="6"/>
      <c r="B217" s="6"/>
      <c r="C217" s="16"/>
      <c r="D217" s="17"/>
      <c r="E217" s="6"/>
      <c r="F217" s="19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</row>
    <row r="218" spans="1:25" s="20" customFormat="1" ht="89.25" customHeight="1">
      <c r="A218" s="6"/>
      <c r="B218" s="6"/>
      <c r="C218" s="16"/>
      <c r="D218" s="17"/>
      <c r="E218" s="6"/>
      <c r="F218" s="19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</row>
    <row r="219" spans="1:25" s="20" customFormat="1" ht="89.25" customHeight="1">
      <c r="A219" s="6"/>
      <c r="B219" s="6"/>
      <c r="C219" s="16"/>
      <c r="D219" s="17"/>
      <c r="E219" s="6"/>
      <c r="F219" s="19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</row>
    <row r="220" spans="1:25" s="20" customFormat="1" ht="89.25" customHeight="1">
      <c r="A220" s="6"/>
      <c r="B220" s="6"/>
      <c r="C220" s="16"/>
      <c r="D220" s="17"/>
      <c r="E220" s="6"/>
      <c r="F220" s="19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</row>
    <row r="221" spans="1:25" s="20" customFormat="1" ht="89.25" customHeight="1">
      <c r="A221" s="6"/>
      <c r="B221" s="6"/>
      <c r="C221" s="16"/>
      <c r="D221" s="17"/>
      <c r="E221" s="6"/>
      <c r="F221" s="19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</row>
    <row r="222" spans="1:25" s="20" customFormat="1" ht="89.25" customHeight="1">
      <c r="A222" s="6"/>
      <c r="B222" s="6"/>
      <c r="C222" s="16"/>
      <c r="D222" s="17"/>
      <c r="E222" s="6"/>
      <c r="F222" s="19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</row>
    <row r="223" spans="1:25" s="20" customFormat="1" ht="89.25" customHeight="1">
      <c r="A223" s="6"/>
      <c r="B223" s="6"/>
      <c r="C223" s="16"/>
      <c r="D223" s="17"/>
      <c r="E223" s="6"/>
      <c r="F223" s="19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</row>
    <row r="224" spans="1:25" s="20" customFormat="1" ht="89.25" customHeight="1">
      <c r="A224" s="6"/>
      <c r="B224" s="6"/>
      <c r="C224" s="16"/>
      <c r="D224" s="17"/>
      <c r="E224" s="6"/>
      <c r="F224" s="19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</row>
    <row r="225" spans="1:25" s="20" customFormat="1" ht="89.25" customHeight="1">
      <c r="A225" s="6"/>
      <c r="B225" s="6"/>
      <c r="C225" s="16"/>
      <c r="D225" s="17"/>
      <c r="E225" s="6"/>
      <c r="F225" s="19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</row>
    <row r="226" spans="1:25" s="20" customFormat="1" ht="89.25" customHeight="1">
      <c r="A226" s="6"/>
      <c r="B226" s="6"/>
      <c r="C226" s="16"/>
      <c r="D226" s="17"/>
      <c r="E226" s="6"/>
      <c r="F226" s="19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</row>
    <row r="227" spans="1:25" s="20" customFormat="1" ht="89.25" customHeight="1">
      <c r="A227" s="6"/>
      <c r="B227" s="6"/>
      <c r="C227" s="16"/>
      <c r="D227" s="17"/>
      <c r="E227" s="6"/>
      <c r="F227" s="19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</row>
    <row r="228" spans="1:25" s="20" customFormat="1" ht="89.25" customHeight="1">
      <c r="A228" s="6"/>
      <c r="B228" s="6"/>
      <c r="C228" s="16"/>
      <c r="D228" s="17"/>
      <c r="E228" s="6"/>
      <c r="F228" s="19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</row>
    <row r="229" spans="1:25" s="20" customFormat="1" ht="89.25" customHeight="1">
      <c r="A229" s="6"/>
      <c r="B229" s="6"/>
      <c r="C229" s="16"/>
      <c r="D229" s="17"/>
      <c r="E229" s="6"/>
      <c r="F229" s="19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</row>
    <row r="230" spans="1:25" s="20" customFormat="1" ht="89.25" customHeight="1">
      <c r="A230" s="6"/>
      <c r="B230" s="6"/>
      <c r="C230" s="16"/>
      <c r="D230" s="17"/>
      <c r="E230" s="6"/>
      <c r="F230" s="19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</row>
    <row r="231" spans="1:25" s="20" customFormat="1" ht="89.25" customHeight="1">
      <c r="A231" s="6"/>
      <c r="B231" s="6"/>
      <c r="C231" s="16"/>
      <c r="D231" s="17"/>
      <c r="E231" s="6"/>
      <c r="F231" s="19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</row>
    <row r="232" spans="1:25" s="20" customFormat="1" ht="89.25" customHeight="1">
      <c r="A232" s="6"/>
      <c r="B232" s="6"/>
      <c r="C232" s="16"/>
      <c r="D232" s="17"/>
      <c r="E232" s="6"/>
      <c r="F232" s="19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</row>
    <row r="233" spans="1:25" s="20" customFormat="1" ht="89.25" customHeight="1">
      <c r="A233" s="6"/>
      <c r="B233" s="6"/>
      <c r="C233" s="16"/>
      <c r="D233" s="17"/>
      <c r="E233" s="6"/>
      <c r="F233" s="19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</row>
    <row r="234" spans="1:25" s="20" customFormat="1" ht="89.25" customHeight="1">
      <c r="A234" s="6"/>
      <c r="B234" s="6"/>
      <c r="C234" s="16"/>
      <c r="D234" s="17"/>
      <c r="E234" s="6"/>
      <c r="F234" s="19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</row>
    <row r="235" spans="1:25" s="20" customFormat="1" ht="89.25" customHeight="1">
      <c r="A235" s="6"/>
      <c r="B235" s="6"/>
      <c r="C235" s="16"/>
      <c r="D235" s="17"/>
      <c r="E235" s="6"/>
      <c r="F235" s="19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</row>
    <row r="236" spans="1:25" s="20" customFormat="1" ht="89.25" customHeight="1">
      <c r="A236" s="6"/>
      <c r="B236" s="6"/>
      <c r="C236" s="16"/>
      <c r="D236" s="17"/>
      <c r="E236" s="6"/>
      <c r="F236" s="19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</row>
    <row r="237" spans="1:25" s="20" customFormat="1" ht="89.25" customHeight="1">
      <c r="A237" s="6"/>
      <c r="B237" s="6"/>
      <c r="C237" s="16"/>
      <c r="D237" s="17"/>
      <c r="E237" s="6"/>
      <c r="F237" s="19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</row>
  </sheetData>
  <mergeCells count="23">
    <mergeCell ref="D52:E52"/>
    <mergeCell ref="A49:B49"/>
    <mergeCell ref="A14:D14"/>
    <mergeCell ref="A18:D18"/>
    <mergeCell ref="A16:D16"/>
    <mergeCell ref="D51:E51"/>
    <mergeCell ref="A15:D15"/>
    <mergeCell ref="A51:B51"/>
    <mergeCell ref="A50:B50"/>
    <mergeCell ref="D50:E50"/>
    <mergeCell ref="D49:E49"/>
    <mergeCell ref="A13:D13"/>
    <mergeCell ref="A17:D17"/>
    <mergeCell ref="A19:D19"/>
    <mergeCell ref="A11:D11"/>
    <mergeCell ref="A12:D12"/>
    <mergeCell ref="A10:D10"/>
    <mergeCell ref="A1:F3"/>
    <mergeCell ref="A5:F5"/>
    <mergeCell ref="A6:F6"/>
    <mergeCell ref="A7:E7"/>
    <mergeCell ref="A9:D9"/>
    <mergeCell ref="A4:F4"/>
  </mergeCells>
  <printOptions horizontalCentered="1" verticalCentered="1"/>
  <pageMargins left="0.59055118110236227" right="0.59055118110236227" top="0.59055118110236227" bottom="0.59055118110236227" header="0.31496062992125984" footer="0.31496062992125984"/>
  <pageSetup paperSize="9" scale="47" orientation="landscape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Hoja19">
    <tabColor rgb="FF00B0F0"/>
    <pageSetUpPr fitToPage="1"/>
  </sheetPr>
  <dimension ref="A1:AG237"/>
  <sheetViews>
    <sheetView showGridLines="0" topLeftCell="A22" zoomScale="80" zoomScaleNormal="80" workbookViewId="0">
      <selection activeCell="F43" sqref="F43"/>
    </sheetView>
  </sheetViews>
  <sheetFormatPr baseColWidth="10" defaultRowHeight="89.25" customHeight="1"/>
  <cols>
    <col min="1" max="1" width="25.28515625" style="6" customWidth="1"/>
    <col min="2" max="2" width="27.7109375" style="6" customWidth="1"/>
    <col min="3" max="3" width="25.28515625" style="16" customWidth="1"/>
    <col min="4" max="4" width="26.28515625" style="17" customWidth="1"/>
    <col min="5" max="5" width="15.28515625" style="6" bestFit="1" customWidth="1"/>
    <col min="6" max="6" width="21.7109375" style="19" bestFit="1" customWidth="1"/>
    <col min="7" max="7" width="19.140625" style="5" bestFit="1" customWidth="1"/>
    <col min="8" max="8" width="20" style="5" bestFit="1" customWidth="1"/>
    <col min="9" max="10" width="18.7109375" style="5" customWidth="1"/>
    <col min="11" max="25" width="11.42578125" style="5"/>
    <col min="26" max="16384" width="11.42578125" style="6"/>
  </cols>
  <sheetData>
    <row r="1" spans="1:25" s="4" customFormat="1" ht="33.75" customHeight="1">
      <c r="A1" s="1339" t="s">
        <v>774</v>
      </c>
      <c r="B1" s="1339"/>
      <c r="C1" s="1339"/>
      <c r="D1" s="1339"/>
      <c r="E1" s="1339"/>
      <c r="F1" s="1339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spans="1:25" s="4" customFormat="1" ht="33.75" customHeight="1">
      <c r="A2" s="1339"/>
      <c r="B2" s="1339"/>
      <c r="C2" s="1339"/>
      <c r="D2" s="1339"/>
      <c r="E2" s="1339"/>
      <c r="F2" s="1339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 s="4" customFormat="1" ht="15.75">
      <c r="A3" s="1339"/>
      <c r="B3" s="1339"/>
      <c r="C3" s="1339"/>
      <c r="D3" s="1339"/>
      <c r="E3" s="1339"/>
      <c r="F3" s="1339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</row>
    <row r="4" spans="1:25" s="4" customFormat="1" ht="15.75">
      <c r="A4" s="1345" t="str">
        <f>+'Anexo 7 Villanueva'!A4:F4</f>
        <v>AL 31 DE JULIO DE 2023</v>
      </c>
      <c r="B4" s="1345"/>
      <c r="C4" s="1345"/>
      <c r="D4" s="1345"/>
      <c r="E4" s="1345"/>
      <c r="F4" s="1345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</row>
    <row r="5" spans="1:25" ht="30" customHeight="1">
      <c r="A5" s="1339" t="s">
        <v>205</v>
      </c>
      <c r="B5" s="1339"/>
      <c r="C5" s="1339"/>
      <c r="D5" s="1339"/>
      <c r="E5" s="1339"/>
      <c r="F5" s="1339"/>
    </row>
    <row r="6" spans="1:25" ht="30" customHeight="1" thickBot="1">
      <c r="A6" s="1339" t="s">
        <v>193</v>
      </c>
      <c r="B6" s="1339"/>
      <c r="C6" s="1339"/>
      <c r="D6" s="1339"/>
      <c r="E6" s="1339"/>
      <c r="F6" s="1339"/>
    </row>
    <row r="7" spans="1:25" ht="30" customHeight="1" thickBot="1">
      <c r="A7" s="1346" t="s">
        <v>1</v>
      </c>
      <c r="B7" s="1347"/>
      <c r="C7" s="1347"/>
      <c r="D7" s="1347"/>
      <c r="E7" s="1347"/>
      <c r="F7" s="7" t="s">
        <v>2</v>
      </c>
    </row>
    <row r="8" spans="1:25" ht="18.600000000000001" customHeight="1">
      <c r="A8" s="8"/>
      <c r="B8" s="9"/>
      <c r="C8" s="9"/>
      <c r="D8" s="9"/>
      <c r="E8" s="10"/>
      <c r="F8" s="11"/>
      <c r="I8" s="12"/>
      <c r="J8" s="12"/>
    </row>
    <row r="9" spans="1:25" ht="18.600000000000001" customHeight="1">
      <c r="A9" s="1342" t="str">
        <f>+'Anexo 7 Villanueva'!A9:D9</f>
        <v>TOTAL RENDIMIENTOS GENERADOS POR LOS RECURSOS DEL FONDO DE JULIO DE 2023</v>
      </c>
      <c r="B9" s="1343"/>
      <c r="C9" s="1343"/>
      <c r="D9" s="1343"/>
      <c r="E9" s="259"/>
      <c r="F9" s="260">
        <f>F43</f>
        <v>824413.6599999998</v>
      </c>
      <c r="I9" s="13"/>
      <c r="J9" s="12"/>
    </row>
    <row r="10" spans="1:25" ht="18.600000000000001" customHeight="1">
      <c r="A10" s="1333" t="s">
        <v>213</v>
      </c>
      <c r="B10" s="1334"/>
      <c r="C10" s="1334"/>
      <c r="D10" s="1334"/>
      <c r="E10" s="263">
        <v>7403.22</v>
      </c>
      <c r="F10" s="262"/>
    </row>
    <row r="11" spans="1:25" ht="18.600000000000001" customHeight="1">
      <c r="A11" s="1333" t="s">
        <v>212</v>
      </c>
      <c r="B11" s="1334"/>
      <c r="C11" s="1334"/>
      <c r="D11" s="1334"/>
      <c r="E11" s="263">
        <v>25500.62</v>
      </c>
      <c r="F11" s="262"/>
    </row>
    <row r="12" spans="1:25" ht="18.600000000000001" customHeight="1">
      <c r="A12" s="1333" t="s">
        <v>223</v>
      </c>
      <c r="B12" s="1334"/>
      <c r="C12" s="1334"/>
      <c r="D12" s="1334"/>
      <c r="E12" s="261">
        <v>23102.53</v>
      </c>
      <c r="F12" s="262"/>
    </row>
    <row r="13" spans="1:25" ht="18.600000000000001" customHeight="1">
      <c r="A13" s="1333" t="s">
        <v>231</v>
      </c>
      <c r="B13" s="1334"/>
      <c r="C13" s="1334"/>
      <c r="D13" s="1334"/>
      <c r="E13" s="261">
        <v>25504.76</v>
      </c>
      <c r="F13" s="262"/>
    </row>
    <row r="14" spans="1:25" ht="18.600000000000001" customHeight="1">
      <c r="A14" s="1333" t="s">
        <v>244</v>
      </c>
      <c r="B14" s="1334"/>
      <c r="C14" s="1334"/>
      <c r="D14" s="1334"/>
      <c r="E14" s="261">
        <v>24606.68</v>
      </c>
      <c r="F14" s="262"/>
    </row>
    <row r="15" spans="1:25" ht="18.600000000000001" customHeight="1">
      <c r="A15" s="1333" t="s">
        <v>272</v>
      </c>
      <c r="B15" s="1334"/>
      <c r="C15" s="1334"/>
      <c r="D15" s="1334"/>
      <c r="E15" s="261">
        <v>25509.02</v>
      </c>
      <c r="F15" s="262"/>
    </row>
    <row r="16" spans="1:25" ht="18.600000000000001" customHeight="1">
      <c r="A16" s="1333" t="s">
        <v>276</v>
      </c>
      <c r="B16" s="1334"/>
      <c r="C16" s="1334"/>
      <c r="D16" s="1334"/>
      <c r="E16" s="261">
        <v>24610.79</v>
      </c>
      <c r="F16" s="262"/>
    </row>
    <row r="17" spans="1:7" ht="18.600000000000001" customHeight="1">
      <c r="A17" s="1333" t="s">
        <v>294</v>
      </c>
      <c r="B17" s="1334"/>
      <c r="C17" s="1334"/>
      <c r="D17" s="1334"/>
      <c r="E17" s="261">
        <v>25513.279999999999</v>
      </c>
      <c r="F17" s="262"/>
    </row>
    <row r="18" spans="1:7" ht="18.600000000000001" customHeight="1">
      <c r="A18" s="1333" t="s">
        <v>307</v>
      </c>
      <c r="B18" s="1334"/>
      <c r="C18" s="1334"/>
      <c r="D18" s="1334"/>
      <c r="E18" s="261">
        <v>25515.439999999999</v>
      </c>
      <c r="F18" s="262"/>
    </row>
    <row r="19" spans="1:7" ht="18.600000000000001" customHeight="1">
      <c r="A19" s="1333" t="s">
        <v>365</v>
      </c>
      <c r="B19" s="1334"/>
      <c r="C19" s="1334"/>
      <c r="D19" s="1334"/>
      <c r="E19" s="261">
        <v>24616.99</v>
      </c>
      <c r="F19" s="262"/>
    </row>
    <row r="20" spans="1:7" ht="18.600000000000001" customHeight="1">
      <c r="A20" s="574" t="s">
        <v>427</v>
      </c>
      <c r="B20" s="575"/>
      <c r="C20" s="575"/>
      <c r="D20" s="575"/>
      <c r="E20" s="261">
        <v>25519.71</v>
      </c>
      <c r="F20" s="262"/>
    </row>
    <row r="21" spans="1:7" ht="18.600000000000001" customHeight="1">
      <c r="A21" s="651" t="s">
        <v>462</v>
      </c>
      <c r="B21" s="652"/>
      <c r="C21" s="652"/>
      <c r="D21" s="652"/>
      <c r="E21" s="261">
        <v>24621.1</v>
      </c>
      <c r="F21" s="262"/>
    </row>
    <row r="22" spans="1:7" ht="18.600000000000001" customHeight="1">
      <c r="A22" s="670" t="s">
        <v>494</v>
      </c>
      <c r="B22" s="671"/>
      <c r="C22" s="671"/>
      <c r="D22" s="671"/>
      <c r="E22" s="261">
        <f>19110.11+1</f>
        <v>19111.11</v>
      </c>
      <c r="F22" s="262"/>
      <c r="G22" s="5" t="str">
        <f>"+1"</f>
        <v>+1</v>
      </c>
    </row>
    <row r="23" spans="1:7" ht="18.600000000000001" customHeight="1">
      <c r="A23" s="689" t="s">
        <v>501</v>
      </c>
      <c r="B23" s="690"/>
      <c r="C23" s="690"/>
      <c r="D23" s="690"/>
      <c r="E23" s="261">
        <v>15060.88</v>
      </c>
      <c r="F23" s="262"/>
    </row>
    <row r="24" spans="1:7" ht="18.600000000000001" customHeight="1">
      <c r="A24" s="725" t="s">
        <v>515</v>
      </c>
      <c r="B24" s="726"/>
      <c r="C24" s="726"/>
      <c r="D24" s="726"/>
      <c r="E24" s="261">
        <v>13644.54</v>
      </c>
      <c r="F24" s="262"/>
    </row>
    <row r="25" spans="1:7" ht="18.600000000000001" customHeight="1">
      <c r="A25" s="743" t="s">
        <v>520</v>
      </c>
      <c r="B25" s="744"/>
      <c r="C25" s="744"/>
      <c r="D25" s="744"/>
      <c r="E25" s="261">
        <v>4358.42</v>
      </c>
      <c r="F25" s="262"/>
      <c r="G25" s="5" t="str">
        <f>"+1"</f>
        <v>+1</v>
      </c>
    </row>
    <row r="26" spans="1:7" ht="18.600000000000001" customHeight="1">
      <c r="A26" s="773" t="s">
        <v>537</v>
      </c>
      <c r="B26" s="774"/>
      <c r="C26" s="774"/>
      <c r="D26" s="774"/>
      <c r="E26" s="261">
        <f>1191.64-2</f>
        <v>1189.6400000000001</v>
      </c>
      <c r="F26" s="262"/>
      <c r="G26" s="785" t="str">
        <f>"-2"</f>
        <v>-2</v>
      </c>
    </row>
    <row r="27" spans="1:7" ht="18.600000000000001" customHeight="1">
      <c r="A27" s="793" t="s">
        <v>567</v>
      </c>
      <c r="B27" s="794"/>
      <c r="C27" s="794"/>
      <c r="D27" s="794"/>
      <c r="E27" s="261">
        <v>1235.33</v>
      </c>
      <c r="F27" s="262"/>
      <c r="G27" s="785"/>
    </row>
    <row r="28" spans="1:7" ht="18.600000000000001" customHeight="1">
      <c r="A28" s="811" t="s">
        <v>577</v>
      </c>
      <c r="B28" s="812"/>
      <c r="C28" s="812"/>
      <c r="D28" s="812"/>
      <c r="E28" s="261">
        <v>1191.8399999999999</v>
      </c>
      <c r="F28" s="262"/>
      <c r="G28" s="785"/>
    </row>
    <row r="29" spans="1:7" ht="18.600000000000001" customHeight="1">
      <c r="A29" s="874" t="s">
        <v>625</v>
      </c>
      <c r="B29" s="875"/>
      <c r="C29" s="875"/>
      <c r="D29" s="875"/>
      <c r="E29" s="261">
        <v>1235.54</v>
      </c>
      <c r="F29" s="262"/>
      <c r="G29" s="785"/>
    </row>
    <row r="30" spans="1:7" ht="18.600000000000001" customHeight="1">
      <c r="A30" s="895" t="s">
        <v>720</v>
      </c>
      <c r="B30" s="896"/>
      <c r="C30" s="896"/>
      <c r="D30" s="896"/>
      <c r="E30" s="261">
        <v>1235.6500000000001</v>
      </c>
      <c r="F30" s="262"/>
      <c r="G30" s="785"/>
    </row>
    <row r="31" spans="1:7" ht="18.600000000000001" customHeight="1">
      <c r="A31" s="904" t="s">
        <v>647</v>
      </c>
      <c r="B31" s="905"/>
      <c r="C31" s="905"/>
      <c r="D31" s="905"/>
      <c r="E31" s="261">
        <v>1192.1400000000001</v>
      </c>
      <c r="F31" s="262"/>
      <c r="G31" s="785"/>
    </row>
    <row r="32" spans="1:7" ht="18.600000000000001" customHeight="1">
      <c r="A32" s="924" t="s">
        <v>655</v>
      </c>
      <c r="B32" s="925"/>
      <c r="C32" s="925"/>
      <c r="D32" s="925"/>
      <c r="E32" s="261">
        <v>1235.8499999999999</v>
      </c>
      <c r="F32" s="262"/>
      <c r="G32" s="785"/>
    </row>
    <row r="33" spans="1:33" ht="18.600000000000001" customHeight="1">
      <c r="A33" s="948" t="s">
        <v>665</v>
      </c>
      <c r="B33" s="949"/>
      <c r="C33" s="949"/>
      <c r="D33" s="949"/>
      <c r="E33" s="261">
        <v>1192.33</v>
      </c>
      <c r="F33" s="262"/>
      <c r="G33" s="785"/>
    </row>
    <row r="34" spans="1:33" ht="18.600000000000001" customHeight="1">
      <c r="A34" s="966" t="s">
        <v>677</v>
      </c>
      <c r="B34" s="967"/>
      <c r="C34" s="967"/>
      <c r="D34" s="967"/>
      <c r="E34" s="261">
        <v>1236.06</v>
      </c>
      <c r="F34" s="262"/>
      <c r="G34" s="785"/>
    </row>
    <row r="35" spans="1:33" ht="18.600000000000001" customHeight="1">
      <c r="A35" s="989" t="s">
        <v>687</v>
      </c>
      <c r="B35" s="990"/>
      <c r="C35" s="990"/>
      <c r="D35" s="990"/>
      <c r="E35" s="261">
        <v>1236.1600000000001</v>
      </c>
      <c r="F35" s="262"/>
      <c r="G35" s="785"/>
    </row>
    <row r="36" spans="1:33" ht="18.600000000000001" customHeight="1">
      <c r="A36" s="1011" t="s">
        <v>720</v>
      </c>
      <c r="B36" s="1012"/>
      <c r="C36" s="1012"/>
      <c r="D36" s="1012"/>
      <c r="E36" s="261">
        <v>1119.9100000000001</v>
      </c>
      <c r="F36" s="262"/>
      <c r="G36" s="785"/>
    </row>
    <row r="37" spans="1:33" ht="18.600000000000001" customHeight="1">
      <c r="A37" s="1032" t="s">
        <v>729</v>
      </c>
      <c r="B37" s="1033"/>
      <c r="C37" s="1033"/>
      <c r="D37" s="1033"/>
      <c r="E37" s="261">
        <v>95389.47</v>
      </c>
      <c r="F37" s="262"/>
      <c r="G37" s="785"/>
    </row>
    <row r="38" spans="1:33" ht="18.600000000000001" customHeight="1">
      <c r="A38" s="1069" t="s">
        <v>748</v>
      </c>
      <c r="B38" s="1070"/>
      <c r="C38" s="1070"/>
      <c r="D38" s="1070"/>
      <c r="E38" s="261">
        <v>92911.16</v>
      </c>
      <c r="F38" s="262"/>
      <c r="G38" s="785"/>
    </row>
    <row r="39" spans="1:33" ht="18.600000000000001" customHeight="1">
      <c r="A39" s="1090" t="str">
        <f>+'Anexo 7 Villanueva'!A39</f>
        <v>Rendimientos financieros AL 31 DE MAYO DE 2023</v>
      </c>
      <c r="B39" s="1091"/>
      <c r="C39" s="1091"/>
      <c r="D39" s="1091"/>
      <c r="E39" s="261">
        <v>96624.34</v>
      </c>
      <c r="F39" s="262"/>
      <c r="G39" s="785">
        <f>+SUM(E10:E39)</f>
        <v>632424.50999999989</v>
      </c>
    </row>
    <row r="40" spans="1:33" ht="18.600000000000001" customHeight="1">
      <c r="A40" s="1100" t="str">
        <f>+'Anexo 7 Villanueva'!A40</f>
        <v>Rendimientos financieros AL 30 DE JUNIO DE 2023</v>
      </c>
      <c r="B40" s="1101"/>
      <c r="C40" s="1101"/>
      <c r="D40" s="1101"/>
      <c r="E40" s="261">
        <v>94113.95</v>
      </c>
      <c r="F40" s="262"/>
      <c r="G40" s="785"/>
    </row>
    <row r="41" spans="1:33" ht="18.600000000000001" customHeight="1">
      <c r="A41" s="1128" t="str">
        <f>+'Anexo 7 Villanueva'!A41</f>
        <v>Rendimientos financieros AL 31 DE JULIO DE 2023</v>
      </c>
      <c r="B41" s="1129"/>
      <c r="C41" s="1129"/>
      <c r="D41" s="1129"/>
      <c r="E41" s="261">
        <v>97875.199999999997</v>
      </c>
      <c r="F41" s="262"/>
      <c r="G41" s="785"/>
    </row>
    <row r="42" spans="1:33" s="5" customFormat="1" ht="18.600000000000001" customHeight="1">
      <c r="A42" s="226"/>
      <c r="B42" s="227"/>
      <c r="C42" s="227"/>
      <c r="D42" s="227"/>
      <c r="E42" s="263"/>
      <c r="F42" s="264"/>
      <c r="G42" s="776" t="s">
        <v>535</v>
      </c>
      <c r="H42" s="775" t="s">
        <v>536</v>
      </c>
      <c r="I42" s="775" t="s">
        <v>516</v>
      </c>
      <c r="J42" s="742" t="s">
        <v>65</v>
      </c>
      <c r="Z42" s="6"/>
      <c r="AA42" s="6"/>
      <c r="AB42" s="6"/>
      <c r="AC42" s="6"/>
      <c r="AD42" s="6"/>
      <c r="AE42" s="6"/>
      <c r="AF42" s="6"/>
      <c r="AG42" s="6"/>
    </row>
    <row r="43" spans="1:33" s="5" customFormat="1" ht="24.75" customHeight="1" thickBot="1">
      <c r="A43" s="14" t="str">
        <f>+'Anexo 7 Villanueva'!A43</f>
        <v>TOTAL RENDIMIENTOS DISPONIBLES AL 31 DE JULIO DE 2023</v>
      </c>
      <c r="B43" s="15"/>
      <c r="C43" s="15"/>
      <c r="D43" s="15"/>
      <c r="E43" s="265"/>
      <c r="F43" s="266">
        <f>SUM(E9:E42)</f>
        <v>824413.6599999998</v>
      </c>
      <c r="G43" s="5">
        <f>+F43+'Anexo 3-Porcion C-NC'!B21</f>
        <v>15022424.66</v>
      </c>
      <c r="H43" s="741">
        <f>+G43-F43</f>
        <v>14198011</v>
      </c>
      <c r="I43" s="5">
        <f>-'Anexo 3-Porcion C-NC'!B21</f>
        <v>-14198011</v>
      </c>
      <c r="J43" s="5">
        <f>+H43+I43</f>
        <v>0</v>
      </c>
      <c r="Z43" s="6"/>
      <c r="AA43" s="6"/>
      <c r="AB43" s="6"/>
      <c r="AC43" s="6"/>
      <c r="AD43" s="6"/>
      <c r="AE43" s="6"/>
      <c r="AF43" s="6"/>
      <c r="AG43" s="6"/>
    </row>
    <row r="44" spans="1:33" s="20" customFormat="1" ht="15.75">
      <c r="A44" s="6"/>
      <c r="B44" s="6"/>
      <c r="C44" s="16"/>
      <c r="D44" s="17"/>
      <c r="E44" s="18"/>
      <c r="F44" s="19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</row>
    <row r="45" spans="1:33" s="20" customFormat="1" ht="15.75">
      <c r="A45" s="6"/>
      <c r="B45" s="6"/>
      <c r="C45" s="16"/>
      <c r="D45" s="17"/>
      <c r="E45" s="21"/>
      <c r="F45" s="19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</row>
    <row r="46" spans="1:33" s="20" customFormat="1" ht="15.75">
      <c r="A46" s="6"/>
      <c r="B46" s="6"/>
      <c r="C46" s="16"/>
      <c r="D46" s="17"/>
      <c r="E46" s="22"/>
      <c r="F46" s="19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</row>
    <row r="47" spans="1:33" s="20" customFormat="1" ht="15.75">
      <c r="A47" s="6"/>
      <c r="B47" s="6"/>
      <c r="C47" s="16"/>
      <c r="D47" s="17"/>
      <c r="E47" s="22"/>
      <c r="F47" s="19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</row>
    <row r="48" spans="1:33" s="5" customFormat="1" ht="16.5" thickBot="1">
      <c r="A48" s="23"/>
      <c r="B48" s="24"/>
      <c r="C48" s="25"/>
      <c r="D48" s="131"/>
      <c r="E48" s="132"/>
      <c r="F48" s="133"/>
    </row>
    <row r="49" spans="1:25" s="5" customFormat="1" ht="15" customHeight="1">
      <c r="A49" s="1336" t="s">
        <v>135</v>
      </c>
      <c r="B49" s="1336"/>
      <c r="C49" s="1"/>
      <c r="D49" s="1336" t="s">
        <v>517</v>
      </c>
      <c r="E49" s="1336"/>
      <c r="F49" s="224"/>
    </row>
    <row r="50" spans="1:25" s="5" customFormat="1" ht="14.45" customHeight="1">
      <c r="A50" s="1332" t="s">
        <v>145</v>
      </c>
      <c r="B50" s="1332"/>
      <c r="C50" s="2"/>
      <c r="D50" s="1332" t="s">
        <v>519</v>
      </c>
      <c r="E50" s="1332"/>
      <c r="F50" s="225"/>
    </row>
    <row r="51" spans="1:25" s="5" customFormat="1" ht="15.75" customHeight="1">
      <c r="A51" s="1332" t="s">
        <v>48</v>
      </c>
      <c r="B51" s="1332"/>
      <c r="C51" s="2"/>
      <c r="D51" s="1332" t="s">
        <v>48</v>
      </c>
      <c r="E51" s="1332"/>
      <c r="F51" s="225"/>
    </row>
    <row r="52" spans="1:25" s="20" customFormat="1" ht="15.75" customHeight="1">
      <c r="A52" s="6"/>
      <c r="B52" s="6"/>
      <c r="C52" s="16"/>
      <c r="D52" s="1335" t="s">
        <v>518</v>
      </c>
      <c r="E52" s="1335"/>
      <c r="F52" s="22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</row>
    <row r="53" spans="1:25" s="20" customFormat="1" ht="15.75">
      <c r="A53" s="6"/>
      <c r="B53" s="6"/>
      <c r="C53" s="16"/>
      <c r="D53" s="17"/>
      <c r="E53" s="22"/>
      <c r="F53" s="19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</row>
    <row r="54" spans="1:25" s="20" customFormat="1" ht="15.75">
      <c r="A54" s="6"/>
      <c r="B54" s="6"/>
      <c r="C54" s="16"/>
      <c r="D54" s="17"/>
      <c r="E54" s="22"/>
      <c r="F54" s="19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</row>
    <row r="55" spans="1:25" s="20" customFormat="1" ht="15.75">
      <c r="A55" s="27"/>
      <c r="B55" s="27"/>
      <c r="C55" s="27"/>
      <c r="D55" s="27"/>
      <c r="E55" s="27"/>
      <c r="F55" s="19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</row>
    <row r="56" spans="1:25" s="5" customFormat="1" ht="15.75">
      <c r="A56" s="27"/>
      <c r="B56" s="27"/>
      <c r="C56" s="27"/>
      <c r="D56" s="27"/>
      <c r="E56" s="27"/>
      <c r="F56" s="26"/>
    </row>
    <row r="57" spans="1:25" s="5" customFormat="1" ht="15" customHeight="1">
      <c r="A57" s="27"/>
      <c r="B57" s="27"/>
      <c r="C57" s="27"/>
      <c r="D57" s="27"/>
      <c r="E57" s="27"/>
      <c r="F57" s="26"/>
    </row>
    <row r="58" spans="1:25" s="5" customFormat="1" ht="14.45" customHeight="1">
      <c r="A58" s="27"/>
      <c r="B58" s="27"/>
      <c r="C58" s="27"/>
      <c r="D58" s="27"/>
      <c r="E58" s="27"/>
      <c r="F58" s="26"/>
    </row>
    <row r="59" spans="1:25" s="5" customFormat="1" ht="14.45" customHeight="1">
      <c r="A59" s="27"/>
      <c r="B59" s="27"/>
      <c r="C59" s="27"/>
      <c r="D59" s="27"/>
      <c r="E59" s="27"/>
      <c r="F59" s="26"/>
    </row>
    <row r="60" spans="1:25" s="20" customFormat="1" ht="15.75">
      <c r="A60" s="27"/>
      <c r="B60" s="27"/>
      <c r="C60" s="27"/>
      <c r="D60" s="27"/>
      <c r="E60" s="27"/>
      <c r="F60" s="19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</row>
    <row r="61" spans="1:25" s="20" customFormat="1" ht="15.75">
      <c r="A61" s="6"/>
      <c r="B61" s="6"/>
      <c r="C61" s="16"/>
      <c r="D61" s="17"/>
      <c r="E61" s="6"/>
      <c r="F61" s="19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</row>
    <row r="62" spans="1:25" s="20" customFormat="1" ht="15.75">
      <c r="A62" s="6"/>
      <c r="B62" s="6"/>
      <c r="C62" s="16"/>
      <c r="D62" s="17"/>
      <c r="E62" s="6"/>
      <c r="F62" s="19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</row>
    <row r="63" spans="1:25" s="20" customFormat="1" ht="15.75">
      <c r="A63" s="6"/>
      <c r="B63" s="6"/>
      <c r="C63" s="16"/>
      <c r="D63" s="17"/>
      <c r="E63" s="6"/>
      <c r="F63" s="19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</row>
    <row r="64" spans="1:25" s="20" customFormat="1" ht="15.75">
      <c r="A64" s="6"/>
      <c r="B64" s="6"/>
      <c r="C64" s="16"/>
      <c r="D64" s="17"/>
      <c r="E64" s="6"/>
      <c r="F64" s="19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</row>
    <row r="65" spans="1:25" s="20" customFormat="1" ht="15.75">
      <c r="A65" s="6"/>
      <c r="B65" s="6"/>
      <c r="C65" s="16"/>
      <c r="D65" s="17"/>
      <c r="E65" s="6"/>
      <c r="F65" s="19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</row>
    <row r="66" spans="1:25" s="20" customFormat="1" ht="15.75">
      <c r="A66" s="6"/>
      <c r="B66" s="6"/>
      <c r="C66" s="16"/>
      <c r="D66" s="17"/>
      <c r="E66" s="6"/>
      <c r="F66" s="19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</row>
    <row r="67" spans="1:25" s="20" customFormat="1" ht="15.75">
      <c r="A67" s="6"/>
      <c r="B67" s="6"/>
      <c r="C67" s="16"/>
      <c r="D67" s="17"/>
      <c r="E67" s="6"/>
      <c r="F67" s="19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</row>
    <row r="68" spans="1:25" s="20" customFormat="1" ht="15.75">
      <c r="A68" s="6"/>
      <c r="B68" s="6"/>
      <c r="C68" s="16"/>
      <c r="D68" s="17"/>
      <c r="E68" s="6"/>
      <c r="F68" s="19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</row>
    <row r="69" spans="1:25" s="20" customFormat="1" ht="15.75">
      <c r="A69" s="6"/>
      <c r="B69" s="6"/>
      <c r="C69" s="16"/>
      <c r="D69" s="17"/>
      <c r="E69" s="6"/>
      <c r="F69" s="19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</row>
    <row r="70" spans="1:25" s="20" customFormat="1" ht="15.75">
      <c r="A70" s="6"/>
      <c r="B70" s="6"/>
      <c r="C70" s="16"/>
      <c r="D70" s="17"/>
      <c r="E70" s="6"/>
      <c r="F70" s="19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</row>
    <row r="71" spans="1:25" s="20" customFormat="1" ht="15.75">
      <c r="A71" s="6"/>
      <c r="B71" s="6"/>
      <c r="C71" s="16"/>
      <c r="D71" s="17"/>
      <c r="E71" s="6"/>
      <c r="F71" s="19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</row>
    <row r="72" spans="1:25" s="20" customFormat="1" ht="15.75">
      <c r="A72" s="6"/>
      <c r="B72" s="6"/>
      <c r="C72" s="16"/>
      <c r="D72" s="17"/>
      <c r="E72" s="6"/>
      <c r="F72" s="19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</row>
    <row r="73" spans="1:25" s="20" customFormat="1" ht="15.75">
      <c r="A73" s="6"/>
      <c r="B73" s="6"/>
      <c r="C73" s="16"/>
      <c r="D73" s="17"/>
      <c r="E73" s="6"/>
      <c r="F73" s="19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</row>
    <row r="74" spans="1:25" s="20" customFormat="1" ht="15.75">
      <c r="A74" s="6"/>
      <c r="B74" s="6"/>
      <c r="C74" s="16"/>
      <c r="D74" s="17"/>
      <c r="E74" s="6"/>
      <c r="F74" s="19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</row>
    <row r="75" spans="1:25" s="20" customFormat="1" ht="15.75">
      <c r="A75" s="6"/>
      <c r="B75" s="6"/>
      <c r="C75" s="16"/>
      <c r="D75" s="17"/>
      <c r="E75" s="6"/>
      <c r="F75" s="19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</row>
    <row r="76" spans="1:25" s="20" customFormat="1" ht="15.75">
      <c r="A76" s="6"/>
      <c r="B76" s="6"/>
      <c r="C76" s="16"/>
      <c r="D76" s="17"/>
      <c r="E76" s="6"/>
      <c r="F76" s="19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</row>
    <row r="77" spans="1:25" s="20" customFormat="1" ht="15.75">
      <c r="A77" s="6"/>
      <c r="B77" s="6"/>
      <c r="C77" s="16"/>
      <c r="D77" s="17"/>
      <c r="E77" s="6"/>
      <c r="F77" s="19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</row>
    <row r="78" spans="1:25" s="20" customFormat="1" ht="15.75">
      <c r="A78" s="6"/>
      <c r="B78" s="6"/>
      <c r="C78" s="16"/>
      <c r="D78" s="17"/>
      <c r="E78" s="6"/>
      <c r="F78" s="19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</row>
    <row r="79" spans="1:25" s="20" customFormat="1" ht="15.75">
      <c r="A79" s="6"/>
      <c r="B79" s="6"/>
      <c r="C79" s="16"/>
      <c r="D79" s="17"/>
      <c r="E79" s="6"/>
      <c r="F79" s="19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</row>
    <row r="80" spans="1:25" s="20" customFormat="1" ht="89.25" customHeight="1">
      <c r="A80" s="6"/>
      <c r="B80" s="6"/>
      <c r="C80" s="16"/>
      <c r="D80" s="17"/>
      <c r="E80" s="6"/>
      <c r="F80" s="19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</row>
    <row r="81" spans="1:25" s="20" customFormat="1" ht="89.25" customHeight="1">
      <c r="A81" s="6"/>
      <c r="B81" s="6"/>
      <c r="C81" s="16"/>
      <c r="D81" s="17"/>
      <c r="E81" s="6"/>
      <c r="F81" s="19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</row>
    <row r="82" spans="1:25" s="20" customFormat="1" ht="89.25" customHeight="1">
      <c r="A82" s="6"/>
      <c r="B82" s="6"/>
      <c r="C82" s="16"/>
      <c r="D82" s="17"/>
      <c r="E82" s="6"/>
      <c r="F82" s="19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</row>
    <row r="83" spans="1:25" s="20" customFormat="1" ht="89.25" customHeight="1">
      <c r="A83" s="6"/>
      <c r="B83" s="6"/>
      <c r="C83" s="16"/>
      <c r="D83" s="17"/>
      <c r="E83" s="6"/>
      <c r="F83" s="19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</row>
    <row r="84" spans="1:25" s="20" customFormat="1" ht="89.25" customHeight="1">
      <c r="A84" s="6"/>
      <c r="B84" s="6"/>
      <c r="C84" s="16"/>
      <c r="D84" s="17"/>
      <c r="E84" s="6"/>
      <c r="F84" s="19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</row>
    <row r="85" spans="1:25" s="20" customFormat="1" ht="89.25" customHeight="1">
      <c r="A85" s="6"/>
      <c r="B85" s="6"/>
      <c r="C85" s="16"/>
      <c r="D85" s="17"/>
      <c r="E85" s="6"/>
      <c r="F85" s="19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</row>
    <row r="86" spans="1:25" s="20" customFormat="1" ht="89.25" customHeight="1">
      <c r="A86" s="6"/>
      <c r="B86" s="6"/>
      <c r="C86" s="16"/>
      <c r="D86" s="17"/>
      <c r="E86" s="6"/>
      <c r="F86" s="19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</row>
    <row r="87" spans="1:25" s="20" customFormat="1" ht="89.25" customHeight="1">
      <c r="A87" s="6"/>
      <c r="B87" s="6"/>
      <c r="C87" s="16"/>
      <c r="D87" s="17"/>
      <c r="E87" s="6"/>
      <c r="F87" s="19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</row>
    <row r="88" spans="1:25" s="20" customFormat="1" ht="89.25" customHeight="1">
      <c r="A88" s="6"/>
      <c r="B88" s="6"/>
      <c r="C88" s="16"/>
      <c r="D88" s="17"/>
      <c r="E88" s="6"/>
      <c r="F88" s="19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</row>
    <row r="89" spans="1:25" s="20" customFormat="1" ht="89.25" customHeight="1">
      <c r="A89" s="6"/>
      <c r="B89" s="6"/>
      <c r="C89" s="16"/>
      <c r="D89" s="17"/>
      <c r="E89" s="6"/>
      <c r="F89" s="19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</row>
    <row r="90" spans="1:25" s="20" customFormat="1" ht="89.25" customHeight="1">
      <c r="A90" s="6"/>
      <c r="B90" s="6"/>
      <c r="C90" s="16"/>
      <c r="D90" s="17"/>
      <c r="E90" s="6"/>
      <c r="F90" s="19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</row>
    <row r="91" spans="1:25" s="20" customFormat="1" ht="89.25" customHeight="1">
      <c r="A91" s="6"/>
      <c r="B91" s="6"/>
      <c r="C91" s="16"/>
      <c r="D91" s="17"/>
      <c r="E91" s="6"/>
      <c r="F91" s="19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</row>
    <row r="92" spans="1:25" s="20" customFormat="1" ht="89.25" customHeight="1">
      <c r="A92" s="6"/>
      <c r="B92" s="6"/>
      <c r="C92" s="16"/>
      <c r="D92" s="17"/>
      <c r="E92" s="6"/>
      <c r="F92" s="19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</row>
    <row r="93" spans="1:25" s="20" customFormat="1" ht="89.25" customHeight="1">
      <c r="A93" s="6"/>
      <c r="B93" s="6"/>
      <c r="C93" s="16"/>
      <c r="D93" s="17"/>
      <c r="E93" s="6"/>
      <c r="F93" s="19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</row>
    <row r="94" spans="1:25" s="20" customFormat="1" ht="89.25" customHeight="1">
      <c r="A94" s="6"/>
      <c r="B94" s="6"/>
      <c r="C94" s="16"/>
      <c r="D94" s="17"/>
      <c r="E94" s="6"/>
      <c r="F94" s="19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</row>
    <row r="95" spans="1:25" s="20" customFormat="1" ht="89.25" customHeight="1">
      <c r="A95" s="6"/>
      <c r="B95" s="6"/>
      <c r="C95" s="16"/>
      <c r="D95" s="17"/>
      <c r="E95" s="6"/>
      <c r="F95" s="19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</row>
    <row r="96" spans="1:25" s="20" customFormat="1" ht="89.25" customHeight="1">
      <c r="A96" s="6"/>
      <c r="B96" s="6"/>
      <c r="C96" s="16"/>
      <c r="D96" s="17"/>
      <c r="E96" s="6"/>
      <c r="F96" s="19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</row>
    <row r="97" spans="1:25" s="20" customFormat="1" ht="89.25" customHeight="1">
      <c r="A97" s="6"/>
      <c r="B97" s="6"/>
      <c r="C97" s="16"/>
      <c r="D97" s="17"/>
      <c r="E97" s="6"/>
      <c r="F97" s="19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</row>
    <row r="98" spans="1:25" s="20" customFormat="1" ht="89.25" customHeight="1">
      <c r="A98" s="6"/>
      <c r="B98" s="6"/>
      <c r="C98" s="16"/>
      <c r="D98" s="17"/>
      <c r="E98" s="6"/>
      <c r="F98" s="19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</row>
    <row r="99" spans="1:25" s="20" customFormat="1" ht="89.25" customHeight="1">
      <c r="A99" s="6"/>
      <c r="B99" s="6"/>
      <c r="C99" s="16"/>
      <c r="D99" s="17"/>
      <c r="E99" s="6"/>
      <c r="F99" s="19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</row>
    <row r="100" spans="1:25" s="20" customFormat="1" ht="89.25" customHeight="1">
      <c r="A100" s="6"/>
      <c r="B100" s="6"/>
      <c r="C100" s="16"/>
      <c r="D100" s="17"/>
      <c r="E100" s="6"/>
      <c r="F100" s="19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</row>
    <row r="101" spans="1:25" s="20" customFormat="1" ht="89.25" customHeight="1">
      <c r="A101" s="6"/>
      <c r="B101" s="6"/>
      <c r="C101" s="16"/>
      <c r="D101" s="17"/>
      <c r="E101" s="6"/>
      <c r="F101" s="19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</row>
    <row r="102" spans="1:25" s="20" customFormat="1" ht="89.25" customHeight="1">
      <c r="A102" s="6"/>
      <c r="B102" s="6"/>
      <c r="C102" s="16"/>
      <c r="D102" s="17"/>
      <c r="E102" s="6"/>
      <c r="F102" s="19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</row>
    <row r="103" spans="1:25" s="20" customFormat="1" ht="89.25" customHeight="1">
      <c r="A103" s="6"/>
      <c r="B103" s="6"/>
      <c r="C103" s="16"/>
      <c r="D103" s="17"/>
      <c r="E103" s="6"/>
      <c r="F103" s="19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</row>
    <row r="104" spans="1:25" s="20" customFormat="1" ht="89.25" customHeight="1">
      <c r="A104" s="6"/>
      <c r="B104" s="6"/>
      <c r="C104" s="16"/>
      <c r="D104" s="17"/>
      <c r="E104" s="6"/>
      <c r="F104" s="19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</row>
    <row r="105" spans="1:25" s="20" customFormat="1" ht="89.25" customHeight="1">
      <c r="A105" s="6"/>
      <c r="B105" s="6"/>
      <c r="C105" s="16"/>
      <c r="D105" s="17"/>
      <c r="E105" s="6"/>
      <c r="F105" s="19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</row>
    <row r="106" spans="1:25" s="20" customFormat="1" ht="89.25" customHeight="1">
      <c r="A106" s="6"/>
      <c r="B106" s="6"/>
      <c r="C106" s="16"/>
      <c r="D106" s="17"/>
      <c r="E106" s="6"/>
      <c r="F106" s="19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</row>
    <row r="107" spans="1:25" s="20" customFormat="1" ht="89.25" customHeight="1">
      <c r="A107" s="6"/>
      <c r="B107" s="6"/>
      <c r="C107" s="16"/>
      <c r="D107" s="17"/>
      <c r="E107" s="6"/>
      <c r="F107" s="19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</row>
    <row r="108" spans="1:25" s="20" customFormat="1" ht="89.25" customHeight="1">
      <c r="A108" s="6"/>
      <c r="B108" s="6"/>
      <c r="C108" s="16"/>
      <c r="D108" s="17"/>
      <c r="E108" s="6"/>
      <c r="F108" s="19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</row>
    <row r="109" spans="1:25" s="20" customFormat="1" ht="89.25" customHeight="1">
      <c r="A109" s="6"/>
      <c r="B109" s="6"/>
      <c r="C109" s="16"/>
      <c r="D109" s="17"/>
      <c r="E109" s="6"/>
      <c r="F109" s="19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</row>
    <row r="110" spans="1:25" s="20" customFormat="1" ht="89.25" customHeight="1">
      <c r="A110" s="6"/>
      <c r="B110" s="6"/>
      <c r="C110" s="16"/>
      <c r="D110" s="17"/>
      <c r="E110" s="6"/>
      <c r="F110" s="19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</row>
    <row r="111" spans="1:25" s="20" customFormat="1" ht="89.25" customHeight="1">
      <c r="A111" s="6"/>
      <c r="B111" s="6"/>
      <c r="C111" s="16"/>
      <c r="D111" s="17"/>
      <c r="E111" s="6"/>
      <c r="F111" s="19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</row>
    <row r="112" spans="1:25" s="20" customFormat="1" ht="89.25" customHeight="1">
      <c r="A112" s="6"/>
      <c r="B112" s="6"/>
      <c r="C112" s="16"/>
      <c r="D112" s="17"/>
      <c r="E112" s="6"/>
      <c r="F112" s="19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</row>
    <row r="113" spans="1:25" s="20" customFormat="1" ht="89.25" customHeight="1">
      <c r="A113" s="6"/>
      <c r="B113" s="6"/>
      <c r="C113" s="16"/>
      <c r="D113" s="17"/>
      <c r="E113" s="6"/>
      <c r="F113" s="19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</row>
    <row r="114" spans="1:25" s="20" customFormat="1" ht="89.25" customHeight="1">
      <c r="A114" s="6"/>
      <c r="B114" s="6"/>
      <c r="C114" s="16"/>
      <c r="D114" s="17"/>
      <c r="E114" s="6"/>
      <c r="F114" s="19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</row>
    <row r="115" spans="1:25" s="20" customFormat="1" ht="89.25" customHeight="1">
      <c r="A115" s="6"/>
      <c r="B115" s="6"/>
      <c r="C115" s="16"/>
      <c r="D115" s="17"/>
      <c r="E115" s="6"/>
      <c r="F115" s="19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</row>
    <row r="116" spans="1:25" s="20" customFormat="1" ht="89.25" customHeight="1">
      <c r="A116" s="6"/>
      <c r="B116" s="6"/>
      <c r="C116" s="16"/>
      <c r="D116" s="17"/>
      <c r="E116" s="6"/>
      <c r="F116" s="19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</row>
    <row r="117" spans="1:25" s="20" customFormat="1" ht="89.25" customHeight="1">
      <c r="A117" s="6"/>
      <c r="B117" s="6"/>
      <c r="C117" s="16"/>
      <c r="D117" s="17"/>
      <c r="E117" s="6"/>
      <c r="F117" s="19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</row>
    <row r="118" spans="1:25" s="20" customFormat="1" ht="89.25" customHeight="1">
      <c r="A118" s="6"/>
      <c r="B118" s="6"/>
      <c r="C118" s="16"/>
      <c r="D118" s="17"/>
      <c r="E118" s="6"/>
      <c r="F118" s="19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</row>
    <row r="119" spans="1:25" s="20" customFormat="1" ht="89.25" customHeight="1">
      <c r="A119" s="6"/>
      <c r="B119" s="6"/>
      <c r="C119" s="16"/>
      <c r="D119" s="17"/>
      <c r="E119" s="6"/>
      <c r="F119" s="19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</row>
    <row r="120" spans="1:25" s="20" customFormat="1" ht="89.25" customHeight="1">
      <c r="A120" s="6"/>
      <c r="B120" s="6"/>
      <c r="C120" s="16"/>
      <c r="D120" s="17"/>
      <c r="E120" s="6"/>
      <c r="F120" s="19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</row>
    <row r="121" spans="1:25" s="20" customFormat="1" ht="89.25" customHeight="1">
      <c r="A121" s="6"/>
      <c r="B121" s="6"/>
      <c r="C121" s="16"/>
      <c r="D121" s="17"/>
      <c r="E121" s="6"/>
      <c r="F121" s="19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</row>
    <row r="122" spans="1:25" s="20" customFormat="1" ht="89.25" customHeight="1">
      <c r="A122" s="6"/>
      <c r="B122" s="6"/>
      <c r="C122" s="16"/>
      <c r="D122" s="17"/>
      <c r="E122" s="6"/>
      <c r="F122" s="19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</row>
    <row r="123" spans="1:25" s="20" customFormat="1" ht="89.25" customHeight="1">
      <c r="A123" s="6"/>
      <c r="B123" s="6"/>
      <c r="C123" s="16"/>
      <c r="D123" s="17"/>
      <c r="E123" s="6"/>
      <c r="F123" s="19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</row>
    <row r="124" spans="1:25" s="20" customFormat="1" ht="89.25" customHeight="1">
      <c r="A124" s="6"/>
      <c r="B124" s="6"/>
      <c r="C124" s="16"/>
      <c r="D124" s="17"/>
      <c r="E124" s="6"/>
      <c r="F124" s="19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</row>
    <row r="125" spans="1:25" s="20" customFormat="1" ht="89.25" customHeight="1">
      <c r="A125" s="6"/>
      <c r="B125" s="6"/>
      <c r="C125" s="16"/>
      <c r="D125" s="17"/>
      <c r="E125" s="6"/>
      <c r="F125" s="19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</row>
    <row r="126" spans="1:25" s="20" customFormat="1" ht="89.25" customHeight="1">
      <c r="A126" s="6"/>
      <c r="B126" s="6"/>
      <c r="C126" s="16"/>
      <c r="D126" s="17"/>
      <c r="E126" s="6"/>
      <c r="F126" s="19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</row>
    <row r="127" spans="1:25" s="20" customFormat="1" ht="89.25" customHeight="1">
      <c r="A127" s="6"/>
      <c r="B127" s="6"/>
      <c r="C127" s="16"/>
      <c r="D127" s="17"/>
      <c r="E127" s="6"/>
      <c r="F127" s="19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</row>
    <row r="128" spans="1:25" s="20" customFormat="1" ht="89.25" customHeight="1">
      <c r="A128" s="6"/>
      <c r="B128" s="6"/>
      <c r="C128" s="16"/>
      <c r="D128" s="17"/>
      <c r="E128" s="6"/>
      <c r="F128" s="19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</row>
    <row r="129" spans="1:25" s="20" customFormat="1" ht="89.25" customHeight="1">
      <c r="A129" s="6"/>
      <c r="B129" s="6"/>
      <c r="C129" s="16"/>
      <c r="D129" s="17"/>
      <c r="E129" s="6"/>
      <c r="F129" s="19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</row>
    <row r="130" spans="1:25" s="20" customFormat="1" ht="89.25" customHeight="1">
      <c r="A130" s="6"/>
      <c r="B130" s="6"/>
      <c r="C130" s="16"/>
      <c r="D130" s="17"/>
      <c r="E130" s="6"/>
      <c r="F130" s="19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</row>
    <row r="131" spans="1:25" s="20" customFormat="1" ht="89.25" customHeight="1">
      <c r="A131" s="6"/>
      <c r="B131" s="6"/>
      <c r="C131" s="16"/>
      <c r="D131" s="17"/>
      <c r="E131" s="6"/>
      <c r="F131" s="19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</row>
    <row r="132" spans="1:25" s="20" customFormat="1" ht="89.25" customHeight="1">
      <c r="A132" s="6"/>
      <c r="B132" s="6"/>
      <c r="C132" s="16"/>
      <c r="D132" s="17"/>
      <c r="E132" s="6"/>
      <c r="F132" s="19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</row>
    <row r="133" spans="1:25" s="20" customFormat="1" ht="89.25" customHeight="1">
      <c r="A133" s="6"/>
      <c r="B133" s="6"/>
      <c r="C133" s="16"/>
      <c r="D133" s="17"/>
      <c r="E133" s="6"/>
      <c r="F133" s="19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</row>
    <row r="134" spans="1:25" s="20" customFormat="1" ht="89.25" customHeight="1">
      <c r="A134" s="6"/>
      <c r="B134" s="6"/>
      <c r="C134" s="16"/>
      <c r="D134" s="17"/>
      <c r="E134" s="6"/>
      <c r="F134" s="19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</row>
    <row r="135" spans="1:25" s="20" customFormat="1" ht="89.25" customHeight="1">
      <c r="A135" s="6"/>
      <c r="B135" s="6"/>
      <c r="C135" s="16"/>
      <c r="D135" s="17"/>
      <c r="E135" s="6"/>
      <c r="F135" s="19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</row>
    <row r="136" spans="1:25" s="20" customFormat="1" ht="89.25" customHeight="1">
      <c r="A136" s="6"/>
      <c r="B136" s="6"/>
      <c r="C136" s="16"/>
      <c r="D136" s="17"/>
      <c r="E136" s="6"/>
      <c r="F136" s="19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</row>
    <row r="137" spans="1:25" s="20" customFormat="1" ht="89.25" customHeight="1">
      <c r="A137" s="6"/>
      <c r="B137" s="6"/>
      <c r="C137" s="16"/>
      <c r="D137" s="17"/>
      <c r="E137" s="6"/>
      <c r="F137" s="19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</row>
    <row r="138" spans="1:25" s="20" customFormat="1" ht="89.25" customHeight="1">
      <c r="A138" s="6"/>
      <c r="B138" s="6"/>
      <c r="C138" s="16"/>
      <c r="D138" s="17"/>
      <c r="E138" s="6"/>
      <c r="F138" s="19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</row>
    <row r="139" spans="1:25" s="20" customFormat="1" ht="89.25" customHeight="1">
      <c r="A139" s="6"/>
      <c r="B139" s="6"/>
      <c r="C139" s="16"/>
      <c r="D139" s="17"/>
      <c r="E139" s="6"/>
      <c r="F139" s="19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</row>
    <row r="140" spans="1:25" s="20" customFormat="1" ht="89.25" customHeight="1">
      <c r="A140" s="6"/>
      <c r="B140" s="6"/>
      <c r="C140" s="16"/>
      <c r="D140" s="17"/>
      <c r="E140" s="6"/>
      <c r="F140" s="19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</row>
    <row r="141" spans="1:25" s="20" customFormat="1" ht="89.25" customHeight="1">
      <c r="A141" s="6"/>
      <c r="B141" s="6"/>
      <c r="C141" s="16"/>
      <c r="D141" s="17"/>
      <c r="E141" s="6"/>
      <c r="F141" s="19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</row>
    <row r="142" spans="1:25" s="20" customFormat="1" ht="89.25" customHeight="1">
      <c r="A142" s="6"/>
      <c r="B142" s="6"/>
      <c r="C142" s="16"/>
      <c r="D142" s="17"/>
      <c r="E142" s="6"/>
      <c r="F142" s="19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</row>
    <row r="143" spans="1:25" s="20" customFormat="1" ht="89.25" customHeight="1">
      <c r="A143" s="6"/>
      <c r="B143" s="6"/>
      <c r="C143" s="16"/>
      <c r="D143" s="17"/>
      <c r="E143" s="6"/>
      <c r="F143" s="19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</row>
    <row r="144" spans="1:25" s="20" customFormat="1" ht="89.25" customHeight="1">
      <c r="A144" s="6"/>
      <c r="B144" s="6"/>
      <c r="C144" s="16"/>
      <c r="D144" s="17"/>
      <c r="E144" s="6"/>
      <c r="F144" s="19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</row>
    <row r="145" spans="1:25" s="20" customFormat="1" ht="89.25" customHeight="1">
      <c r="A145" s="6"/>
      <c r="B145" s="6"/>
      <c r="C145" s="16"/>
      <c r="D145" s="17"/>
      <c r="E145" s="6"/>
      <c r="F145" s="19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</row>
    <row r="146" spans="1:25" s="20" customFormat="1" ht="89.25" customHeight="1">
      <c r="A146" s="6"/>
      <c r="B146" s="6"/>
      <c r="C146" s="16"/>
      <c r="D146" s="17"/>
      <c r="E146" s="6"/>
      <c r="F146" s="19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</row>
    <row r="147" spans="1:25" s="20" customFormat="1" ht="89.25" customHeight="1">
      <c r="A147" s="6"/>
      <c r="B147" s="6"/>
      <c r="C147" s="16"/>
      <c r="D147" s="17"/>
      <c r="E147" s="6"/>
      <c r="F147" s="19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</row>
    <row r="148" spans="1:25" s="20" customFormat="1" ht="89.25" customHeight="1">
      <c r="A148" s="6"/>
      <c r="B148" s="6"/>
      <c r="C148" s="16"/>
      <c r="D148" s="17"/>
      <c r="E148" s="6"/>
      <c r="F148" s="19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</row>
    <row r="149" spans="1:25" s="20" customFormat="1" ht="89.25" customHeight="1">
      <c r="A149" s="6"/>
      <c r="B149" s="6"/>
      <c r="C149" s="16"/>
      <c r="D149" s="17"/>
      <c r="E149" s="6"/>
      <c r="F149" s="19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</row>
    <row r="150" spans="1:25" s="20" customFormat="1" ht="89.25" customHeight="1">
      <c r="A150" s="6"/>
      <c r="B150" s="6"/>
      <c r="C150" s="16"/>
      <c r="D150" s="17"/>
      <c r="E150" s="6"/>
      <c r="F150" s="19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</row>
    <row r="151" spans="1:25" s="20" customFormat="1" ht="89.25" customHeight="1">
      <c r="A151" s="6"/>
      <c r="B151" s="6"/>
      <c r="C151" s="16"/>
      <c r="D151" s="17"/>
      <c r="E151" s="6"/>
      <c r="F151" s="19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</row>
    <row r="152" spans="1:25" s="20" customFormat="1" ht="89.25" customHeight="1">
      <c r="A152" s="6"/>
      <c r="B152" s="6"/>
      <c r="C152" s="16"/>
      <c r="D152" s="17"/>
      <c r="E152" s="6"/>
      <c r="F152" s="19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</row>
    <row r="153" spans="1:25" s="20" customFormat="1" ht="89.25" customHeight="1">
      <c r="A153" s="6"/>
      <c r="B153" s="6"/>
      <c r="C153" s="16"/>
      <c r="D153" s="17"/>
      <c r="E153" s="6"/>
      <c r="F153" s="19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</row>
    <row r="154" spans="1:25" s="20" customFormat="1" ht="89.25" customHeight="1">
      <c r="A154" s="6"/>
      <c r="B154" s="6"/>
      <c r="C154" s="16"/>
      <c r="D154" s="17"/>
      <c r="E154" s="6"/>
      <c r="F154" s="19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</row>
    <row r="155" spans="1:25" s="20" customFormat="1" ht="89.25" customHeight="1">
      <c r="A155" s="6"/>
      <c r="B155" s="6"/>
      <c r="C155" s="16"/>
      <c r="D155" s="17"/>
      <c r="E155" s="6"/>
      <c r="F155" s="19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</row>
    <row r="156" spans="1:25" s="20" customFormat="1" ht="89.25" customHeight="1">
      <c r="A156" s="6"/>
      <c r="B156" s="6"/>
      <c r="C156" s="16"/>
      <c r="D156" s="17"/>
      <c r="E156" s="6"/>
      <c r="F156" s="19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</row>
    <row r="157" spans="1:25" s="20" customFormat="1" ht="89.25" customHeight="1">
      <c r="A157" s="6"/>
      <c r="B157" s="6"/>
      <c r="C157" s="16"/>
      <c r="D157" s="17"/>
      <c r="E157" s="6"/>
      <c r="F157" s="19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</row>
    <row r="158" spans="1:25" s="20" customFormat="1" ht="89.25" customHeight="1">
      <c r="A158" s="6"/>
      <c r="B158" s="6"/>
      <c r="C158" s="16"/>
      <c r="D158" s="17"/>
      <c r="E158" s="6"/>
      <c r="F158" s="19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</row>
    <row r="159" spans="1:25" s="20" customFormat="1" ht="89.25" customHeight="1">
      <c r="A159" s="6"/>
      <c r="B159" s="6"/>
      <c r="C159" s="16"/>
      <c r="D159" s="17"/>
      <c r="E159" s="6"/>
      <c r="F159" s="19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</row>
    <row r="160" spans="1:25" s="20" customFormat="1" ht="89.25" customHeight="1">
      <c r="A160" s="6"/>
      <c r="B160" s="6"/>
      <c r="C160" s="16"/>
      <c r="D160" s="17"/>
      <c r="E160" s="6"/>
      <c r="F160" s="19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</row>
    <row r="161" spans="1:25" s="20" customFormat="1" ht="89.25" customHeight="1">
      <c r="A161" s="6"/>
      <c r="B161" s="6"/>
      <c r="C161" s="16"/>
      <c r="D161" s="17"/>
      <c r="E161" s="6"/>
      <c r="F161" s="19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</row>
    <row r="162" spans="1:25" s="20" customFormat="1" ht="89.25" customHeight="1">
      <c r="A162" s="6"/>
      <c r="B162" s="6"/>
      <c r="C162" s="16"/>
      <c r="D162" s="17"/>
      <c r="E162" s="6"/>
      <c r="F162" s="19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</row>
    <row r="163" spans="1:25" s="20" customFormat="1" ht="89.25" customHeight="1">
      <c r="A163" s="6"/>
      <c r="B163" s="6"/>
      <c r="C163" s="16"/>
      <c r="D163" s="17"/>
      <c r="E163" s="6"/>
      <c r="F163" s="19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</row>
    <row r="164" spans="1:25" s="20" customFormat="1" ht="89.25" customHeight="1">
      <c r="A164" s="6"/>
      <c r="B164" s="6"/>
      <c r="C164" s="16"/>
      <c r="D164" s="17"/>
      <c r="E164" s="6"/>
      <c r="F164" s="19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</row>
    <row r="165" spans="1:25" s="20" customFormat="1" ht="89.25" customHeight="1">
      <c r="A165" s="6"/>
      <c r="B165" s="6"/>
      <c r="C165" s="16"/>
      <c r="D165" s="17"/>
      <c r="E165" s="6"/>
      <c r="F165" s="19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</row>
    <row r="166" spans="1:25" s="20" customFormat="1" ht="89.25" customHeight="1">
      <c r="A166" s="6"/>
      <c r="B166" s="6"/>
      <c r="C166" s="16"/>
      <c r="D166" s="17"/>
      <c r="E166" s="6"/>
      <c r="F166" s="19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</row>
    <row r="167" spans="1:25" s="20" customFormat="1" ht="89.25" customHeight="1">
      <c r="A167" s="6"/>
      <c r="B167" s="6"/>
      <c r="C167" s="16"/>
      <c r="D167" s="17"/>
      <c r="E167" s="6"/>
      <c r="F167" s="19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</row>
    <row r="168" spans="1:25" s="20" customFormat="1" ht="89.25" customHeight="1">
      <c r="A168" s="6"/>
      <c r="B168" s="6"/>
      <c r="C168" s="16"/>
      <c r="D168" s="17"/>
      <c r="E168" s="6"/>
      <c r="F168" s="19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</row>
    <row r="169" spans="1:25" s="20" customFormat="1" ht="89.25" customHeight="1">
      <c r="A169" s="6"/>
      <c r="B169" s="6"/>
      <c r="C169" s="16"/>
      <c r="D169" s="17"/>
      <c r="E169" s="6"/>
      <c r="F169" s="19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</row>
    <row r="170" spans="1:25" s="20" customFormat="1" ht="89.25" customHeight="1">
      <c r="A170" s="6"/>
      <c r="B170" s="6"/>
      <c r="C170" s="16"/>
      <c r="D170" s="17"/>
      <c r="E170" s="6"/>
      <c r="F170" s="19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</row>
    <row r="171" spans="1:25" s="20" customFormat="1" ht="89.25" customHeight="1">
      <c r="A171" s="6"/>
      <c r="B171" s="6"/>
      <c r="C171" s="16"/>
      <c r="D171" s="17"/>
      <c r="E171" s="6"/>
      <c r="F171" s="19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</row>
    <row r="172" spans="1:25" s="20" customFormat="1" ht="89.25" customHeight="1">
      <c r="A172" s="6"/>
      <c r="B172" s="6"/>
      <c r="C172" s="16"/>
      <c r="D172" s="17"/>
      <c r="E172" s="6"/>
      <c r="F172" s="19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</row>
    <row r="173" spans="1:25" s="20" customFormat="1" ht="89.25" customHeight="1">
      <c r="A173" s="6"/>
      <c r="B173" s="6"/>
      <c r="C173" s="16"/>
      <c r="D173" s="17"/>
      <c r="E173" s="6"/>
      <c r="F173" s="19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</row>
    <row r="174" spans="1:25" s="20" customFormat="1" ht="89.25" customHeight="1">
      <c r="A174" s="6"/>
      <c r="B174" s="6"/>
      <c r="C174" s="16"/>
      <c r="D174" s="17"/>
      <c r="E174" s="6"/>
      <c r="F174" s="19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</row>
    <row r="175" spans="1:25" s="20" customFormat="1" ht="89.25" customHeight="1">
      <c r="A175" s="6"/>
      <c r="B175" s="6"/>
      <c r="C175" s="16"/>
      <c r="D175" s="17"/>
      <c r="E175" s="6"/>
      <c r="F175" s="19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</row>
    <row r="176" spans="1:25" s="20" customFormat="1" ht="89.25" customHeight="1">
      <c r="A176" s="6"/>
      <c r="B176" s="6"/>
      <c r="C176" s="16"/>
      <c r="D176" s="17"/>
      <c r="E176" s="6"/>
      <c r="F176" s="19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</row>
    <row r="177" spans="1:25" s="20" customFormat="1" ht="89.25" customHeight="1">
      <c r="A177" s="6"/>
      <c r="B177" s="6"/>
      <c r="C177" s="16"/>
      <c r="D177" s="17"/>
      <c r="E177" s="6"/>
      <c r="F177" s="19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</row>
    <row r="178" spans="1:25" s="20" customFormat="1" ht="89.25" customHeight="1">
      <c r="A178" s="6"/>
      <c r="B178" s="6"/>
      <c r="C178" s="16"/>
      <c r="D178" s="17"/>
      <c r="E178" s="6"/>
      <c r="F178" s="19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</row>
    <row r="179" spans="1:25" s="20" customFormat="1" ht="89.25" customHeight="1">
      <c r="A179" s="6"/>
      <c r="B179" s="6"/>
      <c r="C179" s="16"/>
      <c r="D179" s="17"/>
      <c r="E179" s="6"/>
      <c r="F179" s="19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</row>
    <row r="180" spans="1:25" s="20" customFormat="1" ht="89.25" customHeight="1">
      <c r="A180" s="6"/>
      <c r="B180" s="6"/>
      <c r="C180" s="16"/>
      <c r="D180" s="17"/>
      <c r="E180" s="6"/>
      <c r="F180" s="19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</row>
    <row r="181" spans="1:25" s="20" customFormat="1" ht="89.25" customHeight="1">
      <c r="A181" s="6"/>
      <c r="B181" s="6"/>
      <c r="C181" s="16"/>
      <c r="D181" s="17"/>
      <c r="E181" s="6"/>
      <c r="F181" s="19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</row>
    <row r="182" spans="1:25" s="20" customFormat="1" ht="89.25" customHeight="1">
      <c r="A182" s="6"/>
      <c r="B182" s="6"/>
      <c r="C182" s="16"/>
      <c r="D182" s="17"/>
      <c r="E182" s="6"/>
      <c r="F182" s="19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</row>
    <row r="183" spans="1:25" s="20" customFormat="1" ht="89.25" customHeight="1">
      <c r="A183" s="6"/>
      <c r="B183" s="6"/>
      <c r="C183" s="16"/>
      <c r="D183" s="17"/>
      <c r="E183" s="6"/>
      <c r="F183" s="19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</row>
    <row r="184" spans="1:25" s="20" customFormat="1" ht="89.25" customHeight="1">
      <c r="A184" s="6"/>
      <c r="B184" s="6"/>
      <c r="C184" s="16"/>
      <c r="D184" s="17"/>
      <c r="E184" s="6"/>
      <c r="F184" s="19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</row>
    <row r="185" spans="1:25" s="20" customFormat="1" ht="89.25" customHeight="1">
      <c r="A185" s="6"/>
      <c r="B185" s="6"/>
      <c r="C185" s="16"/>
      <c r="D185" s="17"/>
      <c r="E185" s="6"/>
      <c r="F185" s="19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</row>
    <row r="186" spans="1:25" s="20" customFormat="1" ht="89.25" customHeight="1">
      <c r="A186" s="6"/>
      <c r="B186" s="6"/>
      <c r="C186" s="16"/>
      <c r="D186" s="17"/>
      <c r="E186" s="6"/>
      <c r="F186" s="19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</row>
    <row r="187" spans="1:25" s="20" customFormat="1" ht="89.25" customHeight="1">
      <c r="A187" s="6"/>
      <c r="B187" s="6"/>
      <c r="C187" s="16"/>
      <c r="D187" s="17"/>
      <c r="E187" s="6"/>
      <c r="F187" s="19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</row>
    <row r="188" spans="1:25" s="20" customFormat="1" ht="89.25" customHeight="1">
      <c r="A188" s="6"/>
      <c r="B188" s="6"/>
      <c r="C188" s="16"/>
      <c r="D188" s="17"/>
      <c r="E188" s="6"/>
      <c r="F188" s="19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</row>
    <row r="189" spans="1:25" s="20" customFormat="1" ht="89.25" customHeight="1">
      <c r="A189" s="6"/>
      <c r="B189" s="6"/>
      <c r="C189" s="16"/>
      <c r="D189" s="17"/>
      <c r="E189" s="6"/>
      <c r="F189" s="19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</row>
    <row r="190" spans="1:25" s="20" customFormat="1" ht="89.25" customHeight="1">
      <c r="A190" s="6"/>
      <c r="B190" s="6"/>
      <c r="C190" s="16"/>
      <c r="D190" s="17"/>
      <c r="E190" s="6"/>
      <c r="F190" s="19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</row>
    <row r="191" spans="1:25" s="20" customFormat="1" ht="89.25" customHeight="1">
      <c r="A191" s="6"/>
      <c r="B191" s="6"/>
      <c r="C191" s="16"/>
      <c r="D191" s="17"/>
      <c r="E191" s="6"/>
      <c r="F191" s="19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</row>
    <row r="192" spans="1:25" s="20" customFormat="1" ht="89.25" customHeight="1">
      <c r="A192" s="6"/>
      <c r="B192" s="6"/>
      <c r="C192" s="16"/>
      <c r="D192" s="17"/>
      <c r="E192" s="6"/>
      <c r="F192" s="19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</row>
    <row r="193" spans="1:25" s="20" customFormat="1" ht="89.25" customHeight="1">
      <c r="A193" s="6"/>
      <c r="B193" s="6"/>
      <c r="C193" s="16"/>
      <c r="D193" s="17"/>
      <c r="E193" s="6"/>
      <c r="F193" s="19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</row>
    <row r="194" spans="1:25" s="20" customFormat="1" ht="89.25" customHeight="1">
      <c r="A194" s="6"/>
      <c r="B194" s="6"/>
      <c r="C194" s="16"/>
      <c r="D194" s="17"/>
      <c r="E194" s="6"/>
      <c r="F194" s="19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</row>
    <row r="195" spans="1:25" s="20" customFormat="1" ht="89.25" customHeight="1">
      <c r="A195" s="6"/>
      <c r="B195" s="6"/>
      <c r="C195" s="16"/>
      <c r="D195" s="17"/>
      <c r="E195" s="6"/>
      <c r="F195" s="19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</row>
    <row r="196" spans="1:25" s="20" customFormat="1" ht="89.25" customHeight="1">
      <c r="A196" s="6"/>
      <c r="B196" s="6"/>
      <c r="C196" s="16"/>
      <c r="D196" s="17"/>
      <c r="E196" s="6"/>
      <c r="F196" s="19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</row>
    <row r="197" spans="1:25" s="20" customFormat="1" ht="89.25" customHeight="1">
      <c r="A197" s="6"/>
      <c r="B197" s="6"/>
      <c r="C197" s="16"/>
      <c r="D197" s="17"/>
      <c r="E197" s="6"/>
      <c r="F197" s="19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</row>
    <row r="198" spans="1:25" s="20" customFormat="1" ht="89.25" customHeight="1">
      <c r="A198" s="6"/>
      <c r="B198" s="6"/>
      <c r="C198" s="16"/>
      <c r="D198" s="17"/>
      <c r="E198" s="6"/>
      <c r="F198" s="19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</row>
    <row r="199" spans="1:25" s="20" customFormat="1" ht="89.25" customHeight="1">
      <c r="A199" s="6"/>
      <c r="B199" s="6"/>
      <c r="C199" s="16"/>
      <c r="D199" s="17"/>
      <c r="E199" s="6"/>
      <c r="F199" s="19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</row>
    <row r="200" spans="1:25" s="20" customFormat="1" ht="89.25" customHeight="1">
      <c r="A200" s="6"/>
      <c r="B200" s="6"/>
      <c r="C200" s="16"/>
      <c r="D200" s="17"/>
      <c r="E200" s="6"/>
      <c r="F200" s="19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</row>
    <row r="201" spans="1:25" s="20" customFormat="1" ht="89.25" customHeight="1">
      <c r="A201" s="6"/>
      <c r="B201" s="6"/>
      <c r="C201" s="16"/>
      <c r="D201" s="17"/>
      <c r="E201" s="6"/>
      <c r="F201" s="19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</row>
    <row r="202" spans="1:25" s="20" customFormat="1" ht="89.25" customHeight="1">
      <c r="A202" s="6"/>
      <c r="B202" s="6"/>
      <c r="C202" s="16"/>
      <c r="D202" s="17"/>
      <c r="E202" s="6"/>
      <c r="F202" s="19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</row>
    <row r="203" spans="1:25" s="20" customFormat="1" ht="89.25" customHeight="1">
      <c r="A203" s="6"/>
      <c r="B203" s="6"/>
      <c r="C203" s="16"/>
      <c r="D203" s="17"/>
      <c r="E203" s="6"/>
      <c r="F203" s="19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</row>
    <row r="204" spans="1:25" s="20" customFormat="1" ht="89.25" customHeight="1">
      <c r="A204" s="6"/>
      <c r="B204" s="6"/>
      <c r="C204" s="16"/>
      <c r="D204" s="17"/>
      <c r="E204" s="6"/>
      <c r="F204" s="19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</row>
    <row r="205" spans="1:25" s="20" customFormat="1" ht="89.25" customHeight="1">
      <c r="A205" s="6"/>
      <c r="B205" s="6"/>
      <c r="C205" s="16"/>
      <c r="D205" s="17"/>
      <c r="E205" s="6"/>
      <c r="F205" s="19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</row>
    <row r="206" spans="1:25" s="20" customFormat="1" ht="89.25" customHeight="1">
      <c r="A206" s="6"/>
      <c r="B206" s="6"/>
      <c r="C206" s="16"/>
      <c r="D206" s="17"/>
      <c r="E206" s="6"/>
      <c r="F206" s="19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</row>
    <row r="207" spans="1:25" s="20" customFormat="1" ht="89.25" customHeight="1">
      <c r="A207" s="6"/>
      <c r="B207" s="6"/>
      <c r="C207" s="16"/>
      <c r="D207" s="17"/>
      <c r="E207" s="6"/>
      <c r="F207" s="19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</row>
    <row r="208" spans="1:25" s="20" customFormat="1" ht="89.25" customHeight="1">
      <c r="A208" s="6"/>
      <c r="B208" s="6"/>
      <c r="C208" s="16"/>
      <c r="D208" s="17"/>
      <c r="E208" s="6"/>
      <c r="F208" s="19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</row>
    <row r="209" spans="1:25" s="20" customFormat="1" ht="89.25" customHeight="1">
      <c r="A209" s="6"/>
      <c r="B209" s="6"/>
      <c r="C209" s="16"/>
      <c r="D209" s="17"/>
      <c r="E209" s="6"/>
      <c r="F209" s="19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</row>
    <row r="210" spans="1:25" s="20" customFormat="1" ht="89.25" customHeight="1">
      <c r="A210" s="6"/>
      <c r="B210" s="6"/>
      <c r="C210" s="16"/>
      <c r="D210" s="17"/>
      <c r="E210" s="6"/>
      <c r="F210" s="19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</row>
    <row r="211" spans="1:25" s="20" customFormat="1" ht="89.25" customHeight="1">
      <c r="A211" s="6"/>
      <c r="B211" s="6"/>
      <c r="C211" s="16"/>
      <c r="D211" s="17"/>
      <c r="E211" s="6"/>
      <c r="F211" s="19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</row>
    <row r="212" spans="1:25" s="20" customFormat="1" ht="89.25" customHeight="1">
      <c r="A212" s="6"/>
      <c r="B212" s="6"/>
      <c r="C212" s="16"/>
      <c r="D212" s="17"/>
      <c r="E212" s="6"/>
      <c r="F212" s="19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</row>
    <row r="213" spans="1:25" s="20" customFormat="1" ht="89.25" customHeight="1">
      <c r="A213" s="6"/>
      <c r="B213" s="6"/>
      <c r="C213" s="16"/>
      <c r="D213" s="17"/>
      <c r="E213" s="6"/>
      <c r="F213" s="19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</row>
    <row r="214" spans="1:25" s="20" customFormat="1" ht="89.25" customHeight="1">
      <c r="A214" s="6"/>
      <c r="B214" s="6"/>
      <c r="C214" s="16"/>
      <c r="D214" s="17"/>
      <c r="E214" s="6"/>
      <c r="F214" s="19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</row>
    <row r="215" spans="1:25" s="20" customFormat="1" ht="89.25" customHeight="1">
      <c r="A215" s="6"/>
      <c r="B215" s="6"/>
      <c r="C215" s="16"/>
      <c r="D215" s="17"/>
      <c r="E215" s="6"/>
      <c r="F215" s="19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</row>
    <row r="216" spans="1:25" s="20" customFormat="1" ht="89.25" customHeight="1">
      <c r="A216" s="6"/>
      <c r="B216" s="6"/>
      <c r="C216" s="16"/>
      <c r="D216" s="17"/>
      <c r="E216" s="6"/>
      <c r="F216" s="19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</row>
    <row r="217" spans="1:25" s="20" customFormat="1" ht="89.25" customHeight="1">
      <c r="A217" s="6"/>
      <c r="B217" s="6"/>
      <c r="C217" s="16"/>
      <c r="D217" s="17"/>
      <c r="E217" s="6"/>
      <c r="F217" s="19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</row>
    <row r="218" spans="1:25" s="20" customFormat="1" ht="89.25" customHeight="1">
      <c r="A218" s="6"/>
      <c r="B218" s="6"/>
      <c r="C218" s="16"/>
      <c r="D218" s="17"/>
      <c r="E218" s="6"/>
      <c r="F218" s="19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</row>
    <row r="219" spans="1:25" s="20" customFormat="1" ht="89.25" customHeight="1">
      <c r="A219" s="6"/>
      <c r="B219" s="6"/>
      <c r="C219" s="16"/>
      <c r="D219" s="17"/>
      <c r="E219" s="6"/>
      <c r="F219" s="19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</row>
    <row r="220" spans="1:25" s="20" customFormat="1" ht="89.25" customHeight="1">
      <c r="A220" s="6"/>
      <c r="B220" s="6"/>
      <c r="C220" s="16"/>
      <c r="D220" s="17"/>
      <c r="E220" s="6"/>
      <c r="F220" s="19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</row>
    <row r="221" spans="1:25" s="20" customFormat="1" ht="89.25" customHeight="1">
      <c r="A221" s="6"/>
      <c r="B221" s="6"/>
      <c r="C221" s="16"/>
      <c r="D221" s="17"/>
      <c r="E221" s="6"/>
      <c r="F221" s="19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</row>
    <row r="222" spans="1:25" s="20" customFormat="1" ht="89.25" customHeight="1">
      <c r="A222" s="6"/>
      <c r="B222" s="6"/>
      <c r="C222" s="16"/>
      <c r="D222" s="17"/>
      <c r="E222" s="6"/>
      <c r="F222" s="19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</row>
    <row r="223" spans="1:25" s="20" customFormat="1" ht="89.25" customHeight="1">
      <c r="A223" s="6"/>
      <c r="B223" s="6"/>
      <c r="C223" s="16"/>
      <c r="D223" s="17"/>
      <c r="E223" s="6"/>
      <c r="F223" s="19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</row>
    <row r="224" spans="1:25" s="20" customFormat="1" ht="89.25" customHeight="1">
      <c r="A224" s="6"/>
      <c r="B224" s="6"/>
      <c r="C224" s="16"/>
      <c r="D224" s="17"/>
      <c r="E224" s="6"/>
      <c r="F224" s="19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</row>
    <row r="225" spans="1:25" s="20" customFormat="1" ht="89.25" customHeight="1">
      <c r="A225" s="6"/>
      <c r="B225" s="6"/>
      <c r="C225" s="16"/>
      <c r="D225" s="17"/>
      <c r="E225" s="6"/>
      <c r="F225" s="19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</row>
    <row r="226" spans="1:25" s="20" customFormat="1" ht="89.25" customHeight="1">
      <c r="A226" s="6"/>
      <c r="B226" s="6"/>
      <c r="C226" s="16"/>
      <c r="D226" s="17"/>
      <c r="E226" s="6"/>
      <c r="F226" s="19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</row>
    <row r="227" spans="1:25" s="20" customFormat="1" ht="89.25" customHeight="1">
      <c r="A227" s="6"/>
      <c r="B227" s="6"/>
      <c r="C227" s="16"/>
      <c r="D227" s="17"/>
      <c r="E227" s="6"/>
      <c r="F227" s="19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</row>
    <row r="228" spans="1:25" s="20" customFormat="1" ht="89.25" customHeight="1">
      <c r="A228" s="6"/>
      <c r="B228" s="6"/>
      <c r="C228" s="16"/>
      <c r="D228" s="17"/>
      <c r="E228" s="6"/>
      <c r="F228" s="19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</row>
    <row r="229" spans="1:25" s="20" customFormat="1" ht="89.25" customHeight="1">
      <c r="A229" s="6"/>
      <c r="B229" s="6"/>
      <c r="C229" s="16"/>
      <c r="D229" s="17"/>
      <c r="E229" s="6"/>
      <c r="F229" s="19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</row>
    <row r="230" spans="1:25" s="20" customFormat="1" ht="89.25" customHeight="1">
      <c r="A230" s="6"/>
      <c r="B230" s="6"/>
      <c r="C230" s="16"/>
      <c r="D230" s="17"/>
      <c r="E230" s="6"/>
      <c r="F230" s="19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</row>
    <row r="231" spans="1:25" s="20" customFormat="1" ht="89.25" customHeight="1">
      <c r="A231" s="6"/>
      <c r="B231" s="6"/>
      <c r="C231" s="16"/>
      <c r="D231" s="17"/>
      <c r="E231" s="6"/>
      <c r="F231" s="19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</row>
    <row r="232" spans="1:25" s="20" customFormat="1" ht="89.25" customHeight="1">
      <c r="A232" s="6"/>
      <c r="B232" s="6"/>
      <c r="C232" s="16"/>
      <c r="D232" s="17"/>
      <c r="E232" s="6"/>
      <c r="F232" s="19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</row>
    <row r="233" spans="1:25" s="20" customFormat="1" ht="89.25" customHeight="1">
      <c r="A233" s="6"/>
      <c r="B233" s="6"/>
      <c r="C233" s="16"/>
      <c r="D233" s="17"/>
      <c r="E233" s="6"/>
      <c r="F233" s="19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</row>
    <row r="234" spans="1:25" s="20" customFormat="1" ht="89.25" customHeight="1">
      <c r="A234" s="6"/>
      <c r="B234" s="6"/>
      <c r="C234" s="16"/>
      <c r="D234" s="17"/>
      <c r="E234" s="6"/>
      <c r="F234" s="19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</row>
    <row r="235" spans="1:25" s="20" customFormat="1" ht="89.25" customHeight="1">
      <c r="A235" s="6"/>
      <c r="B235" s="6"/>
      <c r="C235" s="16"/>
      <c r="D235" s="17"/>
      <c r="E235" s="6"/>
      <c r="F235" s="19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</row>
    <row r="236" spans="1:25" s="20" customFormat="1" ht="89.25" customHeight="1">
      <c r="A236" s="6"/>
      <c r="B236" s="6"/>
      <c r="C236" s="16"/>
      <c r="D236" s="17"/>
      <c r="E236" s="6"/>
      <c r="F236" s="19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</row>
    <row r="237" spans="1:25" s="20" customFormat="1" ht="89.25" customHeight="1">
      <c r="A237" s="6"/>
      <c r="B237" s="6"/>
      <c r="C237" s="16"/>
      <c r="D237" s="17"/>
      <c r="E237" s="6"/>
      <c r="F237" s="19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</row>
  </sheetData>
  <mergeCells count="23">
    <mergeCell ref="D52:E52"/>
    <mergeCell ref="A49:B49"/>
    <mergeCell ref="A14:D14"/>
    <mergeCell ref="A18:D18"/>
    <mergeCell ref="A16:D16"/>
    <mergeCell ref="D51:E51"/>
    <mergeCell ref="A15:D15"/>
    <mergeCell ref="A51:B51"/>
    <mergeCell ref="A50:B50"/>
    <mergeCell ref="D50:E50"/>
    <mergeCell ref="D49:E49"/>
    <mergeCell ref="A13:D13"/>
    <mergeCell ref="A17:D17"/>
    <mergeCell ref="A19:D19"/>
    <mergeCell ref="A11:D11"/>
    <mergeCell ref="A12:D12"/>
    <mergeCell ref="A10:D10"/>
    <mergeCell ref="A1:F3"/>
    <mergeCell ref="A5:F5"/>
    <mergeCell ref="A6:F6"/>
    <mergeCell ref="A7:E7"/>
    <mergeCell ref="A9:D9"/>
    <mergeCell ref="A4:F4"/>
  </mergeCells>
  <printOptions horizontalCentered="1" verticalCentered="1"/>
  <pageMargins left="0.59055118110236227" right="0.59055118110236227" top="0.59055118110236227" bottom="0.59055118110236227" header="0.31496062992125984" footer="0.31496062992125984"/>
  <pageSetup paperSize="9" scale="47" orientation="landscape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Hoja20">
    <tabColor rgb="FF00B0F0"/>
    <pageSetUpPr fitToPage="1"/>
  </sheetPr>
  <dimension ref="A1:AG237"/>
  <sheetViews>
    <sheetView showGridLines="0" topLeftCell="A22" zoomScale="80" zoomScaleNormal="80" workbookViewId="0">
      <selection activeCell="F43" sqref="F43"/>
    </sheetView>
  </sheetViews>
  <sheetFormatPr baseColWidth="10" defaultRowHeight="89.25" customHeight="1"/>
  <cols>
    <col min="1" max="2" width="25.28515625" style="6" customWidth="1"/>
    <col min="3" max="3" width="25.28515625" style="16" customWidth="1"/>
    <col min="4" max="4" width="25.28515625" style="17" customWidth="1"/>
    <col min="5" max="5" width="15.28515625" style="6" bestFit="1" customWidth="1"/>
    <col min="6" max="6" width="21.7109375" style="19" bestFit="1" customWidth="1"/>
    <col min="7" max="7" width="19.140625" style="5" bestFit="1" customWidth="1"/>
    <col min="8" max="8" width="15.5703125" style="5" bestFit="1" customWidth="1"/>
    <col min="9" max="10" width="18.7109375" style="5" customWidth="1"/>
    <col min="11" max="25" width="11.42578125" style="5"/>
    <col min="26" max="16384" width="11.42578125" style="6"/>
  </cols>
  <sheetData>
    <row r="1" spans="1:25" s="4" customFormat="1" ht="33.75" customHeight="1">
      <c r="A1" s="1339" t="s">
        <v>773</v>
      </c>
      <c r="B1" s="1339"/>
      <c r="C1" s="1339"/>
      <c r="D1" s="1339"/>
      <c r="E1" s="1339"/>
      <c r="F1" s="1339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spans="1:25" s="4" customFormat="1" ht="33.75" customHeight="1">
      <c r="A2" s="1339"/>
      <c r="B2" s="1339"/>
      <c r="C2" s="1339"/>
      <c r="D2" s="1339"/>
      <c r="E2" s="1339"/>
      <c r="F2" s="1339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 s="4" customFormat="1" ht="15.75">
      <c r="A3" s="1339"/>
      <c r="B3" s="1339"/>
      <c r="C3" s="1339"/>
      <c r="D3" s="1339"/>
      <c r="E3" s="1339"/>
      <c r="F3" s="1339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</row>
    <row r="4" spans="1:25" s="4" customFormat="1" ht="15.75">
      <c r="A4" s="1345" t="str">
        <f>+'Anexo 8 San Juan de Urabá'!A4:F4</f>
        <v>AL 31 DE JULIO DE 2023</v>
      </c>
      <c r="B4" s="1345"/>
      <c r="C4" s="1345"/>
      <c r="D4" s="1345"/>
      <c r="E4" s="1345"/>
      <c r="F4" s="1345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</row>
    <row r="5" spans="1:25" ht="30" customHeight="1">
      <c r="A5" s="1339" t="s">
        <v>205</v>
      </c>
      <c r="B5" s="1339"/>
      <c r="C5" s="1339"/>
      <c r="D5" s="1339"/>
      <c r="E5" s="1339"/>
      <c r="F5" s="1339"/>
    </row>
    <row r="6" spans="1:25" ht="30" customHeight="1" thickBot="1">
      <c r="A6" s="1339" t="s">
        <v>194</v>
      </c>
      <c r="B6" s="1339"/>
      <c r="C6" s="1339"/>
      <c r="D6" s="1339"/>
      <c r="E6" s="1339"/>
      <c r="F6" s="1339"/>
    </row>
    <row r="7" spans="1:25" ht="30" customHeight="1" thickBot="1">
      <c r="A7" s="1346" t="s">
        <v>1</v>
      </c>
      <c r="B7" s="1347"/>
      <c r="C7" s="1347"/>
      <c r="D7" s="1347"/>
      <c r="E7" s="1347"/>
      <c r="F7" s="7" t="s">
        <v>2</v>
      </c>
    </row>
    <row r="8" spans="1:25" ht="18.600000000000001" customHeight="1">
      <c r="A8" s="8"/>
      <c r="B8" s="9"/>
      <c r="C8" s="9"/>
      <c r="D8" s="9"/>
      <c r="E8" s="10"/>
      <c r="F8" s="11"/>
      <c r="I8" s="12"/>
      <c r="J8" s="12"/>
    </row>
    <row r="9" spans="1:25" ht="18.600000000000001" customHeight="1">
      <c r="A9" s="1342" t="str">
        <f>+'Anexo 8 San Juan de Urabá'!A9:D9</f>
        <v>TOTAL RENDIMIENTOS GENERADOS POR LOS RECURSOS DEL FONDO DE JULIO DE 2023</v>
      </c>
      <c r="B9" s="1343"/>
      <c r="C9" s="1343"/>
      <c r="D9" s="1343"/>
      <c r="E9" s="259"/>
      <c r="F9" s="260">
        <f>F43</f>
        <v>263703.13</v>
      </c>
      <c r="I9" s="13"/>
      <c r="J9" s="12"/>
    </row>
    <row r="10" spans="1:25" ht="18.600000000000001" customHeight="1">
      <c r="A10" s="1333" t="s">
        <v>213</v>
      </c>
      <c r="B10" s="1334"/>
      <c r="C10" s="1334"/>
      <c r="D10" s="1334"/>
      <c r="E10" s="261">
        <v>13161.29</v>
      </c>
      <c r="F10" s="262"/>
    </row>
    <row r="11" spans="1:25" ht="18.600000000000001" customHeight="1">
      <c r="A11" s="1333" t="s">
        <v>212</v>
      </c>
      <c r="B11" s="1334"/>
      <c r="C11" s="1334"/>
      <c r="D11" s="1334"/>
      <c r="E11" s="261">
        <v>25501.11</v>
      </c>
      <c r="F11" s="262"/>
    </row>
    <row r="12" spans="1:25" ht="18.600000000000001" customHeight="1">
      <c r="A12" s="1333" t="s">
        <v>223</v>
      </c>
      <c r="B12" s="1334"/>
      <c r="C12" s="1334"/>
      <c r="D12" s="1334"/>
      <c r="E12" s="261">
        <v>23102.97</v>
      </c>
      <c r="F12" s="262"/>
    </row>
    <row r="13" spans="1:25" ht="18.600000000000001" customHeight="1">
      <c r="A13" s="1333" t="s">
        <v>231</v>
      </c>
      <c r="B13" s="1334"/>
      <c r="C13" s="1334"/>
      <c r="D13" s="1334"/>
      <c r="E13" s="261">
        <v>25505.25</v>
      </c>
      <c r="F13" s="262"/>
    </row>
    <row r="14" spans="1:25" ht="18.600000000000001" customHeight="1">
      <c r="A14" s="1333" t="s">
        <v>244</v>
      </c>
      <c r="B14" s="1334"/>
      <c r="C14" s="1334"/>
      <c r="D14" s="1334"/>
      <c r="E14" s="261">
        <v>24607.15</v>
      </c>
      <c r="F14" s="262"/>
    </row>
    <row r="15" spans="1:25" ht="15.75" customHeight="1">
      <c r="A15" s="1333" t="s">
        <v>272</v>
      </c>
      <c r="B15" s="1334"/>
      <c r="C15" s="1334"/>
      <c r="D15" s="1334"/>
      <c r="E15" s="261">
        <v>25509.5</v>
      </c>
      <c r="F15" s="262"/>
    </row>
    <row r="16" spans="1:25" ht="18.600000000000001" customHeight="1">
      <c r="A16" s="1333" t="s">
        <v>276</v>
      </c>
      <c r="B16" s="1334"/>
      <c r="C16" s="1334"/>
      <c r="D16" s="1334"/>
      <c r="E16" s="261">
        <v>24611.26</v>
      </c>
      <c r="F16" s="262"/>
    </row>
    <row r="17" spans="1:7" ht="18.600000000000001" customHeight="1">
      <c r="A17" s="1333" t="s">
        <v>294</v>
      </c>
      <c r="B17" s="1334"/>
      <c r="C17" s="1334"/>
      <c r="D17" s="1334"/>
      <c r="E17" s="261">
        <v>25513.759999999998</v>
      </c>
      <c r="F17" s="262"/>
    </row>
    <row r="18" spans="1:7" ht="18.600000000000001" customHeight="1">
      <c r="A18" s="1333" t="s">
        <v>307</v>
      </c>
      <c r="B18" s="1334"/>
      <c r="C18" s="1334"/>
      <c r="D18" s="1334"/>
      <c r="E18" s="261">
        <v>25515.93</v>
      </c>
      <c r="F18" s="262"/>
    </row>
    <row r="19" spans="1:7" ht="18.600000000000001" customHeight="1">
      <c r="A19" s="1333" t="s">
        <v>365</v>
      </c>
      <c r="B19" s="1334"/>
      <c r="C19" s="1334"/>
      <c r="D19" s="1334"/>
      <c r="E19" s="261">
        <f>17791.88+1</f>
        <v>17792.88</v>
      </c>
      <c r="F19" s="262"/>
      <c r="G19" s="5" t="str">
        <f>+"+1"</f>
        <v>+1</v>
      </c>
    </row>
    <row r="20" spans="1:7" ht="18.600000000000001" customHeight="1">
      <c r="A20" s="574" t="s">
        <v>427</v>
      </c>
      <c r="B20" s="575"/>
      <c r="C20" s="575"/>
      <c r="D20" s="575"/>
      <c r="E20" s="261">
        <v>6992.82</v>
      </c>
      <c r="F20" s="262"/>
    </row>
    <row r="21" spans="1:7" ht="18.600000000000001" customHeight="1">
      <c r="A21" s="651" t="s">
        <v>462</v>
      </c>
      <c r="B21" s="652"/>
      <c r="C21" s="652"/>
      <c r="D21" s="652"/>
      <c r="E21" s="261">
        <v>62.14</v>
      </c>
      <c r="F21" s="262"/>
    </row>
    <row r="22" spans="1:7" ht="18.600000000000001" customHeight="1">
      <c r="A22" s="670" t="s">
        <v>494</v>
      </c>
      <c r="B22" s="671"/>
      <c r="C22" s="671"/>
      <c r="D22" s="671"/>
      <c r="E22" s="261">
        <v>64.42</v>
      </c>
      <c r="F22" s="262"/>
    </row>
    <row r="23" spans="1:7" ht="18.600000000000001" customHeight="1">
      <c r="A23" s="689" t="s">
        <v>501</v>
      </c>
      <c r="B23" s="690"/>
      <c r="C23" s="690"/>
      <c r="D23" s="690"/>
      <c r="E23" s="261">
        <v>64.430000000000007</v>
      </c>
      <c r="F23" s="262"/>
    </row>
    <row r="24" spans="1:7" ht="18.600000000000001" customHeight="1">
      <c r="A24" s="725" t="s">
        <v>515</v>
      </c>
      <c r="B24" s="726"/>
      <c r="C24" s="726"/>
      <c r="D24" s="726"/>
      <c r="E24" s="261">
        <v>58.37</v>
      </c>
      <c r="F24" s="262"/>
    </row>
    <row r="25" spans="1:7" ht="18.600000000000001" customHeight="1">
      <c r="A25" s="743" t="s">
        <v>520</v>
      </c>
      <c r="B25" s="744"/>
      <c r="C25" s="744"/>
      <c r="D25" s="744"/>
      <c r="E25" s="261">
        <v>64.44</v>
      </c>
      <c r="F25" s="262"/>
    </row>
    <row r="26" spans="1:7" ht="18.600000000000001" customHeight="1">
      <c r="A26" s="773" t="s">
        <v>537</v>
      </c>
      <c r="B26" s="774"/>
      <c r="C26" s="774"/>
      <c r="D26" s="774"/>
      <c r="E26" s="261">
        <f>62.17-1</f>
        <v>61.17</v>
      </c>
      <c r="F26" s="262"/>
      <c r="G26" s="785" t="str">
        <f>"-1"</f>
        <v>-1</v>
      </c>
    </row>
    <row r="27" spans="1:7" ht="18.600000000000001" customHeight="1">
      <c r="A27" s="793" t="s">
        <v>567</v>
      </c>
      <c r="B27" s="794"/>
      <c r="C27" s="794"/>
      <c r="D27" s="794"/>
      <c r="E27" s="261">
        <v>64.45</v>
      </c>
      <c r="F27" s="262"/>
      <c r="G27" s="785"/>
    </row>
    <row r="28" spans="1:7" ht="18.600000000000001" customHeight="1">
      <c r="A28" s="811" t="s">
        <v>577</v>
      </c>
      <c r="B28" s="812"/>
      <c r="C28" s="812"/>
      <c r="D28" s="812"/>
      <c r="E28" s="261">
        <v>62.18</v>
      </c>
      <c r="F28" s="262"/>
      <c r="G28" s="785"/>
    </row>
    <row r="29" spans="1:7" ht="18.600000000000001" customHeight="1">
      <c r="A29" s="874" t="s">
        <v>625</v>
      </c>
      <c r="B29" s="875"/>
      <c r="C29" s="875"/>
      <c r="D29" s="875"/>
      <c r="E29" s="261">
        <v>64.459999999999994</v>
      </c>
      <c r="F29" s="262"/>
      <c r="G29" s="785"/>
    </row>
    <row r="30" spans="1:7" ht="18.600000000000001" customHeight="1">
      <c r="A30" s="895" t="s">
        <v>720</v>
      </c>
      <c r="B30" s="896"/>
      <c r="C30" s="896"/>
      <c r="D30" s="896"/>
      <c r="E30" s="261">
        <v>64.459999999999994</v>
      </c>
      <c r="F30" s="262"/>
      <c r="G30" s="785"/>
    </row>
    <row r="31" spans="1:7" ht="18.600000000000001" customHeight="1">
      <c r="A31" s="904" t="s">
        <v>647</v>
      </c>
      <c r="B31" s="905"/>
      <c r="C31" s="905"/>
      <c r="D31" s="905"/>
      <c r="E31" s="261">
        <v>62.19</v>
      </c>
      <c r="F31" s="262"/>
      <c r="G31" s="785"/>
    </row>
    <row r="32" spans="1:7" ht="18.600000000000001" customHeight="1">
      <c r="A32" s="924" t="s">
        <v>655</v>
      </c>
      <c r="B32" s="925"/>
      <c r="C32" s="925"/>
      <c r="D32" s="925"/>
      <c r="E32" s="261">
        <v>64.47</v>
      </c>
      <c r="F32" s="262"/>
      <c r="G32" s="785"/>
    </row>
    <row r="33" spans="1:33" ht="18.600000000000001" customHeight="1">
      <c r="A33" s="948" t="s">
        <v>665</v>
      </c>
      <c r="B33" s="949"/>
      <c r="C33" s="949"/>
      <c r="D33" s="949"/>
      <c r="E33" s="261">
        <v>62.2</v>
      </c>
      <c r="F33" s="262"/>
      <c r="G33" s="785"/>
    </row>
    <row r="34" spans="1:33" ht="18.600000000000001" customHeight="1">
      <c r="A34" s="966" t="s">
        <v>677</v>
      </c>
      <c r="B34" s="967"/>
      <c r="C34" s="967"/>
      <c r="D34" s="967"/>
      <c r="E34" s="261">
        <v>64.489999999999995</v>
      </c>
      <c r="F34" s="262"/>
      <c r="G34" s="785"/>
    </row>
    <row r="35" spans="1:33" ht="18.600000000000001" customHeight="1">
      <c r="A35" s="989" t="s">
        <v>687</v>
      </c>
      <c r="B35" s="990"/>
      <c r="C35" s="990"/>
      <c r="D35" s="990"/>
      <c r="E35" s="261">
        <v>64.489999999999995</v>
      </c>
      <c r="F35" s="262"/>
      <c r="G35" s="785"/>
    </row>
    <row r="36" spans="1:33" ht="18.600000000000001" customHeight="1">
      <c r="A36" s="1013" t="s">
        <v>720</v>
      </c>
      <c r="B36" s="1014"/>
      <c r="C36" s="1014"/>
      <c r="D36" s="1014"/>
      <c r="E36" s="261">
        <v>58.43</v>
      </c>
      <c r="F36" s="262"/>
      <c r="G36" s="785"/>
    </row>
    <row r="37" spans="1:33" ht="18.600000000000001" customHeight="1">
      <c r="A37" s="1032" t="s">
        <v>729</v>
      </c>
      <c r="B37" s="1033"/>
      <c r="C37" s="1033"/>
      <c r="D37" s="1033"/>
      <c r="E37" s="261">
        <v>4976.83</v>
      </c>
      <c r="F37" s="262"/>
      <c r="G37" s="785"/>
    </row>
    <row r="38" spans="1:33" ht="18.600000000000001" customHeight="1">
      <c r="A38" s="1069" t="s">
        <v>748</v>
      </c>
      <c r="B38" s="1070"/>
      <c r="C38" s="1070"/>
      <c r="D38" s="1070"/>
      <c r="E38" s="261">
        <v>4847.53</v>
      </c>
      <c r="F38" s="262"/>
      <c r="G38" s="785"/>
    </row>
    <row r="39" spans="1:33" ht="18.600000000000001" customHeight="1">
      <c r="A39" s="1090" t="str">
        <f>+'Anexo 8 San Juan de Urabá'!A39</f>
        <v>Rendimientos financieros AL 31 DE MAYO DE 2023</v>
      </c>
      <c r="B39" s="1091"/>
      <c r="C39" s="1091"/>
      <c r="D39" s="1091"/>
      <c r="E39" s="261">
        <v>5041.26</v>
      </c>
      <c r="F39" s="262"/>
      <c r="G39" s="785">
        <f>+SUM(E10:E39)</f>
        <v>253686.33000000002</v>
      </c>
    </row>
    <row r="40" spans="1:33" ht="18.600000000000001" customHeight="1">
      <c r="A40" s="1100" t="str">
        <f>+'Anexo 8 San Juan de Urabá'!A40</f>
        <v>Rendimientos financieros AL 30 DE JUNIO DE 2023</v>
      </c>
      <c r="B40" s="1101"/>
      <c r="C40" s="1101"/>
      <c r="D40" s="1101"/>
      <c r="E40" s="261">
        <v>4910.28</v>
      </c>
      <c r="F40" s="262"/>
      <c r="G40" s="785"/>
    </row>
    <row r="41" spans="1:33" ht="18.600000000000001" customHeight="1">
      <c r="A41" s="1128" t="str">
        <f>+'Anexo 8 San Juan de Urabá'!A41</f>
        <v>Rendimientos financieros AL 31 DE JULIO DE 2023</v>
      </c>
      <c r="B41" s="1129"/>
      <c r="C41" s="1129"/>
      <c r="D41" s="1129"/>
      <c r="E41" s="261">
        <v>5106.5200000000004</v>
      </c>
      <c r="F41" s="262"/>
      <c r="G41" s="785"/>
    </row>
    <row r="42" spans="1:33" s="5" customFormat="1" ht="18.600000000000001" customHeight="1">
      <c r="A42" s="226"/>
      <c r="B42" s="227"/>
      <c r="C42" s="227"/>
      <c r="D42" s="227"/>
      <c r="E42" s="263"/>
      <c r="F42" s="264"/>
      <c r="G42" s="776" t="s">
        <v>535</v>
      </c>
      <c r="H42" s="775" t="s">
        <v>536</v>
      </c>
      <c r="I42" s="775" t="s">
        <v>516</v>
      </c>
      <c r="J42" s="742" t="s">
        <v>65</v>
      </c>
      <c r="Z42" s="6"/>
      <c r="AA42" s="6"/>
      <c r="AB42" s="6"/>
      <c r="AC42" s="6"/>
      <c r="AD42" s="6"/>
      <c r="AE42" s="6"/>
      <c r="AF42" s="6"/>
      <c r="AG42" s="6"/>
    </row>
    <row r="43" spans="1:33" s="5" customFormat="1" ht="24.75" customHeight="1" thickBot="1">
      <c r="A43" s="14" t="str">
        <f>+'Anexo 8 San Juan de Urabá'!A43</f>
        <v>TOTAL RENDIMIENTOS DISPONIBLES AL 31 DE JULIO DE 2023</v>
      </c>
      <c r="B43" s="15"/>
      <c r="C43" s="15"/>
      <c r="D43" s="15"/>
      <c r="E43" s="265"/>
      <c r="F43" s="266">
        <f>SUM(E9:E42)</f>
        <v>263703.13</v>
      </c>
      <c r="G43" s="5">
        <f>+F43+Adhesiones!H72</f>
        <v>783776.46333301545</v>
      </c>
      <c r="H43" s="741">
        <f>+G43-F43</f>
        <v>520073.33333301544</v>
      </c>
      <c r="I43" s="5">
        <f>-'Anexo 3-Porcion C-NC'!B22</f>
        <v>-520073</v>
      </c>
      <c r="J43" s="5">
        <f>+H43+I43</f>
        <v>0.33333301544189453</v>
      </c>
      <c r="Z43" s="6"/>
      <c r="AA43" s="6"/>
      <c r="AB43" s="6"/>
      <c r="AC43" s="6"/>
      <c r="AD43" s="6"/>
      <c r="AE43" s="6"/>
      <c r="AF43" s="6"/>
      <c r="AG43" s="6"/>
    </row>
    <row r="44" spans="1:33" s="20" customFormat="1" ht="15.75">
      <c r="A44" s="6"/>
      <c r="B44" s="6"/>
      <c r="C44" s="16"/>
      <c r="D44" s="17"/>
      <c r="E44" s="18"/>
      <c r="F44" s="19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</row>
    <row r="45" spans="1:33" s="20" customFormat="1" ht="15.75">
      <c r="A45" s="6"/>
      <c r="B45" s="6"/>
      <c r="C45" s="16"/>
      <c r="D45" s="17"/>
      <c r="E45" s="21"/>
      <c r="F45" s="19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</row>
    <row r="46" spans="1:33" s="20" customFormat="1" ht="15.75">
      <c r="A46" s="6"/>
      <c r="B46" s="6"/>
      <c r="C46" s="16"/>
      <c r="D46" s="17"/>
      <c r="E46" s="22"/>
      <c r="F46" s="19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</row>
    <row r="47" spans="1:33" s="20" customFormat="1" ht="15.75">
      <c r="A47" s="6"/>
      <c r="B47" s="6"/>
      <c r="C47" s="16"/>
      <c r="D47" s="17"/>
      <c r="E47" s="22"/>
      <c r="F47" s="19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</row>
    <row r="48" spans="1:33" s="5" customFormat="1" ht="16.5" thickBot="1">
      <c r="A48" s="23"/>
      <c r="B48" s="24"/>
      <c r="C48" s="25"/>
      <c r="D48" s="131"/>
      <c r="E48" s="132"/>
      <c r="F48" s="133"/>
    </row>
    <row r="49" spans="1:25" s="5" customFormat="1" ht="15" customHeight="1">
      <c r="A49" s="1336" t="s">
        <v>135</v>
      </c>
      <c r="B49" s="1336"/>
      <c r="C49" s="1"/>
      <c r="D49" s="1336" t="s">
        <v>517</v>
      </c>
      <c r="E49" s="1336"/>
      <c r="F49" s="224"/>
    </row>
    <row r="50" spans="1:25" s="5" customFormat="1" ht="14.45" customHeight="1">
      <c r="A50" s="1332" t="s">
        <v>145</v>
      </c>
      <c r="B50" s="1332"/>
      <c r="C50" s="2"/>
      <c r="D50" s="1332" t="s">
        <v>519</v>
      </c>
      <c r="E50" s="1332"/>
      <c r="F50" s="225"/>
    </row>
    <row r="51" spans="1:25" s="5" customFormat="1" ht="15.75" customHeight="1">
      <c r="A51" s="1332" t="s">
        <v>48</v>
      </c>
      <c r="B51" s="1332"/>
      <c r="C51" s="2"/>
      <c r="D51" s="1332" t="s">
        <v>48</v>
      </c>
      <c r="E51" s="1332"/>
      <c r="F51" s="225"/>
    </row>
    <row r="52" spans="1:25" s="20" customFormat="1" ht="15.75" customHeight="1">
      <c r="A52" s="6"/>
      <c r="B52" s="6"/>
      <c r="C52" s="16"/>
      <c r="D52" s="1335" t="s">
        <v>518</v>
      </c>
      <c r="E52" s="1335"/>
      <c r="F52" s="22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</row>
    <row r="53" spans="1:25" s="20" customFormat="1" ht="15.75">
      <c r="A53" s="6"/>
      <c r="B53" s="6"/>
      <c r="C53" s="16"/>
      <c r="D53" s="17"/>
      <c r="E53" s="22"/>
      <c r="F53" s="19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</row>
    <row r="54" spans="1:25" s="20" customFormat="1" ht="15.75">
      <c r="A54" s="6"/>
      <c r="B54" s="6"/>
      <c r="C54" s="16"/>
      <c r="D54" s="17"/>
      <c r="E54" s="22"/>
      <c r="F54" s="19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</row>
    <row r="55" spans="1:25" s="20" customFormat="1" ht="15.75">
      <c r="A55" s="27"/>
      <c r="B55" s="27"/>
      <c r="C55" s="27"/>
      <c r="D55" s="27"/>
      <c r="E55" s="27"/>
      <c r="F55" s="19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</row>
    <row r="56" spans="1:25" s="5" customFormat="1" ht="15.75">
      <c r="A56" s="27"/>
      <c r="B56" s="27"/>
      <c r="C56" s="27"/>
      <c r="D56" s="27"/>
      <c r="E56" s="27"/>
      <c r="F56" s="26"/>
    </row>
    <row r="57" spans="1:25" s="5" customFormat="1" ht="15" customHeight="1">
      <c r="A57" s="27"/>
      <c r="B57" s="27"/>
      <c r="C57" s="27"/>
      <c r="D57" s="27"/>
      <c r="E57" s="27"/>
      <c r="F57" s="26"/>
    </row>
    <row r="58" spans="1:25" s="5" customFormat="1" ht="14.45" customHeight="1">
      <c r="A58" s="27"/>
      <c r="B58" s="27"/>
      <c r="C58" s="27"/>
      <c r="D58" s="27"/>
      <c r="E58" s="27"/>
      <c r="F58" s="26"/>
    </row>
    <row r="59" spans="1:25" s="5" customFormat="1" ht="14.45" customHeight="1">
      <c r="A59" s="27"/>
      <c r="B59" s="27"/>
      <c r="C59" s="27"/>
      <c r="D59" s="27"/>
      <c r="E59" s="27"/>
      <c r="F59" s="26"/>
    </row>
    <row r="60" spans="1:25" s="20" customFormat="1" ht="15.75">
      <c r="A60" s="27"/>
      <c r="B60" s="27"/>
      <c r="C60" s="27"/>
      <c r="D60" s="27"/>
      <c r="E60" s="27"/>
      <c r="F60" s="19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</row>
    <row r="61" spans="1:25" s="20" customFormat="1" ht="15.75">
      <c r="A61" s="6"/>
      <c r="B61" s="6"/>
      <c r="C61" s="16"/>
      <c r="D61" s="17"/>
      <c r="E61" s="6"/>
      <c r="F61" s="19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</row>
    <row r="62" spans="1:25" s="20" customFormat="1" ht="15.75">
      <c r="A62" s="6"/>
      <c r="B62" s="6"/>
      <c r="C62" s="16"/>
      <c r="D62" s="17"/>
      <c r="E62" s="6"/>
      <c r="F62" s="19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</row>
    <row r="63" spans="1:25" s="20" customFormat="1" ht="15.75">
      <c r="A63" s="6"/>
      <c r="B63" s="6"/>
      <c r="C63" s="16"/>
      <c r="D63" s="17"/>
      <c r="E63" s="6"/>
      <c r="F63" s="19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</row>
    <row r="64" spans="1:25" s="20" customFormat="1" ht="15.75">
      <c r="A64" s="6"/>
      <c r="B64" s="6"/>
      <c r="C64" s="16"/>
      <c r="D64" s="17"/>
      <c r="E64" s="6"/>
      <c r="F64" s="19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</row>
    <row r="65" spans="1:25" s="20" customFormat="1" ht="15.75">
      <c r="A65" s="6"/>
      <c r="B65" s="6"/>
      <c r="C65" s="16"/>
      <c r="D65" s="17"/>
      <c r="E65" s="6"/>
      <c r="F65" s="19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</row>
    <row r="66" spans="1:25" s="20" customFormat="1" ht="15.75">
      <c r="A66" s="6"/>
      <c r="B66" s="6"/>
      <c r="C66" s="16"/>
      <c r="D66" s="17"/>
      <c r="E66" s="6"/>
      <c r="F66" s="19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</row>
    <row r="67" spans="1:25" s="20" customFormat="1" ht="15.75">
      <c r="A67" s="6"/>
      <c r="B67" s="6"/>
      <c r="C67" s="16"/>
      <c r="D67" s="17"/>
      <c r="E67" s="6"/>
      <c r="F67" s="19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</row>
    <row r="68" spans="1:25" s="20" customFormat="1" ht="15.75">
      <c r="A68" s="6"/>
      <c r="B68" s="6"/>
      <c r="C68" s="16"/>
      <c r="D68" s="17"/>
      <c r="E68" s="6"/>
      <c r="F68" s="19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</row>
    <row r="69" spans="1:25" s="20" customFormat="1" ht="15.75">
      <c r="A69" s="6"/>
      <c r="B69" s="6"/>
      <c r="C69" s="16"/>
      <c r="D69" s="17"/>
      <c r="E69" s="6"/>
      <c r="F69" s="19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</row>
    <row r="70" spans="1:25" s="20" customFormat="1" ht="15.75">
      <c r="A70" s="6"/>
      <c r="B70" s="6"/>
      <c r="C70" s="16"/>
      <c r="D70" s="17"/>
      <c r="E70" s="6"/>
      <c r="F70" s="19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</row>
    <row r="71" spans="1:25" s="20" customFormat="1" ht="15.75">
      <c r="A71" s="6"/>
      <c r="B71" s="6"/>
      <c r="C71" s="16"/>
      <c r="D71" s="17"/>
      <c r="E71" s="6"/>
      <c r="F71" s="19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</row>
    <row r="72" spans="1:25" s="20" customFormat="1" ht="15.75">
      <c r="A72" s="6"/>
      <c r="B72" s="6"/>
      <c r="C72" s="16"/>
      <c r="D72" s="17"/>
      <c r="E72" s="6"/>
      <c r="F72" s="19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</row>
    <row r="73" spans="1:25" s="20" customFormat="1" ht="15.75">
      <c r="A73" s="6"/>
      <c r="B73" s="6"/>
      <c r="C73" s="16"/>
      <c r="D73" s="17"/>
      <c r="E73" s="6"/>
      <c r="F73" s="19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</row>
    <row r="74" spans="1:25" s="20" customFormat="1" ht="15.75">
      <c r="A74" s="6"/>
      <c r="B74" s="6"/>
      <c r="C74" s="16"/>
      <c r="D74" s="17"/>
      <c r="E74" s="6"/>
      <c r="F74" s="19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</row>
    <row r="75" spans="1:25" s="20" customFormat="1" ht="15.75">
      <c r="A75" s="6"/>
      <c r="B75" s="6"/>
      <c r="C75" s="16"/>
      <c r="D75" s="17"/>
      <c r="E75" s="6"/>
      <c r="F75" s="19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</row>
    <row r="76" spans="1:25" s="20" customFormat="1" ht="15.75">
      <c r="A76" s="6"/>
      <c r="B76" s="6"/>
      <c r="C76" s="16"/>
      <c r="D76" s="17"/>
      <c r="E76" s="6"/>
      <c r="F76" s="19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</row>
    <row r="77" spans="1:25" s="20" customFormat="1" ht="15.75">
      <c r="A77" s="6"/>
      <c r="B77" s="6"/>
      <c r="C77" s="16"/>
      <c r="D77" s="17"/>
      <c r="E77" s="6"/>
      <c r="F77" s="19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</row>
    <row r="78" spans="1:25" s="20" customFormat="1" ht="15.75">
      <c r="A78" s="6"/>
      <c r="B78" s="6"/>
      <c r="C78" s="16"/>
      <c r="D78" s="17"/>
      <c r="E78" s="6"/>
      <c r="F78" s="19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</row>
    <row r="79" spans="1:25" s="20" customFormat="1" ht="15.75">
      <c r="A79" s="6"/>
      <c r="B79" s="6"/>
      <c r="C79" s="16"/>
      <c r="D79" s="17"/>
      <c r="E79" s="6"/>
      <c r="F79" s="19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</row>
    <row r="80" spans="1:25" s="20" customFormat="1" ht="89.25" customHeight="1">
      <c r="A80" s="6"/>
      <c r="B80" s="6"/>
      <c r="C80" s="16"/>
      <c r="D80" s="17"/>
      <c r="E80" s="6"/>
      <c r="F80" s="19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</row>
    <row r="81" spans="1:25" s="20" customFormat="1" ht="89.25" customHeight="1">
      <c r="A81" s="6"/>
      <c r="B81" s="6"/>
      <c r="C81" s="16"/>
      <c r="D81" s="17"/>
      <c r="E81" s="6"/>
      <c r="F81" s="19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</row>
    <row r="82" spans="1:25" s="20" customFormat="1" ht="89.25" customHeight="1">
      <c r="A82" s="6"/>
      <c r="B82" s="6"/>
      <c r="C82" s="16"/>
      <c r="D82" s="17"/>
      <c r="E82" s="6"/>
      <c r="F82" s="19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</row>
    <row r="83" spans="1:25" s="20" customFormat="1" ht="89.25" customHeight="1">
      <c r="A83" s="6"/>
      <c r="B83" s="6"/>
      <c r="C83" s="16"/>
      <c r="D83" s="17"/>
      <c r="E83" s="6"/>
      <c r="F83" s="19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</row>
    <row r="84" spans="1:25" s="20" customFormat="1" ht="89.25" customHeight="1">
      <c r="A84" s="6"/>
      <c r="B84" s="6"/>
      <c r="C84" s="16"/>
      <c r="D84" s="17"/>
      <c r="E84" s="6"/>
      <c r="F84" s="19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</row>
    <row r="85" spans="1:25" s="20" customFormat="1" ht="89.25" customHeight="1">
      <c r="A85" s="6"/>
      <c r="B85" s="6"/>
      <c r="C85" s="16"/>
      <c r="D85" s="17"/>
      <c r="E85" s="6"/>
      <c r="F85" s="19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</row>
    <row r="86" spans="1:25" s="20" customFormat="1" ht="89.25" customHeight="1">
      <c r="A86" s="6"/>
      <c r="B86" s="6"/>
      <c r="C86" s="16"/>
      <c r="D86" s="17"/>
      <c r="E86" s="6"/>
      <c r="F86" s="19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</row>
    <row r="87" spans="1:25" s="20" customFormat="1" ht="89.25" customHeight="1">
      <c r="A87" s="6"/>
      <c r="B87" s="6"/>
      <c r="C87" s="16"/>
      <c r="D87" s="17"/>
      <c r="E87" s="6"/>
      <c r="F87" s="19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</row>
    <row r="88" spans="1:25" s="20" customFormat="1" ht="89.25" customHeight="1">
      <c r="A88" s="6"/>
      <c r="B88" s="6"/>
      <c r="C88" s="16"/>
      <c r="D88" s="17"/>
      <c r="E88" s="6"/>
      <c r="F88" s="19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</row>
    <row r="89" spans="1:25" s="20" customFormat="1" ht="89.25" customHeight="1">
      <c r="A89" s="6"/>
      <c r="B89" s="6"/>
      <c r="C89" s="16"/>
      <c r="D89" s="17"/>
      <c r="E89" s="6"/>
      <c r="F89" s="19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</row>
    <row r="90" spans="1:25" s="20" customFormat="1" ht="89.25" customHeight="1">
      <c r="A90" s="6"/>
      <c r="B90" s="6"/>
      <c r="C90" s="16"/>
      <c r="D90" s="17"/>
      <c r="E90" s="6"/>
      <c r="F90" s="19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</row>
    <row r="91" spans="1:25" s="20" customFormat="1" ht="89.25" customHeight="1">
      <c r="A91" s="6"/>
      <c r="B91" s="6"/>
      <c r="C91" s="16"/>
      <c r="D91" s="17"/>
      <c r="E91" s="6"/>
      <c r="F91" s="19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</row>
    <row r="92" spans="1:25" s="20" customFormat="1" ht="89.25" customHeight="1">
      <c r="A92" s="6"/>
      <c r="B92" s="6"/>
      <c r="C92" s="16"/>
      <c r="D92" s="17"/>
      <c r="E92" s="6"/>
      <c r="F92" s="19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</row>
    <row r="93" spans="1:25" s="20" customFormat="1" ht="89.25" customHeight="1">
      <c r="A93" s="6"/>
      <c r="B93" s="6"/>
      <c r="C93" s="16"/>
      <c r="D93" s="17"/>
      <c r="E93" s="6"/>
      <c r="F93" s="19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</row>
    <row r="94" spans="1:25" s="20" customFormat="1" ht="89.25" customHeight="1">
      <c r="A94" s="6"/>
      <c r="B94" s="6"/>
      <c r="C94" s="16"/>
      <c r="D94" s="17"/>
      <c r="E94" s="6"/>
      <c r="F94" s="19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</row>
    <row r="95" spans="1:25" s="20" customFormat="1" ht="89.25" customHeight="1">
      <c r="A95" s="6"/>
      <c r="B95" s="6"/>
      <c r="C95" s="16"/>
      <c r="D95" s="17"/>
      <c r="E95" s="6"/>
      <c r="F95" s="19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</row>
    <row r="96" spans="1:25" s="20" customFormat="1" ht="89.25" customHeight="1">
      <c r="A96" s="6"/>
      <c r="B96" s="6"/>
      <c r="C96" s="16"/>
      <c r="D96" s="17"/>
      <c r="E96" s="6"/>
      <c r="F96" s="19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</row>
    <row r="97" spans="1:25" s="20" customFormat="1" ht="89.25" customHeight="1">
      <c r="A97" s="6"/>
      <c r="B97" s="6"/>
      <c r="C97" s="16"/>
      <c r="D97" s="17"/>
      <c r="E97" s="6"/>
      <c r="F97" s="19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</row>
    <row r="98" spans="1:25" s="20" customFormat="1" ht="89.25" customHeight="1">
      <c r="A98" s="6"/>
      <c r="B98" s="6"/>
      <c r="C98" s="16"/>
      <c r="D98" s="17"/>
      <c r="E98" s="6"/>
      <c r="F98" s="19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</row>
    <row r="99" spans="1:25" s="20" customFormat="1" ht="89.25" customHeight="1">
      <c r="A99" s="6"/>
      <c r="B99" s="6"/>
      <c r="C99" s="16"/>
      <c r="D99" s="17"/>
      <c r="E99" s="6"/>
      <c r="F99" s="19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</row>
    <row r="100" spans="1:25" s="20" customFormat="1" ht="89.25" customHeight="1">
      <c r="A100" s="6"/>
      <c r="B100" s="6"/>
      <c r="C100" s="16"/>
      <c r="D100" s="17"/>
      <c r="E100" s="6"/>
      <c r="F100" s="19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</row>
    <row r="101" spans="1:25" s="20" customFormat="1" ht="89.25" customHeight="1">
      <c r="A101" s="6"/>
      <c r="B101" s="6"/>
      <c r="C101" s="16"/>
      <c r="D101" s="17"/>
      <c r="E101" s="6"/>
      <c r="F101" s="19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</row>
    <row r="102" spans="1:25" s="20" customFormat="1" ht="89.25" customHeight="1">
      <c r="A102" s="6"/>
      <c r="B102" s="6"/>
      <c r="C102" s="16"/>
      <c r="D102" s="17"/>
      <c r="E102" s="6"/>
      <c r="F102" s="19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</row>
    <row r="103" spans="1:25" s="20" customFormat="1" ht="89.25" customHeight="1">
      <c r="A103" s="6"/>
      <c r="B103" s="6"/>
      <c r="C103" s="16"/>
      <c r="D103" s="17"/>
      <c r="E103" s="6"/>
      <c r="F103" s="19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</row>
    <row r="104" spans="1:25" s="20" customFormat="1" ht="89.25" customHeight="1">
      <c r="A104" s="6"/>
      <c r="B104" s="6"/>
      <c r="C104" s="16"/>
      <c r="D104" s="17"/>
      <c r="E104" s="6"/>
      <c r="F104" s="19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</row>
    <row r="105" spans="1:25" s="20" customFormat="1" ht="89.25" customHeight="1">
      <c r="A105" s="6"/>
      <c r="B105" s="6"/>
      <c r="C105" s="16"/>
      <c r="D105" s="17"/>
      <c r="E105" s="6"/>
      <c r="F105" s="19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</row>
    <row r="106" spans="1:25" s="20" customFormat="1" ht="89.25" customHeight="1">
      <c r="A106" s="6"/>
      <c r="B106" s="6"/>
      <c r="C106" s="16"/>
      <c r="D106" s="17"/>
      <c r="E106" s="6"/>
      <c r="F106" s="19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</row>
    <row r="107" spans="1:25" s="20" customFormat="1" ht="89.25" customHeight="1">
      <c r="A107" s="6"/>
      <c r="B107" s="6"/>
      <c r="C107" s="16"/>
      <c r="D107" s="17"/>
      <c r="E107" s="6"/>
      <c r="F107" s="19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</row>
    <row r="108" spans="1:25" s="20" customFormat="1" ht="89.25" customHeight="1">
      <c r="A108" s="6"/>
      <c r="B108" s="6"/>
      <c r="C108" s="16"/>
      <c r="D108" s="17"/>
      <c r="E108" s="6"/>
      <c r="F108" s="19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</row>
    <row r="109" spans="1:25" s="20" customFormat="1" ht="89.25" customHeight="1">
      <c r="A109" s="6"/>
      <c r="B109" s="6"/>
      <c r="C109" s="16"/>
      <c r="D109" s="17"/>
      <c r="E109" s="6"/>
      <c r="F109" s="19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</row>
    <row r="110" spans="1:25" s="20" customFormat="1" ht="89.25" customHeight="1">
      <c r="A110" s="6"/>
      <c r="B110" s="6"/>
      <c r="C110" s="16"/>
      <c r="D110" s="17"/>
      <c r="E110" s="6"/>
      <c r="F110" s="19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</row>
    <row r="111" spans="1:25" s="20" customFormat="1" ht="89.25" customHeight="1">
      <c r="A111" s="6"/>
      <c r="B111" s="6"/>
      <c r="C111" s="16"/>
      <c r="D111" s="17"/>
      <c r="E111" s="6"/>
      <c r="F111" s="19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</row>
    <row r="112" spans="1:25" s="20" customFormat="1" ht="89.25" customHeight="1">
      <c r="A112" s="6"/>
      <c r="B112" s="6"/>
      <c r="C112" s="16"/>
      <c r="D112" s="17"/>
      <c r="E112" s="6"/>
      <c r="F112" s="19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</row>
    <row r="113" spans="1:25" s="20" customFormat="1" ht="89.25" customHeight="1">
      <c r="A113" s="6"/>
      <c r="B113" s="6"/>
      <c r="C113" s="16"/>
      <c r="D113" s="17"/>
      <c r="E113" s="6"/>
      <c r="F113" s="19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</row>
    <row r="114" spans="1:25" s="20" customFormat="1" ht="89.25" customHeight="1">
      <c r="A114" s="6"/>
      <c r="B114" s="6"/>
      <c r="C114" s="16"/>
      <c r="D114" s="17"/>
      <c r="E114" s="6"/>
      <c r="F114" s="19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</row>
    <row r="115" spans="1:25" s="20" customFormat="1" ht="89.25" customHeight="1">
      <c r="A115" s="6"/>
      <c r="B115" s="6"/>
      <c r="C115" s="16"/>
      <c r="D115" s="17"/>
      <c r="E115" s="6"/>
      <c r="F115" s="19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</row>
    <row r="116" spans="1:25" s="20" customFormat="1" ht="89.25" customHeight="1">
      <c r="A116" s="6"/>
      <c r="B116" s="6"/>
      <c r="C116" s="16"/>
      <c r="D116" s="17"/>
      <c r="E116" s="6"/>
      <c r="F116" s="19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</row>
    <row r="117" spans="1:25" s="20" customFormat="1" ht="89.25" customHeight="1">
      <c r="A117" s="6"/>
      <c r="B117" s="6"/>
      <c r="C117" s="16"/>
      <c r="D117" s="17"/>
      <c r="E117" s="6"/>
      <c r="F117" s="19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</row>
    <row r="118" spans="1:25" s="20" customFormat="1" ht="89.25" customHeight="1">
      <c r="A118" s="6"/>
      <c r="B118" s="6"/>
      <c r="C118" s="16"/>
      <c r="D118" s="17"/>
      <c r="E118" s="6"/>
      <c r="F118" s="19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</row>
    <row r="119" spans="1:25" s="20" customFormat="1" ht="89.25" customHeight="1">
      <c r="A119" s="6"/>
      <c r="B119" s="6"/>
      <c r="C119" s="16"/>
      <c r="D119" s="17"/>
      <c r="E119" s="6"/>
      <c r="F119" s="19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</row>
    <row r="120" spans="1:25" s="20" customFormat="1" ht="89.25" customHeight="1">
      <c r="A120" s="6"/>
      <c r="B120" s="6"/>
      <c r="C120" s="16"/>
      <c r="D120" s="17"/>
      <c r="E120" s="6"/>
      <c r="F120" s="19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</row>
    <row r="121" spans="1:25" s="20" customFormat="1" ht="89.25" customHeight="1">
      <c r="A121" s="6"/>
      <c r="B121" s="6"/>
      <c r="C121" s="16"/>
      <c r="D121" s="17"/>
      <c r="E121" s="6"/>
      <c r="F121" s="19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</row>
    <row r="122" spans="1:25" s="20" customFormat="1" ht="89.25" customHeight="1">
      <c r="A122" s="6"/>
      <c r="B122" s="6"/>
      <c r="C122" s="16"/>
      <c r="D122" s="17"/>
      <c r="E122" s="6"/>
      <c r="F122" s="19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</row>
    <row r="123" spans="1:25" s="20" customFormat="1" ht="89.25" customHeight="1">
      <c r="A123" s="6"/>
      <c r="B123" s="6"/>
      <c r="C123" s="16"/>
      <c r="D123" s="17"/>
      <c r="E123" s="6"/>
      <c r="F123" s="19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</row>
    <row r="124" spans="1:25" s="20" customFormat="1" ht="89.25" customHeight="1">
      <c r="A124" s="6"/>
      <c r="B124" s="6"/>
      <c r="C124" s="16"/>
      <c r="D124" s="17"/>
      <c r="E124" s="6"/>
      <c r="F124" s="19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</row>
    <row r="125" spans="1:25" s="20" customFormat="1" ht="89.25" customHeight="1">
      <c r="A125" s="6"/>
      <c r="B125" s="6"/>
      <c r="C125" s="16"/>
      <c r="D125" s="17"/>
      <c r="E125" s="6"/>
      <c r="F125" s="19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</row>
    <row r="126" spans="1:25" s="20" customFormat="1" ht="89.25" customHeight="1">
      <c r="A126" s="6"/>
      <c r="B126" s="6"/>
      <c r="C126" s="16"/>
      <c r="D126" s="17"/>
      <c r="E126" s="6"/>
      <c r="F126" s="19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</row>
    <row r="127" spans="1:25" s="20" customFormat="1" ht="89.25" customHeight="1">
      <c r="A127" s="6"/>
      <c r="B127" s="6"/>
      <c r="C127" s="16"/>
      <c r="D127" s="17"/>
      <c r="E127" s="6"/>
      <c r="F127" s="19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</row>
    <row r="128" spans="1:25" s="20" customFormat="1" ht="89.25" customHeight="1">
      <c r="A128" s="6"/>
      <c r="B128" s="6"/>
      <c r="C128" s="16"/>
      <c r="D128" s="17"/>
      <c r="E128" s="6"/>
      <c r="F128" s="19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</row>
    <row r="129" spans="1:25" s="20" customFormat="1" ht="89.25" customHeight="1">
      <c r="A129" s="6"/>
      <c r="B129" s="6"/>
      <c r="C129" s="16"/>
      <c r="D129" s="17"/>
      <c r="E129" s="6"/>
      <c r="F129" s="19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</row>
    <row r="130" spans="1:25" s="20" customFormat="1" ht="89.25" customHeight="1">
      <c r="A130" s="6"/>
      <c r="B130" s="6"/>
      <c r="C130" s="16"/>
      <c r="D130" s="17"/>
      <c r="E130" s="6"/>
      <c r="F130" s="19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</row>
    <row r="131" spans="1:25" s="20" customFormat="1" ht="89.25" customHeight="1">
      <c r="A131" s="6"/>
      <c r="B131" s="6"/>
      <c r="C131" s="16"/>
      <c r="D131" s="17"/>
      <c r="E131" s="6"/>
      <c r="F131" s="19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</row>
    <row r="132" spans="1:25" s="20" customFormat="1" ht="89.25" customHeight="1">
      <c r="A132" s="6"/>
      <c r="B132" s="6"/>
      <c r="C132" s="16"/>
      <c r="D132" s="17"/>
      <c r="E132" s="6"/>
      <c r="F132" s="19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</row>
    <row r="133" spans="1:25" s="20" customFormat="1" ht="89.25" customHeight="1">
      <c r="A133" s="6"/>
      <c r="B133" s="6"/>
      <c r="C133" s="16"/>
      <c r="D133" s="17"/>
      <c r="E133" s="6"/>
      <c r="F133" s="19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</row>
    <row r="134" spans="1:25" s="20" customFormat="1" ht="89.25" customHeight="1">
      <c r="A134" s="6"/>
      <c r="B134" s="6"/>
      <c r="C134" s="16"/>
      <c r="D134" s="17"/>
      <c r="E134" s="6"/>
      <c r="F134" s="19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</row>
    <row r="135" spans="1:25" s="20" customFormat="1" ht="89.25" customHeight="1">
      <c r="A135" s="6"/>
      <c r="B135" s="6"/>
      <c r="C135" s="16"/>
      <c r="D135" s="17"/>
      <c r="E135" s="6"/>
      <c r="F135" s="19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</row>
    <row r="136" spans="1:25" s="20" customFormat="1" ht="89.25" customHeight="1">
      <c r="A136" s="6"/>
      <c r="B136" s="6"/>
      <c r="C136" s="16"/>
      <c r="D136" s="17"/>
      <c r="E136" s="6"/>
      <c r="F136" s="19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</row>
    <row r="137" spans="1:25" s="20" customFormat="1" ht="89.25" customHeight="1">
      <c r="A137" s="6"/>
      <c r="B137" s="6"/>
      <c r="C137" s="16"/>
      <c r="D137" s="17"/>
      <c r="E137" s="6"/>
      <c r="F137" s="19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</row>
    <row r="138" spans="1:25" s="20" customFormat="1" ht="89.25" customHeight="1">
      <c r="A138" s="6"/>
      <c r="B138" s="6"/>
      <c r="C138" s="16"/>
      <c r="D138" s="17"/>
      <c r="E138" s="6"/>
      <c r="F138" s="19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</row>
    <row r="139" spans="1:25" s="20" customFormat="1" ht="89.25" customHeight="1">
      <c r="A139" s="6"/>
      <c r="B139" s="6"/>
      <c r="C139" s="16"/>
      <c r="D139" s="17"/>
      <c r="E139" s="6"/>
      <c r="F139" s="19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</row>
    <row r="140" spans="1:25" s="20" customFormat="1" ht="89.25" customHeight="1">
      <c r="A140" s="6"/>
      <c r="B140" s="6"/>
      <c r="C140" s="16"/>
      <c r="D140" s="17"/>
      <c r="E140" s="6"/>
      <c r="F140" s="19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</row>
    <row r="141" spans="1:25" s="20" customFormat="1" ht="89.25" customHeight="1">
      <c r="A141" s="6"/>
      <c r="B141" s="6"/>
      <c r="C141" s="16"/>
      <c r="D141" s="17"/>
      <c r="E141" s="6"/>
      <c r="F141" s="19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</row>
    <row r="142" spans="1:25" s="20" customFormat="1" ht="89.25" customHeight="1">
      <c r="A142" s="6"/>
      <c r="B142" s="6"/>
      <c r="C142" s="16"/>
      <c r="D142" s="17"/>
      <c r="E142" s="6"/>
      <c r="F142" s="19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</row>
    <row r="143" spans="1:25" s="20" customFormat="1" ht="89.25" customHeight="1">
      <c r="A143" s="6"/>
      <c r="B143" s="6"/>
      <c r="C143" s="16"/>
      <c r="D143" s="17"/>
      <c r="E143" s="6"/>
      <c r="F143" s="19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</row>
    <row r="144" spans="1:25" s="20" customFormat="1" ht="89.25" customHeight="1">
      <c r="A144" s="6"/>
      <c r="B144" s="6"/>
      <c r="C144" s="16"/>
      <c r="D144" s="17"/>
      <c r="E144" s="6"/>
      <c r="F144" s="19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</row>
    <row r="145" spans="1:25" s="20" customFormat="1" ht="89.25" customHeight="1">
      <c r="A145" s="6"/>
      <c r="B145" s="6"/>
      <c r="C145" s="16"/>
      <c r="D145" s="17"/>
      <c r="E145" s="6"/>
      <c r="F145" s="19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</row>
    <row r="146" spans="1:25" s="20" customFormat="1" ht="89.25" customHeight="1">
      <c r="A146" s="6"/>
      <c r="B146" s="6"/>
      <c r="C146" s="16"/>
      <c r="D146" s="17"/>
      <c r="E146" s="6"/>
      <c r="F146" s="19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</row>
    <row r="147" spans="1:25" s="20" customFormat="1" ht="89.25" customHeight="1">
      <c r="A147" s="6"/>
      <c r="B147" s="6"/>
      <c r="C147" s="16"/>
      <c r="D147" s="17"/>
      <c r="E147" s="6"/>
      <c r="F147" s="19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</row>
    <row r="148" spans="1:25" s="20" customFormat="1" ht="89.25" customHeight="1">
      <c r="A148" s="6"/>
      <c r="B148" s="6"/>
      <c r="C148" s="16"/>
      <c r="D148" s="17"/>
      <c r="E148" s="6"/>
      <c r="F148" s="19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</row>
    <row r="149" spans="1:25" s="20" customFormat="1" ht="89.25" customHeight="1">
      <c r="A149" s="6"/>
      <c r="B149" s="6"/>
      <c r="C149" s="16"/>
      <c r="D149" s="17"/>
      <c r="E149" s="6"/>
      <c r="F149" s="19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</row>
    <row r="150" spans="1:25" s="20" customFormat="1" ht="89.25" customHeight="1">
      <c r="A150" s="6"/>
      <c r="B150" s="6"/>
      <c r="C150" s="16"/>
      <c r="D150" s="17"/>
      <c r="E150" s="6"/>
      <c r="F150" s="19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</row>
    <row r="151" spans="1:25" s="20" customFormat="1" ht="89.25" customHeight="1">
      <c r="A151" s="6"/>
      <c r="B151" s="6"/>
      <c r="C151" s="16"/>
      <c r="D151" s="17"/>
      <c r="E151" s="6"/>
      <c r="F151" s="19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</row>
    <row r="152" spans="1:25" s="20" customFormat="1" ht="89.25" customHeight="1">
      <c r="A152" s="6"/>
      <c r="B152" s="6"/>
      <c r="C152" s="16"/>
      <c r="D152" s="17"/>
      <c r="E152" s="6"/>
      <c r="F152" s="19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</row>
    <row r="153" spans="1:25" s="20" customFormat="1" ht="89.25" customHeight="1">
      <c r="A153" s="6"/>
      <c r="B153" s="6"/>
      <c r="C153" s="16"/>
      <c r="D153" s="17"/>
      <c r="E153" s="6"/>
      <c r="F153" s="19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</row>
    <row r="154" spans="1:25" s="20" customFormat="1" ht="89.25" customHeight="1">
      <c r="A154" s="6"/>
      <c r="B154" s="6"/>
      <c r="C154" s="16"/>
      <c r="D154" s="17"/>
      <c r="E154" s="6"/>
      <c r="F154" s="19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</row>
    <row r="155" spans="1:25" s="20" customFormat="1" ht="89.25" customHeight="1">
      <c r="A155" s="6"/>
      <c r="B155" s="6"/>
      <c r="C155" s="16"/>
      <c r="D155" s="17"/>
      <c r="E155" s="6"/>
      <c r="F155" s="19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</row>
    <row r="156" spans="1:25" s="20" customFormat="1" ht="89.25" customHeight="1">
      <c r="A156" s="6"/>
      <c r="B156" s="6"/>
      <c r="C156" s="16"/>
      <c r="D156" s="17"/>
      <c r="E156" s="6"/>
      <c r="F156" s="19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</row>
    <row r="157" spans="1:25" s="20" customFormat="1" ht="89.25" customHeight="1">
      <c r="A157" s="6"/>
      <c r="B157" s="6"/>
      <c r="C157" s="16"/>
      <c r="D157" s="17"/>
      <c r="E157" s="6"/>
      <c r="F157" s="19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</row>
    <row r="158" spans="1:25" s="20" customFormat="1" ht="89.25" customHeight="1">
      <c r="A158" s="6"/>
      <c r="B158" s="6"/>
      <c r="C158" s="16"/>
      <c r="D158" s="17"/>
      <c r="E158" s="6"/>
      <c r="F158" s="19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</row>
    <row r="159" spans="1:25" s="20" customFormat="1" ht="89.25" customHeight="1">
      <c r="A159" s="6"/>
      <c r="B159" s="6"/>
      <c r="C159" s="16"/>
      <c r="D159" s="17"/>
      <c r="E159" s="6"/>
      <c r="F159" s="19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</row>
    <row r="160" spans="1:25" s="20" customFormat="1" ht="89.25" customHeight="1">
      <c r="A160" s="6"/>
      <c r="B160" s="6"/>
      <c r="C160" s="16"/>
      <c r="D160" s="17"/>
      <c r="E160" s="6"/>
      <c r="F160" s="19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</row>
    <row r="161" spans="1:25" s="20" customFormat="1" ht="89.25" customHeight="1">
      <c r="A161" s="6"/>
      <c r="B161" s="6"/>
      <c r="C161" s="16"/>
      <c r="D161" s="17"/>
      <c r="E161" s="6"/>
      <c r="F161" s="19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</row>
    <row r="162" spans="1:25" s="20" customFormat="1" ht="89.25" customHeight="1">
      <c r="A162" s="6"/>
      <c r="B162" s="6"/>
      <c r="C162" s="16"/>
      <c r="D162" s="17"/>
      <c r="E162" s="6"/>
      <c r="F162" s="19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</row>
    <row r="163" spans="1:25" s="20" customFormat="1" ht="89.25" customHeight="1">
      <c r="A163" s="6"/>
      <c r="B163" s="6"/>
      <c r="C163" s="16"/>
      <c r="D163" s="17"/>
      <c r="E163" s="6"/>
      <c r="F163" s="19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</row>
    <row r="164" spans="1:25" s="20" customFormat="1" ht="89.25" customHeight="1">
      <c r="A164" s="6"/>
      <c r="B164" s="6"/>
      <c r="C164" s="16"/>
      <c r="D164" s="17"/>
      <c r="E164" s="6"/>
      <c r="F164" s="19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</row>
    <row r="165" spans="1:25" s="20" customFormat="1" ht="89.25" customHeight="1">
      <c r="A165" s="6"/>
      <c r="B165" s="6"/>
      <c r="C165" s="16"/>
      <c r="D165" s="17"/>
      <c r="E165" s="6"/>
      <c r="F165" s="19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</row>
    <row r="166" spans="1:25" s="20" customFormat="1" ht="89.25" customHeight="1">
      <c r="A166" s="6"/>
      <c r="B166" s="6"/>
      <c r="C166" s="16"/>
      <c r="D166" s="17"/>
      <c r="E166" s="6"/>
      <c r="F166" s="19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</row>
    <row r="167" spans="1:25" s="20" customFormat="1" ht="89.25" customHeight="1">
      <c r="A167" s="6"/>
      <c r="B167" s="6"/>
      <c r="C167" s="16"/>
      <c r="D167" s="17"/>
      <c r="E167" s="6"/>
      <c r="F167" s="19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</row>
    <row r="168" spans="1:25" s="20" customFormat="1" ht="89.25" customHeight="1">
      <c r="A168" s="6"/>
      <c r="B168" s="6"/>
      <c r="C168" s="16"/>
      <c r="D168" s="17"/>
      <c r="E168" s="6"/>
      <c r="F168" s="19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</row>
    <row r="169" spans="1:25" s="20" customFormat="1" ht="89.25" customHeight="1">
      <c r="A169" s="6"/>
      <c r="B169" s="6"/>
      <c r="C169" s="16"/>
      <c r="D169" s="17"/>
      <c r="E169" s="6"/>
      <c r="F169" s="19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</row>
    <row r="170" spans="1:25" s="20" customFormat="1" ht="89.25" customHeight="1">
      <c r="A170" s="6"/>
      <c r="B170" s="6"/>
      <c r="C170" s="16"/>
      <c r="D170" s="17"/>
      <c r="E170" s="6"/>
      <c r="F170" s="19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</row>
    <row r="171" spans="1:25" s="20" customFormat="1" ht="89.25" customHeight="1">
      <c r="A171" s="6"/>
      <c r="B171" s="6"/>
      <c r="C171" s="16"/>
      <c r="D171" s="17"/>
      <c r="E171" s="6"/>
      <c r="F171" s="19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</row>
    <row r="172" spans="1:25" s="20" customFormat="1" ht="89.25" customHeight="1">
      <c r="A172" s="6"/>
      <c r="B172" s="6"/>
      <c r="C172" s="16"/>
      <c r="D172" s="17"/>
      <c r="E172" s="6"/>
      <c r="F172" s="19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</row>
    <row r="173" spans="1:25" s="20" customFormat="1" ht="89.25" customHeight="1">
      <c r="A173" s="6"/>
      <c r="B173" s="6"/>
      <c r="C173" s="16"/>
      <c r="D173" s="17"/>
      <c r="E173" s="6"/>
      <c r="F173" s="19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</row>
    <row r="174" spans="1:25" s="20" customFormat="1" ht="89.25" customHeight="1">
      <c r="A174" s="6"/>
      <c r="B174" s="6"/>
      <c r="C174" s="16"/>
      <c r="D174" s="17"/>
      <c r="E174" s="6"/>
      <c r="F174" s="19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</row>
    <row r="175" spans="1:25" s="20" customFormat="1" ht="89.25" customHeight="1">
      <c r="A175" s="6"/>
      <c r="B175" s="6"/>
      <c r="C175" s="16"/>
      <c r="D175" s="17"/>
      <c r="E175" s="6"/>
      <c r="F175" s="19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</row>
    <row r="176" spans="1:25" s="20" customFormat="1" ht="89.25" customHeight="1">
      <c r="A176" s="6"/>
      <c r="B176" s="6"/>
      <c r="C176" s="16"/>
      <c r="D176" s="17"/>
      <c r="E176" s="6"/>
      <c r="F176" s="19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</row>
    <row r="177" spans="1:25" s="20" customFormat="1" ht="89.25" customHeight="1">
      <c r="A177" s="6"/>
      <c r="B177" s="6"/>
      <c r="C177" s="16"/>
      <c r="D177" s="17"/>
      <c r="E177" s="6"/>
      <c r="F177" s="19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</row>
    <row r="178" spans="1:25" s="20" customFormat="1" ht="89.25" customHeight="1">
      <c r="A178" s="6"/>
      <c r="B178" s="6"/>
      <c r="C178" s="16"/>
      <c r="D178" s="17"/>
      <c r="E178" s="6"/>
      <c r="F178" s="19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</row>
    <row r="179" spans="1:25" s="20" customFormat="1" ht="89.25" customHeight="1">
      <c r="A179" s="6"/>
      <c r="B179" s="6"/>
      <c r="C179" s="16"/>
      <c r="D179" s="17"/>
      <c r="E179" s="6"/>
      <c r="F179" s="19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</row>
    <row r="180" spans="1:25" s="20" customFormat="1" ht="89.25" customHeight="1">
      <c r="A180" s="6"/>
      <c r="B180" s="6"/>
      <c r="C180" s="16"/>
      <c r="D180" s="17"/>
      <c r="E180" s="6"/>
      <c r="F180" s="19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</row>
    <row r="181" spans="1:25" s="20" customFormat="1" ht="89.25" customHeight="1">
      <c r="A181" s="6"/>
      <c r="B181" s="6"/>
      <c r="C181" s="16"/>
      <c r="D181" s="17"/>
      <c r="E181" s="6"/>
      <c r="F181" s="19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</row>
    <row r="182" spans="1:25" s="20" customFormat="1" ht="89.25" customHeight="1">
      <c r="A182" s="6"/>
      <c r="B182" s="6"/>
      <c r="C182" s="16"/>
      <c r="D182" s="17"/>
      <c r="E182" s="6"/>
      <c r="F182" s="19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</row>
    <row r="183" spans="1:25" s="20" customFormat="1" ht="89.25" customHeight="1">
      <c r="A183" s="6"/>
      <c r="B183" s="6"/>
      <c r="C183" s="16"/>
      <c r="D183" s="17"/>
      <c r="E183" s="6"/>
      <c r="F183" s="19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</row>
    <row r="184" spans="1:25" s="20" customFormat="1" ht="89.25" customHeight="1">
      <c r="A184" s="6"/>
      <c r="B184" s="6"/>
      <c r="C184" s="16"/>
      <c r="D184" s="17"/>
      <c r="E184" s="6"/>
      <c r="F184" s="19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</row>
    <row r="185" spans="1:25" s="20" customFormat="1" ht="89.25" customHeight="1">
      <c r="A185" s="6"/>
      <c r="B185" s="6"/>
      <c r="C185" s="16"/>
      <c r="D185" s="17"/>
      <c r="E185" s="6"/>
      <c r="F185" s="19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</row>
    <row r="186" spans="1:25" s="20" customFormat="1" ht="89.25" customHeight="1">
      <c r="A186" s="6"/>
      <c r="B186" s="6"/>
      <c r="C186" s="16"/>
      <c r="D186" s="17"/>
      <c r="E186" s="6"/>
      <c r="F186" s="19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</row>
    <row r="187" spans="1:25" s="20" customFormat="1" ht="89.25" customHeight="1">
      <c r="A187" s="6"/>
      <c r="B187" s="6"/>
      <c r="C187" s="16"/>
      <c r="D187" s="17"/>
      <c r="E187" s="6"/>
      <c r="F187" s="19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</row>
    <row r="188" spans="1:25" s="20" customFormat="1" ht="89.25" customHeight="1">
      <c r="A188" s="6"/>
      <c r="B188" s="6"/>
      <c r="C188" s="16"/>
      <c r="D188" s="17"/>
      <c r="E188" s="6"/>
      <c r="F188" s="19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</row>
    <row r="189" spans="1:25" s="20" customFormat="1" ht="89.25" customHeight="1">
      <c r="A189" s="6"/>
      <c r="B189" s="6"/>
      <c r="C189" s="16"/>
      <c r="D189" s="17"/>
      <c r="E189" s="6"/>
      <c r="F189" s="19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</row>
    <row r="190" spans="1:25" s="20" customFormat="1" ht="89.25" customHeight="1">
      <c r="A190" s="6"/>
      <c r="B190" s="6"/>
      <c r="C190" s="16"/>
      <c r="D190" s="17"/>
      <c r="E190" s="6"/>
      <c r="F190" s="19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</row>
    <row r="191" spans="1:25" s="20" customFormat="1" ht="89.25" customHeight="1">
      <c r="A191" s="6"/>
      <c r="B191" s="6"/>
      <c r="C191" s="16"/>
      <c r="D191" s="17"/>
      <c r="E191" s="6"/>
      <c r="F191" s="19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</row>
    <row r="192" spans="1:25" s="20" customFormat="1" ht="89.25" customHeight="1">
      <c r="A192" s="6"/>
      <c r="B192" s="6"/>
      <c r="C192" s="16"/>
      <c r="D192" s="17"/>
      <c r="E192" s="6"/>
      <c r="F192" s="19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</row>
    <row r="193" spans="1:25" s="20" customFormat="1" ht="89.25" customHeight="1">
      <c r="A193" s="6"/>
      <c r="B193" s="6"/>
      <c r="C193" s="16"/>
      <c r="D193" s="17"/>
      <c r="E193" s="6"/>
      <c r="F193" s="19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</row>
    <row r="194" spans="1:25" s="20" customFormat="1" ht="89.25" customHeight="1">
      <c r="A194" s="6"/>
      <c r="B194" s="6"/>
      <c r="C194" s="16"/>
      <c r="D194" s="17"/>
      <c r="E194" s="6"/>
      <c r="F194" s="19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</row>
    <row r="195" spans="1:25" s="20" customFormat="1" ht="89.25" customHeight="1">
      <c r="A195" s="6"/>
      <c r="B195" s="6"/>
      <c r="C195" s="16"/>
      <c r="D195" s="17"/>
      <c r="E195" s="6"/>
      <c r="F195" s="19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</row>
    <row r="196" spans="1:25" s="20" customFormat="1" ht="89.25" customHeight="1">
      <c r="A196" s="6"/>
      <c r="B196" s="6"/>
      <c r="C196" s="16"/>
      <c r="D196" s="17"/>
      <c r="E196" s="6"/>
      <c r="F196" s="19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</row>
    <row r="197" spans="1:25" s="20" customFormat="1" ht="89.25" customHeight="1">
      <c r="A197" s="6"/>
      <c r="B197" s="6"/>
      <c r="C197" s="16"/>
      <c r="D197" s="17"/>
      <c r="E197" s="6"/>
      <c r="F197" s="19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</row>
    <row r="198" spans="1:25" s="20" customFormat="1" ht="89.25" customHeight="1">
      <c r="A198" s="6"/>
      <c r="B198" s="6"/>
      <c r="C198" s="16"/>
      <c r="D198" s="17"/>
      <c r="E198" s="6"/>
      <c r="F198" s="19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</row>
    <row r="199" spans="1:25" s="20" customFormat="1" ht="89.25" customHeight="1">
      <c r="A199" s="6"/>
      <c r="B199" s="6"/>
      <c r="C199" s="16"/>
      <c r="D199" s="17"/>
      <c r="E199" s="6"/>
      <c r="F199" s="19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</row>
    <row r="200" spans="1:25" s="20" customFormat="1" ht="89.25" customHeight="1">
      <c r="A200" s="6"/>
      <c r="B200" s="6"/>
      <c r="C200" s="16"/>
      <c r="D200" s="17"/>
      <c r="E200" s="6"/>
      <c r="F200" s="19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</row>
    <row r="201" spans="1:25" s="20" customFormat="1" ht="89.25" customHeight="1">
      <c r="A201" s="6"/>
      <c r="B201" s="6"/>
      <c r="C201" s="16"/>
      <c r="D201" s="17"/>
      <c r="E201" s="6"/>
      <c r="F201" s="19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</row>
    <row r="202" spans="1:25" s="20" customFormat="1" ht="89.25" customHeight="1">
      <c r="A202" s="6"/>
      <c r="B202" s="6"/>
      <c r="C202" s="16"/>
      <c r="D202" s="17"/>
      <c r="E202" s="6"/>
      <c r="F202" s="19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</row>
    <row r="203" spans="1:25" s="20" customFormat="1" ht="89.25" customHeight="1">
      <c r="A203" s="6"/>
      <c r="B203" s="6"/>
      <c r="C203" s="16"/>
      <c r="D203" s="17"/>
      <c r="E203" s="6"/>
      <c r="F203" s="19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</row>
    <row r="204" spans="1:25" s="20" customFormat="1" ht="89.25" customHeight="1">
      <c r="A204" s="6"/>
      <c r="B204" s="6"/>
      <c r="C204" s="16"/>
      <c r="D204" s="17"/>
      <c r="E204" s="6"/>
      <c r="F204" s="19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</row>
    <row r="205" spans="1:25" s="20" customFormat="1" ht="89.25" customHeight="1">
      <c r="A205" s="6"/>
      <c r="B205" s="6"/>
      <c r="C205" s="16"/>
      <c r="D205" s="17"/>
      <c r="E205" s="6"/>
      <c r="F205" s="19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</row>
    <row r="206" spans="1:25" s="20" customFormat="1" ht="89.25" customHeight="1">
      <c r="A206" s="6"/>
      <c r="B206" s="6"/>
      <c r="C206" s="16"/>
      <c r="D206" s="17"/>
      <c r="E206" s="6"/>
      <c r="F206" s="19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</row>
    <row r="207" spans="1:25" s="20" customFormat="1" ht="89.25" customHeight="1">
      <c r="A207" s="6"/>
      <c r="B207" s="6"/>
      <c r="C207" s="16"/>
      <c r="D207" s="17"/>
      <c r="E207" s="6"/>
      <c r="F207" s="19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</row>
    <row r="208" spans="1:25" s="20" customFormat="1" ht="89.25" customHeight="1">
      <c r="A208" s="6"/>
      <c r="B208" s="6"/>
      <c r="C208" s="16"/>
      <c r="D208" s="17"/>
      <c r="E208" s="6"/>
      <c r="F208" s="19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</row>
    <row r="209" spans="1:25" s="20" customFormat="1" ht="89.25" customHeight="1">
      <c r="A209" s="6"/>
      <c r="B209" s="6"/>
      <c r="C209" s="16"/>
      <c r="D209" s="17"/>
      <c r="E209" s="6"/>
      <c r="F209" s="19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</row>
    <row r="210" spans="1:25" s="20" customFormat="1" ht="89.25" customHeight="1">
      <c r="A210" s="6"/>
      <c r="B210" s="6"/>
      <c r="C210" s="16"/>
      <c r="D210" s="17"/>
      <c r="E210" s="6"/>
      <c r="F210" s="19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</row>
    <row r="211" spans="1:25" s="20" customFormat="1" ht="89.25" customHeight="1">
      <c r="A211" s="6"/>
      <c r="B211" s="6"/>
      <c r="C211" s="16"/>
      <c r="D211" s="17"/>
      <c r="E211" s="6"/>
      <c r="F211" s="19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</row>
    <row r="212" spans="1:25" s="20" customFormat="1" ht="89.25" customHeight="1">
      <c r="A212" s="6"/>
      <c r="B212" s="6"/>
      <c r="C212" s="16"/>
      <c r="D212" s="17"/>
      <c r="E212" s="6"/>
      <c r="F212" s="19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</row>
    <row r="213" spans="1:25" s="20" customFormat="1" ht="89.25" customHeight="1">
      <c r="A213" s="6"/>
      <c r="B213" s="6"/>
      <c r="C213" s="16"/>
      <c r="D213" s="17"/>
      <c r="E213" s="6"/>
      <c r="F213" s="19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</row>
    <row r="214" spans="1:25" s="20" customFormat="1" ht="89.25" customHeight="1">
      <c r="A214" s="6"/>
      <c r="B214" s="6"/>
      <c r="C214" s="16"/>
      <c r="D214" s="17"/>
      <c r="E214" s="6"/>
      <c r="F214" s="19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</row>
    <row r="215" spans="1:25" s="20" customFormat="1" ht="89.25" customHeight="1">
      <c r="A215" s="6"/>
      <c r="B215" s="6"/>
      <c r="C215" s="16"/>
      <c r="D215" s="17"/>
      <c r="E215" s="6"/>
      <c r="F215" s="19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</row>
    <row r="216" spans="1:25" s="20" customFormat="1" ht="89.25" customHeight="1">
      <c r="A216" s="6"/>
      <c r="B216" s="6"/>
      <c r="C216" s="16"/>
      <c r="D216" s="17"/>
      <c r="E216" s="6"/>
      <c r="F216" s="19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</row>
    <row r="217" spans="1:25" s="20" customFormat="1" ht="89.25" customHeight="1">
      <c r="A217" s="6"/>
      <c r="B217" s="6"/>
      <c r="C217" s="16"/>
      <c r="D217" s="17"/>
      <c r="E217" s="6"/>
      <c r="F217" s="19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</row>
    <row r="218" spans="1:25" s="20" customFormat="1" ht="89.25" customHeight="1">
      <c r="A218" s="6"/>
      <c r="B218" s="6"/>
      <c r="C218" s="16"/>
      <c r="D218" s="17"/>
      <c r="E218" s="6"/>
      <c r="F218" s="19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</row>
    <row r="219" spans="1:25" s="20" customFormat="1" ht="89.25" customHeight="1">
      <c r="A219" s="6"/>
      <c r="B219" s="6"/>
      <c r="C219" s="16"/>
      <c r="D219" s="17"/>
      <c r="E219" s="6"/>
      <c r="F219" s="19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</row>
    <row r="220" spans="1:25" s="20" customFormat="1" ht="89.25" customHeight="1">
      <c r="A220" s="6"/>
      <c r="B220" s="6"/>
      <c r="C220" s="16"/>
      <c r="D220" s="17"/>
      <c r="E220" s="6"/>
      <c r="F220" s="19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</row>
    <row r="221" spans="1:25" s="20" customFormat="1" ht="89.25" customHeight="1">
      <c r="A221" s="6"/>
      <c r="B221" s="6"/>
      <c r="C221" s="16"/>
      <c r="D221" s="17"/>
      <c r="E221" s="6"/>
      <c r="F221" s="19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</row>
    <row r="222" spans="1:25" s="20" customFormat="1" ht="89.25" customHeight="1">
      <c r="A222" s="6"/>
      <c r="B222" s="6"/>
      <c r="C222" s="16"/>
      <c r="D222" s="17"/>
      <c r="E222" s="6"/>
      <c r="F222" s="19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</row>
    <row r="223" spans="1:25" s="20" customFormat="1" ht="89.25" customHeight="1">
      <c r="A223" s="6"/>
      <c r="B223" s="6"/>
      <c r="C223" s="16"/>
      <c r="D223" s="17"/>
      <c r="E223" s="6"/>
      <c r="F223" s="19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</row>
    <row r="224" spans="1:25" s="20" customFormat="1" ht="89.25" customHeight="1">
      <c r="A224" s="6"/>
      <c r="B224" s="6"/>
      <c r="C224" s="16"/>
      <c r="D224" s="17"/>
      <c r="E224" s="6"/>
      <c r="F224" s="19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</row>
    <row r="225" spans="1:25" s="20" customFormat="1" ht="89.25" customHeight="1">
      <c r="A225" s="6"/>
      <c r="B225" s="6"/>
      <c r="C225" s="16"/>
      <c r="D225" s="17"/>
      <c r="E225" s="6"/>
      <c r="F225" s="19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</row>
    <row r="226" spans="1:25" s="20" customFormat="1" ht="89.25" customHeight="1">
      <c r="A226" s="6"/>
      <c r="B226" s="6"/>
      <c r="C226" s="16"/>
      <c r="D226" s="17"/>
      <c r="E226" s="6"/>
      <c r="F226" s="19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</row>
    <row r="227" spans="1:25" s="20" customFormat="1" ht="89.25" customHeight="1">
      <c r="A227" s="6"/>
      <c r="B227" s="6"/>
      <c r="C227" s="16"/>
      <c r="D227" s="17"/>
      <c r="E227" s="6"/>
      <c r="F227" s="19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</row>
    <row r="228" spans="1:25" s="20" customFormat="1" ht="89.25" customHeight="1">
      <c r="A228" s="6"/>
      <c r="B228" s="6"/>
      <c r="C228" s="16"/>
      <c r="D228" s="17"/>
      <c r="E228" s="6"/>
      <c r="F228" s="19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</row>
    <row r="229" spans="1:25" s="20" customFormat="1" ht="89.25" customHeight="1">
      <c r="A229" s="6"/>
      <c r="B229" s="6"/>
      <c r="C229" s="16"/>
      <c r="D229" s="17"/>
      <c r="E229" s="6"/>
      <c r="F229" s="19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</row>
    <row r="230" spans="1:25" s="20" customFormat="1" ht="89.25" customHeight="1">
      <c r="A230" s="6"/>
      <c r="B230" s="6"/>
      <c r="C230" s="16"/>
      <c r="D230" s="17"/>
      <c r="E230" s="6"/>
      <c r="F230" s="19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</row>
    <row r="231" spans="1:25" s="20" customFormat="1" ht="89.25" customHeight="1">
      <c r="A231" s="6"/>
      <c r="B231" s="6"/>
      <c r="C231" s="16"/>
      <c r="D231" s="17"/>
      <c r="E231" s="6"/>
      <c r="F231" s="19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</row>
    <row r="232" spans="1:25" s="20" customFormat="1" ht="89.25" customHeight="1">
      <c r="A232" s="6"/>
      <c r="B232" s="6"/>
      <c r="C232" s="16"/>
      <c r="D232" s="17"/>
      <c r="E232" s="6"/>
      <c r="F232" s="19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</row>
    <row r="233" spans="1:25" s="20" customFormat="1" ht="89.25" customHeight="1">
      <c r="A233" s="6"/>
      <c r="B233" s="6"/>
      <c r="C233" s="16"/>
      <c r="D233" s="17"/>
      <c r="E233" s="6"/>
      <c r="F233" s="19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</row>
    <row r="234" spans="1:25" s="20" customFormat="1" ht="89.25" customHeight="1">
      <c r="A234" s="6"/>
      <c r="B234" s="6"/>
      <c r="C234" s="16"/>
      <c r="D234" s="17"/>
      <c r="E234" s="6"/>
      <c r="F234" s="19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</row>
    <row r="235" spans="1:25" s="20" customFormat="1" ht="89.25" customHeight="1">
      <c r="A235" s="6"/>
      <c r="B235" s="6"/>
      <c r="C235" s="16"/>
      <c r="D235" s="17"/>
      <c r="E235" s="6"/>
      <c r="F235" s="19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</row>
    <row r="236" spans="1:25" s="20" customFormat="1" ht="89.25" customHeight="1">
      <c r="A236" s="6"/>
      <c r="B236" s="6"/>
      <c r="C236" s="16"/>
      <c r="D236" s="17"/>
      <c r="E236" s="6"/>
      <c r="F236" s="19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</row>
    <row r="237" spans="1:25" s="20" customFormat="1" ht="89.25" customHeight="1">
      <c r="A237" s="6"/>
      <c r="B237" s="6"/>
      <c r="C237" s="16"/>
      <c r="D237" s="17"/>
      <c r="E237" s="6"/>
      <c r="F237" s="19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</row>
  </sheetData>
  <mergeCells count="23">
    <mergeCell ref="D52:E52"/>
    <mergeCell ref="A49:B49"/>
    <mergeCell ref="A14:D14"/>
    <mergeCell ref="A18:D18"/>
    <mergeCell ref="A16:D16"/>
    <mergeCell ref="D51:E51"/>
    <mergeCell ref="A15:D15"/>
    <mergeCell ref="A51:B51"/>
    <mergeCell ref="A50:B50"/>
    <mergeCell ref="D50:E50"/>
    <mergeCell ref="D49:E49"/>
    <mergeCell ref="A13:D13"/>
    <mergeCell ref="A17:D17"/>
    <mergeCell ref="A19:D19"/>
    <mergeCell ref="A11:D11"/>
    <mergeCell ref="A12:D12"/>
    <mergeCell ref="A10:D10"/>
    <mergeCell ref="A1:F3"/>
    <mergeCell ref="A5:F5"/>
    <mergeCell ref="A6:F6"/>
    <mergeCell ref="A7:E7"/>
    <mergeCell ref="A9:D9"/>
    <mergeCell ref="A4:F4"/>
  </mergeCells>
  <printOptions horizontalCentered="1" verticalCentered="1"/>
  <pageMargins left="0.59055118110236227" right="0.59055118110236227" top="0.59055118110236227" bottom="0.59055118110236227" header="0.31496062992125984" footer="0.31496062992125984"/>
  <pageSetup paperSize="9" scale="47" orientation="landscape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Hoja21">
    <tabColor rgb="FF00B0F0"/>
    <pageSetUpPr fitToPage="1"/>
  </sheetPr>
  <dimension ref="A1:AG237"/>
  <sheetViews>
    <sheetView showGridLines="0" topLeftCell="A22" zoomScale="80" zoomScaleNormal="80" workbookViewId="0">
      <selection activeCell="F43" sqref="F43"/>
    </sheetView>
  </sheetViews>
  <sheetFormatPr baseColWidth="10" defaultRowHeight="89.25" customHeight="1"/>
  <cols>
    <col min="1" max="2" width="25.28515625" style="6" customWidth="1"/>
    <col min="3" max="3" width="25.28515625" style="16" customWidth="1"/>
    <col min="4" max="4" width="25.28515625" style="17" customWidth="1"/>
    <col min="5" max="5" width="15.28515625" style="6" bestFit="1" customWidth="1"/>
    <col min="6" max="6" width="21.7109375" style="19" bestFit="1" customWidth="1"/>
    <col min="7" max="7" width="19.140625" style="5" bestFit="1" customWidth="1"/>
    <col min="8" max="8" width="18.7109375" style="5" bestFit="1" customWidth="1"/>
    <col min="9" max="10" width="18.7109375" style="5" customWidth="1"/>
    <col min="11" max="25" width="11.42578125" style="5"/>
    <col min="26" max="16384" width="11.42578125" style="6"/>
  </cols>
  <sheetData>
    <row r="1" spans="1:25" s="4" customFormat="1" ht="33.75" customHeight="1">
      <c r="A1" s="1339" t="s">
        <v>772</v>
      </c>
      <c r="B1" s="1339"/>
      <c r="C1" s="1339"/>
      <c r="D1" s="1339"/>
      <c r="E1" s="1339"/>
      <c r="F1" s="1339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spans="1:25" s="4" customFormat="1" ht="33.75" customHeight="1">
      <c r="A2" s="1339"/>
      <c r="B2" s="1339"/>
      <c r="C2" s="1339"/>
      <c r="D2" s="1339"/>
      <c r="E2" s="1339"/>
      <c r="F2" s="1339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 s="4" customFormat="1" ht="15.75">
      <c r="A3" s="1339"/>
      <c r="B3" s="1339"/>
      <c r="C3" s="1339"/>
      <c r="D3" s="1339"/>
      <c r="E3" s="1339"/>
      <c r="F3" s="1339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</row>
    <row r="4" spans="1:25" s="4" customFormat="1" ht="15.75">
      <c r="A4" s="1345" t="str">
        <f>+'Anexo 9 Yarumal'!A4:F4</f>
        <v>AL 31 DE JULIO DE 2023</v>
      </c>
      <c r="B4" s="1345"/>
      <c r="C4" s="1345"/>
      <c r="D4" s="1345"/>
      <c r="E4" s="1345"/>
      <c r="F4" s="1345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</row>
    <row r="5" spans="1:25" ht="30" customHeight="1">
      <c r="A5" s="1339" t="s">
        <v>205</v>
      </c>
      <c r="B5" s="1339"/>
      <c r="C5" s="1339"/>
      <c r="D5" s="1339"/>
      <c r="E5" s="1339"/>
      <c r="F5" s="1339"/>
    </row>
    <row r="6" spans="1:25" ht="30" customHeight="1" thickBot="1">
      <c r="A6" s="1339" t="s">
        <v>195</v>
      </c>
      <c r="B6" s="1339"/>
      <c r="C6" s="1339"/>
      <c r="D6" s="1339"/>
      <c r="E6" s="1339"/>
      <c r="F6" s="1339"/>
    </row>
    <row r="7" spans="1:25" ht="30" customHeight="1" thickBot="1">
      <c r="A7" s="1346" t="s">
        <v>1</v>
      </c>
      <c r="B7" s="1347"/>
      <c r="C7" s="1347"/>
      <c r="D7" s="1347"/>
      <c r="E7" s="1347"/>
      <c r="F7" s="7" t="s">
        <v>2</v>
      </c>
    </row>
    <row r="8" spans="1:25" ht="18.600000000000001" customHeight="1">
      <c r="A8" s="8"/>
      <c r="B8" s="9"/>
      <c r="C8" s="9"/>
      <c r="D8" s="9"/>
      <c r="E8" s="10"/>
      <c r="F8" s="11"/>
      <c r="I8" s="12"/>
      <c r="J8" s="12"/>
    </row>
    <row r="9" spans="1:25" ht="18.600000000000001" customHeight="1">
      <c r="A9" s="1342" t="str">
        <f>+'Anexo 9 Yarumal'!A9:D9</f>
        <v>TOTAL RENDIMIENTOS GENERADOS POR LOS RECURSOS DEL FONDO DE JULIO DE 2023</v>
      </c>
      <c r="B9" s="1343"/>
      <c r="C9" s="1343"/>
      <c r="D9" s="1343"/>
      <c r="E9" s="259"/>
      <c r="F9" s="260">
        <f>F43</f>
        <v>883334.5</v>
      </c>
      <c r="I9" s="13"/>
      <c r="J9" s="12"/>
    </row>
    <row r="10" spans="1:25" ht="18.600000000000001" customHeight="1">
      <c r="A10" s="1333" t="s">
        <v>213</v>
      </c>
      <c r="B10" s="1334"/>
      <c r="C10" s="1334"/>
      <c r="D10" s="1334"/>
      <c r="E10" s="261">
        <v>0</v>
      </c>
      <c r="F10" s="262"/>
    </row>
    <row r="11" spans="1:25" ht="18.600000000000001" customHeight="1">
      <c r="A11" s="1333" t="s">
        <v>212</v>
      </c>
      <c r="B11" s="1334"/>
      <c r="C11" s="1334"/>
      <c r="D11" s="1334"/>
      <c r="E11" s="261">
        <v>15629.03</v>
      </c>
      <c r="F11" s="262"/>
    </row>
    <row r="12" spans="1:25" ht="18.600000000000001" customHeight="1">
      <c r="A12" s="1333" t="s">
        <v>223</v>
      </c>
      <c r="B12" s="1334"/>
      <c r="C12" s="1334"/>
      <c r="D12" s="1334"/>
      <c r="E12" s="261">
        <v>23101.200000000001</v>
      </c>
      <c r="F12" s="262"/>
    </row>
    <row r="13" spans="1:25" ht="18.600000000000001" customHeight="1">
      <c r="A13" s="1333" t="s">
        <v>231</v>
      </c>
      <c r="B13" s="1334"/>
      <c r="C13" s="1334"/>
      <c r="D13" s="1334"/>
      <c r="E13" s="261">
        <v>25503.29</v>
      </c>
      <c r="F13" s="262"/>
    </row>
    <row r="14" spans="1:25" ht="18.600000000000001" customHeight="1">
      <c r="A14" s="1333" t="s">
        <v>244</v>
      </c>
      <c r="B14" s="1334"/>
      <c r="C14" s="1334"/>
      <c r="D14" s="1334"/>
      <c r="E14" s="261">
        <v>24605.26</v>
      </c>
      <c r="F14" s="262"/>
    </row>
    <row r="15" spans="1:25" ht="15.75" customHeight="1">
      <c r="A15" s="1333" t="s">
        <v>272</v>
      </c>
      <c r="B15" s="1334"/>
      <c r="C15" s="1334"/>
      <c r="D15" s="1334"/>
      <c r="E15" s="261">
        <v>25507.55</v>
      </c>
      <c r="F15" s="262"/>
    </row>
    <row r="16" spans="1:25" ht="18.600000000000001" customHeight="1">
      <c r="A16" s="1333" t="s">
        <v>276</v>
      </c>
      <c r="B16" s="1334"/>
      <c r="C16" s="1334"/>
      <c r="D16" s="1334"/>
      <c r="E16" s="261">
        <v>24609.37</v>
      </c>
      <c r="F16" s="262"/>
    </row>
    <row r="17" spans="1:7" ht="18.600000000000001" customHeight="1">
      <c r="A17" s="1333" t="s">
        <v>294</v>
      </c>
      <c r="B17" s="1334"/>
      <c r="C17" s="1334"/>
      <c r="D17" s="1334"/>
      <c r="E17" s="261">
        <f>17176.74+1</f>
        <v>17177.740000000002</v>
      </c>
      <c r="F17" s="262"/>
      <c r="G17" s="5" t="str">
        <f>+"+1"</f>
        <v>+1</v>
      </c>
    </row>
    <row r="18" spans="1:7" ht="18.600000000000001" customHeight="1">
      <c r="A18" s="1333" t="s">
        <v>307</v>
      </c>
      <c r="B18" s="1334"/>
      <c r="C18" s="1334"/>
      <c r="D18" s="1334"/>
      <c r="E18" s="261">
        <v>2023.53</v>
      </c>
      <c r="F18" s="262"/>
    </row>
    <row r="19" spans="1:7" ht="18.600000000000001" customHeight="1">
      <c r="A19" s="1333" t="s">
        <v>365</v>
      </c>
      <c r="B19" s="1334"/>
      <c r="C19" s="1334"/>
      <c r="D19" s="1334"/>
      <c r="E19" s="261">
        <v>1952.27</v>
      </c>
      <c r="F19" s="262"/>
    </row>
    <row r="20" spans="1:7" ht="18.600000000000001" customHeight="1">
      <c r="A20" s="574" t="s">
        <v>427</v>
      </c>
      <c r="B20" s="575"/>
      <c r="C20" s="575"/>
      <c r="D20" s="575"/>
      <c r="E20" s="261">
        <v>2023.86</v>
      </c>
      <c r="F20" s="262"/>
    </row>
    <row r="21" spans="1:7" ht="18.600000000000001" customHeight="1">
      <c r="A21" s="651" t="s">
        <v>462</v>
      </c>
      <c r="B21" s="652"/>
      <c r="C21" s="652"/>
      <c r="D21" s="652"/>
      <c r="E21" s="261">
        <v>1952.6</v>
      </c>
      <c r="F21" s="262"/>
    </row>
    <row r="22" spans="1:7" ht="18.600000000000001" customHeight="1">
      <c r="A22" s="670" t="s">
        <v>494</v>
      </c>
      <c r="B22" s="671"/>
      <c r="C22" s="671"/>
      <c r="D22" s="671"/>
      <c r="E22" s="261">
        <v>2024.2</v>
      </c>
      <c r="F22" s="262"/>
    </row>
    <row r="23" spans="1:7" ht="18.600000000000001" customHeight="1">
      <c r="A23" s="689" t="s">
        <v>501</v>
      </c>
      <c r="B23" s="690"/>
      <c r="C23" s="690"/>
      <c r="D23" s="690"/>
      <c r="E23" s="261">
        <v>2024.37</v>
      </c>
      <c r="F23" s="262"/>
    </row>
    <row r="24" spans="1:7" ht="18.600000000000001" customHeight="1">
      <c r="A24" s="725" t="s">
        <v>515</v>
      </c>
      <c r="B24" s="726"/>
      <c r="C24" s="726"/>
      <c r="D24" s="726"/>
      <c r="E24" s="261">
        <v>1834</v>
      </c>
      <c r="F24" s="262"/>
    </row>
    <row r="25" spans="1:7" ht="18.600000000000001" customHeight="1">
      <c r="A25" s="743" t="s">
        <v>520</v>
      </c>
      <c r="B25" s="744"/>
      <c r="C25" s="744"/>
      <c r="D25" s="744"/>
      <c r="E25" s="261">
        <v>2024.7</v>
      </c>
      <c r="F25" s="262"/>
    </row>
    <row r="26" spans="1:7" ht="18.600000000000001" customHeight="1">
      <c r="A26" s="773" t="s">
        <v>537</v>
      </c>
      <c r="B26" s="774"/>
      <c r="C26" s="774"/>
      <c r="D26" s="774"/>
      <c r="E26" s="261">
        <f>1953.41-1</f>
        <v>1952.41</v>
      </c>
      <c r="F26" s="262"/>
      <c r="G26" s="785" t="str">
        <f>"-1"</f>
        <v>-1</v>
      </c>
    </row>
    <row r="27" spans="1:7" ht="18.600000000000001" customHeight="1">
      <c r="A27" s="793" t="s">
        <v>567</v>
      </c>
      <c r="B27" s="794"/>
      <c r="C27" s="794"/>
      <c r="D27" s="794"/>
      <c r="E27" s="261">
        <v>2025.04</v>
      </c>
      <c r="F27" s="262"/>
      <c r="G27" s="785"/>
    </row>
    <row r="28" spans="1:7" ht="18.600000000000001" customHeight="1">
      <c r="A28" s="811" t="s">
        <v>577</v>
      </c>
      <c r="B28" s="812"/>
      <c r="C28" s="812"/>
      <c r="D28" s="812"/>
      <c r="E28" s="261">
        <v>1953.73</v>
      </c>
      <c r="F28" s="262"/>
      <c r="G28" s="785"/>
    </row>
    <row r="29" spans="1:7" ht="18.600000000000001" customHeight="1">
      <c r="A29" s="874" t="s">
        <v>625</v>
      </c>
      <c r="B29" s="875"/>
      <c r="C29" s="875"/>
      <c r="D29" s="875"/>
      <c r="E29" s="261">
        <v>2025.38</v>
      </c>
      <c r="F29" s="262"/>
      <c r="G29" s="785"/>
    </row>
    <row r="30" spans="1:7" ht="18.600000000000001" customHeight="1">
      <c r="A30" s="895" t="s">
        <v>720</v>
      </c>
      <c r="B30" s="896"/>
      <c r="C30" s="896"/>
      <c r="D30" s="896"/>
      <c r="E30" s="261">
        <v>2025.55</v>
      </c>
      <c r="F30" s="262"/>
      <c r="G30" s="785"/>
    </row>
    <row r="31" spans="1:7" ht="18.600000000000001" customHeight="1">
      <c r="A31" s="904" t="s">
        <v>647</v>
      </c>
      <c r="B31" s="905"/>
      <c r="C31" s="905"/>
      <c r="D31" s="905"/>
      <c r="E31" s="261">
        <v>1954.23</v>
      </c>
      <c r="F31" s="262"/>
      <c r="G31" s="785"/>
    </row>
    <row r="32" spans="1:7" ht="18.600000000000001" customHeight="1">
      <c r="A32" s="924" t="s">
        <v>655</v>
      </c>
      <c r="B32" s="925"/>
      <c r="C32" s="925"/>
      <c r="D32" s="925"/>
      <c r="E32" s="261">
        <v>2025.89</v>
      </c>
      <c r="F32" s="262"/>
      <c r="G32" s="785"/>
    </row>
    <row r="33" spans="1:33" ht="18.600000000000001" customHeight="1">
      <c r="A33" s="948" t="s">
        <v>665</v>
      </c>
      <c r="B33" s="949"/>
      <c r="C33" s="949"/>
      <c r="D33" s="949"/>
      <c r="E33" s="261">
        <f>1939.29+1</f>
        <v>1940.29</v>
      </c>
      <c r="F33" s="262"/>
      <c r="G33" s="5" t="str">
        <f>+"+1"</f>
        <v>+1</v>
      </c>
    </row>
    <row r="34" spans="1:33" ht="18.600000000000001" customHeight="1">
      <c r="A34" s="966" t="s">
        <v>677</v>
      </c>
      <c r="B34" s="967"/>
      <c r="C34" s="967"/>
      <c r="D34" s="967"/>
      <c r="E34" s="261">
        <v>1788.96</v>
      </c>
      <c r="F34" s="262"/>
    </row>
    <row r="35" spans="1:33" ht="18.600000000000001" customHeight="1">
      <c r="A35" s="989" t="s">
        <v>687</v>
      </c>
      <c r="B35" s="990"/>
      <c r="C35" s="990"/>
      <c r="D35" s="990"/>
      <c r="E35" s="261">
        <v>1789.11</v>
      </c>
      <c r="F35" s="262"/>
    </row>
    <row r="36" spans="1:33" ht="18.600000000000001" customHeight="1">
      <c r="A36" s="1013" t="s">
        <v>720</v>
      </c>
      <c r="B36" s="1014"/>
      <c r="C36" s="1014"/>
      <c r="D36" s="1014"/>
      <c r="E36" s="261">
        <v>1620.86</v>
      </c>
      <c r="F36" s="262"/>
    </row>
    <row r="37" spans="1:33" ht="18.600000000000001" customHeight="1">
      <c r="A37" s="1032" t="s">
        <v>729</v>
      </c>
      <c r="B37" s="1033"/>
      <c r="C37" s="1033"/>
      <c r="D37" s="1033"/>
      <c r="E37" s="261">
        <v>138057.63</v>
      </c>
      <c r="F37" s="262"/>
    </row>
    <row r="38" spans="1:33" ht="18.600000000000001" customHeight="1">
      <c r="A38" s="1069" t="s">
        <v>748</v>
      </c>
      <c r="B38" s="1070"/>
      <c r="C38" s="1070"/>
      <c r="D38" s="1070"/>
      <c r="E38" s="261">
        <v>134470.76</v>
      </c>
      <c r="F38" s="262"/>
    </row>
    <row r="39" spans="1:33" ht="18.600000000000001" customHeight="1">
      <c r="A39" s="1090" t="str">
        <f>+'Anexo 9 Yarumal'!A39</f>
        <v>Rendimientos financieros AL 31 DE MAYO DE 2023</v>
      </c>
      <c r="B39" s="1091"/>
      <c r="C39" s="1091"/>
      <c r="D39" s="1091"/>
      <c r="E39" s="261">
        <v>139844.87</v>
      </c>
      <c r="F39" s="262"/>
      <c r="G39" s="785">
        <f>+SUM(E10:E39)</f>
        <v>605467.68000000005</v>
      </c>
    </row>
    <row r="40" spans="1:33" ht="18.600000000000001" customHeight="1">
      <c r="A40" s="1100" t="str">
        <f>+'Anexo 9 Yarumal'!A40</f>
        <v>Rendimientos financieros AL 30 DE JUNIO DE 2023</v>
      </c>
      <c r="B40" s="1101"/>
      <c r="C40" s="1101"/>
      <c r="D40" s="1101"/>
      <c r="E40" s="261">
        <v>136211.57</v>
      </c>
      <c r="F40" s="262"/>
    </row>
    <row r="41" spans="1:33" ht="18.600000000000001" customHeight="1">
      <c r="A41" s="1128" t="str">
        <f>+'Anexo 9 Yarumal'!A41</f>
        <v>Rendimientos financieros AL 31 DE JULIO DE 2023</v>
      </c>
      <c r="B41" s="1129"/>
      <c r="C41" s="1129"/>
      <c r="D41" s="1129"/>
      <c r="E41" s="261">
        <v>141655.25</v>
      </c>
      <c r="F41" s="262"/>
    </row>
    <row r="42" spans="1:33" s="5" customFormat="1" ht="18.600000000000001" customHeight="1">
      <c r="A42" s="226"/>
      <c r="B42" s="227"/>
      <c r="C42" s="227"/>
      <c r="D42" s="227"/>
      <c r="E42" s="263"/>
      <c r="F42" s="264"/>
      <c r="G42" s="776" t="s">
        <v>535</v>
      </c>
      <c r="H42" s="775" t="s">
        <v>536</v>
      </c>
      <c r="I42" s="775" t="s">
        <v>516</v>
      </c>
      <c r="J42" s="742" t="s">
        <v>65</v>
      </c>
      <c r="Z42" s="6"/>
      <c r="AA42" s="6"/>
      <c r="AB42" s="6"/>
      <c r="AC42" s="6"/>
      <c r="AD42" s="6"/>
      <c r="AE42" s="6"/>
      <c r="AF42" s="6"/>
      <c r="AG42" s="6"/>
    </row>
    <row r="43" spans="1:33" s="5" customFormat="1" ht="24.75" customHeight="1" thickBot="1">
      <c r="A43" s="14" t="str">
        <f>+'Anexo 9 Yarumal'!A43</f>
        <v>TOTAL RENDIMIENTOS DISPONIBLES AL 31 DE JULIO DE 2023</v>
      </c>
      <c r="B43" s="15"/>
      <c r="C43" s="15"/>
      <c r="D43" s="15"/>
      <c r="E43" s="265"/>
      <c r="F43" s="266">
        <f>SUM(E9:E42)</f>
        <v>883334.5</v>
      </c>
      <c r="G43" s="5">
        <f>+F43+Adhesiones!H67</f>
        <v>21742027.569999993</v>
      </c>
      <c r="H43" s="741">
        <f>+G43-F43</f>
        <v>20858693.069999993</v>
      </c>
      <c r="I43" s="5">
        <f>-'Anexo 3-Porcion C-NC'!B17</f>
        <v>-20858693</v>
      </c>
      <c r="J43" s="5">
        <f>+H43+I43</f>
        <v>6.9999992847442627E-2</v>
      </c>
      <c r="Z43" s="6"/>
      <c r="AA43" s="6"/>
      <c r="AB43" s="6"/>
      <c r="AC43" s="6"/>
      <c r="AD43" s="6"/>
      <c r="AE43" s="6"/>
      <c r="AF43" s="6"/>
      <c r="AG43" s="6"/>
    </row>
    <row r="44" spans="1:33" s="20" customFormat="1" ht="15.75">
      <c r="A44" s="6"/>
      <c r="B44" s="6"/>
      <c r="C44" s="16"/>
      <c r="D44" s="17"/>
      <c r="E44" s="18"/>
      <c r="F44" s="19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</row>
    <row r="45" spans="1:33" s="20" customFormat="1" ht="15.75">
      <c r="A45" s="6"/>
      <c r="B45" s="6"/>
      <c r="C45" s="16"/>
      <c r="D45" s="17"/>
      <c r="E45" s="21"/>
      <c r="F45" s="19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</row>
    <row r="46" spans="1:33" s="20" customFormat="1" ht="15.75">
      <c r="A46" s="6"/>
      <c r="B46" s="6"/>
      <c r="C46" s="16"/>
      <c r="D46" s="17"/>
      <c r="E46" s="22"/>
      <c r="F46" s="19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</row>
    <row r="47" spans="1:33" s="20" customFormat="1" ht="15.75">
      <c r="A47" s="6"/>
      <c r="B47" s="6"/>
      <c r="C47" s="16"/>
      <c r="D47" s="17"/>
      <c r="E47" s="22"/>
      <c r="F47" s="19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</row>
    <row r="48" spans="1:33" s="5" customFormat="1" ht="16.5" thickBot="1">
      <c r="A48" s="23"/>
      <c r="B48" s="24"/>
      <c r="C48" s="25"/>
      <c r="D48" s="131"/>
      <c r="E48" s="132"/>
      <c r="F48" s="133"/>
    </row>
    <row r="49" spans="1:25" s="5" customFormat="1" ht="15" customHeight="1">
      <c r="A49" s="1336" t="s">
        <v>135</v>
      </c>
      <c r="B49" s="1336"/>
      <c r="C49" s="1"/>
      <c r="D49" s="1336" t="s">
        <v>517</v>
      </c>
      <c r="E49" s="1336"/>
      <c r="F49" s="224"/>
    </row>
    <row r="50" spans="1:25" s="5" customFormat="1" ht="14.45" customHeight="1">
      <c r="A50" s="1332" t="s">
        <v>145</v>
      </c>
      <c r="B50" s="1332"/>
      <c r="C50" s="2"/>
      <c r="D50" s="1332" t="s">
        <v>519</v>
      </c>
      <c r="E50" s="1332"/>
      <c r="F50" s="225"/>
    </row>
    <row r="51" spans="1:25" s="5" customFormat="1" ht="15.75" customHeight="1">
      <c r="A51" s="1332" t="s">
        <v>48</v>
      </c>
      <c r="B51" s="1332"/>
      <c r="C51" s="2"/>
      <c r="D51" s="1332" t="s">
        <v>48</v>
      </c>
      <c r="E51" s="1332"/>
      <c r="F51" s="225"/>
    </row>
    <row r="52" spans="1:25" s="20" customFormat="1" ht="15.75" customHeight="1">
      <c r="A52" s="6"/>
      <c r="B52" s="6"/>
      <c r="C52" s="16"/>
      <c r="D52" s="1335" t="s">
        <v>518</v>
      </c>
      <c r="E52" s="1335"/>
      <c r="F52" s="22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</row>
    <row r="53" spans="1:25" s="20" customFormat="1" ht="15.75">
      <c r="A53" s="6"/>
      <c r="B53" s="6"/>
      <c r="C53" s="16"/>
      <c r="D53" s="17"/>
      <c r="E53" s="22"/>
      <c r="F53" s="19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</row>
    <row r="54" spans="1:25" s="20" customFormat="1" ht="15.75">
      <c r="A54" s="6"/>
      <c r="B54" s="6"/>
      <c r="C54" s="16"/>
      <c r="D54" s="17"/>
      <c r="E54" s="22"/>
      <c r="F54" s="19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</row>
    <row r="55" spans="1:25" s="20" customFormat="1" ht="15.75">
      <c r="A55" s="27"/>
      <c r="B55" s="27"/>
      <c r="C55" s="27"/>
      <c r="D55" s="27"/>
      <c r="E55" s="27"/>
      <c r="F55" s="19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</row>
    <row r="56" spans="1:25" s="5" customFormat="1" ht="15.75">
      <c r="A56" s="27"/>
      <c r="B56" s="27"/>
      <c r="C56" s="27"/>
      <c r="D56" s="27"/>
      <c r="E56" s="27"/>
      <c r="F56" s="26"/>
    </row>
    <row r="57" spans="1:25" s="5" customFormat="1" ht="15" customHeight="1">
      <c r="A57" s="27"/>
      <c r="B57" s="27"/>
      <c r="C57" s="27"/>
      <c r="D57" s="27"/>
      <c r="E57" s="27"/>
      <c r="F57" s="26"/>
    </row>
    <row r="58" spans="1:25" s="5" customFormat="1" ht="14.45" customHeight="1">
      <c r="A58" s="27"/>
      <c r="B58" s="27"/>
      <c r="C58" s="27"/>
      <c r="D58" s="27"/>
      <c r="E58" s="27"/>
      <c r="F58" s="26"/>
    </row>
    <row r="59" spans="1:25" s="5" customFormat="1" ht="14.45" customHeight="1">
      <c r="A59" s="27"/>
      <c r="B59" s="27"/>
      <c r="C59" s="27"/>
      <c r="D59" s="27"/>
      <c r="E59" s="27"/>
      <c r="F59" s="26"/>
    </row>
    <row r="60" spans="1:25" s="20" customFormat="1" ht="15.75">
      <c r="A60" s="27"/>
      <c r="B60" s="27"/>
      <c r="C60" s="27"/>
      <c r="D60" s="27"/>
      <c r="E60" s="27"/>
      <c r="F60" s="19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</row>
    <row r="61" spans="1:25" s="20" customFormat="1" ht="15.75">
      <c r="A61" s="6"/>
      <c r="B61" s="6"/>
      <c r="C61" s="16"/>
      <c r="D61" s="17"/>
      <c r="E61" s="6"/>
      <c r="F61" s="19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</row>
    <row r="62" spans="1:25" s="20" customFormat="1" ht="15.75">
      <c r="A62" s="6"/>
      <c r="B62" s="6"/>
      <c r="C62" s="16"/>
      <c r="D62" s="17"/>
      <c r="E62" s="6"/>
      <c r="F62" s="19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</row>
    <row r="63" spans="1:25" s="20" customFormat="1" ht="15.75">
      <c r="A63" s="6"/>
      <c r="B63" s="6"/>
      <c r="C63" s="16"/>
      <c r="D63" s="17"/>
      <c r="E63" s="6"/>
      <c r="F63" s="19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</row>
    <row r="64" spans="1:25" s="20" customFormat="1" ht="15.75">
      <c r="A64" s="6"/>
      <c r="B64" s="6"/>
      <c r="C64" s="16"/>
      <c r="D64" s="17"/>
      <c r="E64" s="6"/>
      <c r="F64" s="19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</row>
    <row r="65" spans="1:25" s="20" customFormat="1" ht="15.75">
      <c r="A65" s="6"/>
      <c r="B65" s="6"/>
      <c r="C65" s="16"/>
      <c r="D65" s="17"/>
      <c r="E65" s="6"/>
      <c r="F65" s="19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</row>
    <row r="66" spans="1:25" s="20" customFormat="1" ht="15.75">
      <c r="A66" s="6"/>
      <c r="B66" s="6"/>
      <c r="C66" s="16"/>
      <c r="D66" s="17"/>
      <c r="E66" s="6"/>
      <c r="F66" s="19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</row>
    <row r="67" spans="1:25" s="20" customFormat="1" ht="15.75">
      <c r="A67" s="6"/>
      <c r="B67" s="6"/>
      <c r="C67" s="16"/>
      <c r="D67" s="17"/>
      <c r="E67" s="6"/>
      <c r="F67" s="19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</row>
    <row r="68" spans="1:25" s="20" customFormat="1" ht="15.75">
      <c r="A68" s="6"/>
      <c r="B68" s="6"/>
      <c r="C68" s="16"/>
      <c r="D68" s="17"/>
      <c r="E68" s="6"/>
      <c r="F68" s="19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</row>
    <row r="69" spans="1:25" s="20" customFormat="1" ht="15.75">
      <c r="A69" s="6"/>
      <c r="B69" s="6"/>
      <c r="C69" s="16"/>
      <c r="D69" s="17"/>
      <c r="E69" s="6"/>
      <c r="F69" s="19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</row>
    <row r="70" spans="1:25" s="20" customFormat="1" ht="15.75">
      <c r="A70" s="6"/>
      <c r="B70" s="6"/>
      <c r="C70" s="16"/>
      <c r="D70" s="17"/>
      <c r="E70" s="6"/>
      <c r="F70" s="19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</row>
    <row r="71" spans="1:25" s="20" customFormat="1" ht="15.75">
      <c r="A71" s="6"/>
      <c r="B71" s="6"/>
      <c r="C71" s="16"/>
      <c r="D71" s="17"/>
      <c r="E71" s="6"/>
      <c r="F71" s="19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</row>
    <row r="72" spans="1:25" s="20" customFormat="1" ht="15.75">
      <c r="A72" s="6"/>
      <c r="B72" s="6"/>
      <c r="C72" s="16"/>
      <c r="D72" s="17"/>
      <c r="E72" s="6"/>
      <c r="F72" s="19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</row>
    <row r="73" spans="1:25" s="20" customFormat="1" ht="15.75">
      <c r="A73" s="6"/>
      <c r="B73" s="6"/>
      <c r="C73" s="16"/>
      <c r="D73" s="17"/>
      <c r="E73" s="6"/>
      <c r="F73" s="19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</row>
    <row r="74" spans="1:25" s="20" customFormat="1" ht="15.75">
      <c r="A74" s="6"/>
      <c r="B74" s="6"/>
      <c r="C74" s="16"/>
      <c r="D74" s="17"/>
      <c r="E74" s="6"/>
      <c r="F74" s="19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</row>
    <row r="75" spans="1:25" s="20" customFormat="1" ht="15.75">
      <c r="A75" s="6"/>
      <c r="B75" s="6"/>
      <c r="C75" s="16"/>
      <c r="D75" s="17"/>
      <c r="E75" s="6"/>
      <c r="F75" s="19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</row>
    <row r="76" spans="1:25" s="20" customFormat="1" ht="15.75">
      <c r="A76" s="6"/>
      <c r="B76" s="6"/>
      <c r="C76" s="16"/>
      <c r="D76" s="17"/>
      <c r="E76" s="6"/>
      <c r="F76" s="19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</row>
    <row r="77" spans="1:25" s="20" customFormat="1" ht="15.75">
      <c r="A77" s="6"/>
      <c r="B77" s="6"/>
      <c r="C77" s="16"/>
      <c r="D77" s="17"/>
      <c r="E77" s="6"/>
      <c r="F77" s="19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</row>
    <row r="78" spans="1:25" s="20" customFormat="1" ht="15.75">
      <c r="A78" s="6"/>
      <c r="B78" s="6"/>
      <c r="C78" s="16"/>
      <c r="D78" s="17"/>
      <c r="E78" s="6"/>
      <c r="F78" s="19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</row>
    <row r="79" spans="1:25" s="20" customFormat="1" ht="15.75">
      <c r="A79" s="6"/>
      <c r="B79" s="6"/>
      <c r="C79" s="16"/>
      <c r="D79" s="17"/>
      <c r="E79" s="6"/>
      <c r="F79" s="19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</row>
    <row r="80" spans="1:25" s="20" customFormat="1" ht="89.25" customHeight="1">
      <c r="A80" s="6"/>
      <c r="B80" s="6"/>
      <c r="C80" s="16"/>
      <c r="D80" s="17"/>
      <c r="E80" s="6"/>
      <c r="F80" s="19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</row>
    <row r="81" spans="1:25" s="20" customFormat="1" ht="89.25" customHeight="1">
      <c r="A81" s="6"/>
      <c r="B81" s="6"/>
      <c r="C81" s="16"/>
      <c r="D81" s="17"/>
      <c r="E81" s="6"/>
      <c r="F81" s="19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</row>
    <row r="82" spans="1:25" s="20" customFormat="1" ht="89.25" customHeight="1">
      <c r="A82" s="6"/>
      <c r="B82" s="6"/>
      <c r="C82" s="16"/>
      <c r="D82" s="17"/>
      <c r="E82" s="6"/>
      <c r="F82" s="19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</row>
    <row r="83" spans="1:25" s="20" customFormat="1" ht="89.25" customHeight="1">
      <c r="A83" s="6"/>
      <c r="B83" s="6"/>
      <c r="C83" s="16"/>
      <c r="D83" s="17"/>
      <c r="E83" s="6"/>
      <c r="F83" s="19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</row>
    <row r="84" spans="1:25" s="20" customFormat="1" ht="89.25" customHeight="1">
      <c r="A84" s="6"/>
      <c r="B84" s="6"/>
      <c r="C84" s="16"/>
      <c r="D84" s="17"/>
      <c r="E84" s="6"/>
      <c r="F84" s="19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</row>
    <row r="85" spans="1:25" s="20" customFormat="1" ht="89.25" customHeight="1">
      <c r="A85" s="6"/>
      <c r="B85" s="6"/>
      <c r="C85" s="16"/>
      <c r="D85" s="17"/>
      <c r="E85" s="6"/>
      <c r="F85" s="19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</row>
    <row r="86" spans="1:25" s="20" customFormat="1" ht="89.25" customHeight="1">
      <c r="A86" s="6"/>
      <c r="B86" s="6"/>
      <c r="C86" s="16"/>
      <c r="D86" s="17"/>
      <c r="E86" s="6"/>
      <c r="F86" s="19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</row>
    <row r="87" spans="1:25" s="20" customFormat="1" ht="89.25" customHeight="1">
      <c r="A87" s="6"/>
      <c r="B87" s="6"/>
      <c r="C87" s="16"/>
      <c r="D87" s="17"/>
      <c r="E87" s="6"/>
      <c r="F87" s="19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</row>
    <row r="88" spans="1:25" s="20" customFormat="1" ht="89.25" customHeight="1">
      <c r="A88" s="6"/>
      <c r="B88" s="6"/>
      <c r="C88" s="16"/>
      <c r="D88" s="17"/>
      <c r="E88" s="6"/>
      <c r="F88" s="19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</row>
    <row r="89" spans="1:25" s="20" customFormat="1" ht="89.25" customHeight="1">
      <c r="A89" s="6"/>
      <c r="B89" s="6"/>
      <c r="C89" s="16"/>
      <c r="D89" s="17"/>
      <c r="E89" s="6"/>
      <c r="F89" s="19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</row>
    <row r="90" spans="1:25" s="20" customFormat="1" ht="89.25" customHeight="1">
      <c r="A90" s="6"/>
      <c r="B90" s="6"/>
      <c r="C90" s="16"/>
      <c r="D90" s="17"/>
      <c r="E90" s="6"/>
      <c r="F90" s="19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</row>
    <row r="91" spans="1:25" s="20" customFormat="1" ht="89.25" customHeight="1">
      <c r="A91" s="6"/>
      <c r="B91" s="6"/>
      <c r="C91" s="16"/>
      <c r="D91" s="17"/>
      <c r="E91" s="6"/>
      <c r="F91" s="19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</row>
    <row r="92" spans="1:25" s="20" customFormat="1" ht="89.25" customHeight="1">
      <c r="A92" s="6"/>
      <c r="B92" s="6"/>
      <c r="C92" s="16"/>
      <c r="D92" s="17"/>
      <c r="E92" s="6"/>
      <c r="F92" s="19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</row>
    <row r="93" spans="1:25" s="20" customFormat="1" ht="89.25" customHeight="1">
      <c r="A93" s="6"/>
      <c r="B93" s="6"/>
      <c r="C93" s="16"/>
      <c r="D93" s="17"/>
      <c r="E93" s="6"/>
      <c r="F93" s="19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</row>
    <row r="94" spans="1:25" s="20" customFormat="1" ht="89.25" customHeight="1">
      <c r="A94" s="6"/>
      <c r="B94" s="6"/>
      <c r="C94" s="16"/>
      <c r="D94" s="17"/>
      <c r="E94" s="6"/>
      <c r="F94" s="19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</row>
    <row r="95" spans="1:25" s="20" customFormat="1" ht="89.25" customHeight="1">
      <c r="A95" s="6"/>
      <c r="B95" s="6"/>
      <c r="C95" s="16"/>
      <c r="D95" s="17"/>
      <c r="E95" s="6"/>
      <c r="F95" s="19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</row>
    <row r="96" spans="1:25" s="20" customFormat="1" ht="89.25" customHeight="1">
      <c r="A96" s="6"/>
      <c r="B96" s="6"/>
      <c r="C96" s="16"/>
      <c r="D96" s="17"/>
      <c r="E96" s="6"/>
      <c r="F96" s="19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</row>
    <row r="97" spans="1:25" s="20" customFormat="1" ht="89.25" customHeight="1">
      <c r="A97" s="6"/>
      <c r="B97" s="6"/>
      <c r="C97" s="16"/>
      <c r="D97" s="17"/>
      <c r="E97" s="6"/>
      <c r="F97" s="19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</row>
    <row r="98" spans="1:25" s="20" customFormat="1" ht="89.25" customHeight="1">
      <c r="A98" s="6"/>
      <c r="B98" s="6"/>
      <c r="C98" s="16"/>
      <c r="D98" s="17"/>
      <c r="E98" s="6"/>
      <c r="F98" s="19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</row>
    <row r="99" spans="1:25" s="20" customFormat="1" ht="89.25" customHeight="1">
      <c r="A99" s="6"/>
      <c r="B99" s="6"/>
      <c r="C99" s="16"/>
      <c r="D99" s="17"/>
      <c r="E99" s="6"/>
      <c r="F99" s="19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</row>
    <row r="100" spans="1:25" s="20" customFormat="1" ht="89.25" customHeight="1">
      <c r="A100" s="6"/>
      <c r="B100" s="6"/>
      <c r="C100" s="16"/>
      <c r="D100" s="17"/>
      <c r="E100" s="6"/>
      <c r="F100" s="19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</row>
    <row r="101" spans="1:25" s="20" customFormat="1" ht="89.25" customHeight="1">
      <c r="A101" s="6"/>
      <c r="B101" s="6"/>
      <c r="C101" s="16"/>
      <c r="D101" s="17"/>
      <c r="E101" s="6"/>
      <c r="F101" s="19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</row>
    <row r="102" spans="1:25" s="20" customFormat="1" ht="89.25" customHeight="1">
      <c r="A102" s="6"/>
      <c r="B102" s="6"/>
      <c r="C102" s="16"/>
      <c r="D102" s="17"/>
      <c r="E102" s="6"/>
      <c r="F102" s="19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</row>
    <row r="103" spans="1:25" s="20" customFormat="1" ht="89.25" customHeight="1">
      <c r="A103" s="6"/>
      <c r="B103" s="6"/>
      <c r="C103" s="16"/>
      <c r="D103" s="17"/>
      <c r="E103" s="6"/>
      <c r="F103" s="19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</row>
    <row r="104" spans="1:25" s="20" customFormat="1" ht="89.25" customHeight="1">
      <c r="A104" s="6"/>
      <c r="B104" s="6"/>
      <c r="C104" s="16"/>
      <c r="D104" s="17"/>
      <c r="E104" s="6"/>
      <c r="F104" s="19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</row>
    <row r="105" spans="1:25" s="20" customFormat="1" ht="89.25" customHeight="1">
      <c r="A105" s="6"/>
      <c r="B105" s="6"/>
      <c r="C105" s="16"/>
      <c r="D105" s="17"/>
      <c r="E105" s="6"/>
      <c r="F105" s="19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</row>
    <row r="106" spans="1:25" s="20" customFormat="1" ht="89.25" customHeight="1">
      <c r="A106" s="6"/>
      <c r="B106" s="6"/>
      <c r="C106" s="16"/>
      <c r="D106" s="17"/>
      <c r="E106" s="6"/>
      <c r="F106" s="19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</row>
    <row r="107" spans="1:25" s="20" customFormat="1" ht="89.25" customHeight="1">
      <c r="A107" s="6"/>
      <c r="B107" s="6"/>
      <c r="C107" s="16"/>
      <c r="D107" s="17"/>
      <c r="E107" s="6"/>
      <c r="F107" s="19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</row>
    <row r="108" spans="1:25" s="20" customFormat="1" ht="89.25" customHeight="1">
      <c r="A108" s="6"/>
      <c r="B108" s="6"/>
      <c r="C108" s="16"/>
      <c r="D108" s="17"/>
      <c r="E108" s="6"/>
      <c r="F108" s="19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</row>
    <row r="109" spans="1:25" s="20" customFormat="1" ht="89.25" customHeight="1">
      <c r="A109" s="6"/>
      <c r="B109" s="6"/>
      <c r="C109" s="16"/>
      <c r="D109" s="17"/>
      <c r="E109" s="6"/>
      <c r="F109" s="19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</row>
    <row r="110" spans="1:25" s="20" customFormat="1" ht="89.25" customHeight="1">
      <c r="A110" s="6"/>
      <c r="B110" s="6"/>
      <c r="C110" s="16"/>
      <c r="D110" s="17"/>
      <c r="E110" s="6"/>
      <c r="F110" s="19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</row>
    <row r="111" spans="1:25" s="20" customFormat="1" ht="89.25" customHeight="1">
      <c r="A111" s="6"/>
      <c r="B111" s="6"/>
      <c r="C111" s="16"/>
      <c r="D111" s="17"/>
      <c r="E111" s="6"/>
      <c r="F111" s="19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</row>
    <row r="112" spans="1:25" s="20" customFormat="1" ht="89.25" customHeight="1">
      <c r="A112" s="6"/>
      <c r="B112" s="6"/>
      <c r="C112" s="16"/>
      <c r="D112" s="17"/>
      <c r="E112" s="6"/>
      <c r="F112" s="19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</row>
    <row r="113" spans="1:25" s="20" customFormat="1" ht="89.25" customHeight="1">
      <c r="A113" s="6"/>
      <c r="B113" s="6"/>
      <c r="C113" s="16"/>
      <c r="D113" s="17"/>
      <c r="E113" s="6"/>
      <c r="F113" s="19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</row>
    <row r="114" spans="1:25" s="20" customFormat="1" ht="89.25" customHeight="1">
      <c r="A114" s="6"/>
      <c r="B114" s="6"/>
      <c r="C114" s="16"/>
      <c r="D114" s="17"/>
      <c r="E114" s="6"/>
      <c r="F114" s="19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</row>
    <row r="115" spans="1:25" s="20" customFormat="1" ht="89.25" customHeight="1">
      <c r="A115" s="6"/>
      <c r="B115" s="6"/>
      <c r="C115" s="16"/>
      <c r="D115" s="17"/>
      <c r="E115" s="6"/>
      <c r="F115" s="19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</row>
    <row r="116" spans="1:25" s="20" customFormat="1" ht="89.25" customHeight="1">
      <c r="A116" s="6"/>
      <c r="B116" s="6"/>
      <c r="C116" s="16"/>
      <c r="D116" s="17"/>
      <c r="E116" s="6"/>
      <c r="F116" s="19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</row>
    <row r="117" spans="1:25" s="20" customFormat="1" ht="89.25" customHeight="1">
      <c r="A117" s="6"/>
      <c r="B117" s="6"/>
      <c r="C117" s="16"/>
      <c r="D117" s="17"/>
      <c r="E117" s="6"/>
      <c r="F117" s="19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</row>
    <row r="118" spans="1:25" s="20" customFormat="1" ht="89.25" customHeight="1">
      <c r="A118" s="6"/>
      <c r="B118" s="6"/>
      <c r="C118" s="16"/>
      <c r="D118" s="17"/>
      <c r="E118" s="6"/>
      <c r="F118" s="19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</row>
    <row r="119" spans="1:25" s="20" customFormat="1" ht="89.25" customHeight="1">
      <c r="A119" s="6"/>
      <c r="B119" s="6"/>
      <c r="C119" s="16"/>
      <c r="D119" s="17"/>
      <c r="E119" s="6"/>
      <c r="F119" s="19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</row>
    <row r="120" spans="1:25" s="20" customFormat="1" ht="89.25" customHeight="1">
      <c r="A120" s="6"/>
      <c r="B120" s="6"/>
      <c r="C120" s="16"/>
      <c r="D120" s="17"/>
      <c r="E120" s="6"/>
      <c r="F120" s="19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</row>
    <row r="121" spans="1:25" s="20" customFormat="1" ht="89.25" customHeight="1">
      <c r="A121" s="6"/>
      <c r="B121" s="6"/>
      <c r="C121" s="16"/>
      <c r="D121" s="17"/>
      <c r="E121" s="6"/>
      <c r="F121" s="19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</row>
    <row r="122" spans="1:25" s="20" customFormat="1" ht="89.25" customHeight="1">
      <c r="A122" s="6"/>
      <c r="B122" s="6"/>
      <c r="C122" s="16"/>
      <c r="D122" s="17"/>
      <c r="E122" s="6"/>
      <c r="F122" s="19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</row>
    <row r="123" spans="1:25" s="20" customFormat="1" ht="89.25" customHeight="1">
      <c r="A123" s="6"/>
      <c r="B123" s="6"/>
      <c r="C123" s="16"/>
      <c r="D123" s="17"/>
      <c r="E123" s="6"/>
      <c r="F123" s="19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</row>
    <row r="124" spans="1:25" s="20" customFormat="1" ht="89.25" customHeight="1">
      <c r="A124" s="6"/>
      <c r="B124" s="6"/>
      <c r="C124" s="16"/>
      <c r="D124" s="17"/>
      <c r="E124" s="6"/>
      <c r="F124" s="19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</row>
    <row r="125" spans="1:25" s="20" customFormat="1" ht="89.25" customHeight="1">
      <c r="A125" s="6"/>
      <c r="B125" s="6"/>
      <c r="C125" s="16"/>
      <c r="D125" s="17"/>
      <c r="E125" s="6"/>
      <c r="F125" s="19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</row>
    <row r="126" spans="1:25" s="20" customFormat="1" ht="89.25" customHeight="1">
      <c r="A126" s="6"/>
      <c r="B126" s="6"/>
      <c r="C126" s="16"/>
      <c r="D126" s="17"/>
      <c r="E126" s="6"/>
      <c r="F126" s="19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</row>
    <row r="127" spans="1:25" s="20" customFormat="1" ht="89.25" customHeight="1">
      <c r="A127" s="6"/>
      <c r="B127" s="6"/>
      <c r="C127" s="16"/>
      <c r="D127" s="17"/>
      <c r="E127" s="6"/>
      <c r="F127" s="19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</row>
    <row r="128" spans="1:25" s="20" customFormat="1" ht="89.25" customHeight="1">
      <c r="A128" s="6"/>
      <c r="B128" s="6"/>
      <c r="C128" s="16"/>
      <c r="D128" s="17"/>
      <c r="E128" s="6"/>
      <c r="F128" s="19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</row>
    <row r="129" spans="1:25" s="20" customFormat="1" ht="89.25" customHeight="1">
      <c r="A129" s="6"/>
      <c r="B129" s="6"/>
      <c r="C129" s="16"/>
      <c r="D129" s="17"/>
      <c r="E129" s="6"/>
      <c r="F129" s="19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</row>
    <row r="130" spans="1:25" s="20" customFormat="1" ht="89.25" customHeight="1">
      <c r="A130" s="6"/>
      <c r="B130" s="6"/>
      <c r="C130" s="16"/>
      <c r="D130" s="17"/>
      <c r="E130" s="6"/>
      <c r="F130" s="19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</row>
    <row r="131" spans="1:25" s="20" customFormat="1" ht="89.25" customHeight="1">
      <c r="A131" s="6"/>
      <c r="B131" s="6"/>
      <c r="C131" s="16"/>
      <c r="D131" s="17"/>
      <c r="E131" s="6"/>
      <c r="F131" s="19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</row>
    <row r="132" spans="1:25" s="20" customFormat="1" ht="89.25" customHeight="1">
      <c r="A132" s="6"/>
      <c r="B132" s="6"/>
      <c r="C132" s="16"/>
      <c r="D132" s="17"/>
      <c r="E132" s="6"/>
      <c r="F132" s="19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</row>
    <row r="133" spans="1:25" s="20" customFormat="1" ht="89.25" customHeight="1">
      <c r="A133" s="6"/>
      <c r="B133" s="6"/>
      <c r="C133" s="16"/>
      <c r="D133" s="17"/>
      <c r="E133" s="6"/>
      <c r="F133" s="19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</row>
    <row r="134" spans="1:25" s="20" customFormat="1" ht="89.25" customHeight="1">
      <c r="A134" s="6"/>
      <c r="B134" s="6"/>
      <c r="C134" s="16"/>
      <c r="D134" s="17"/>
      <c r="E134" s="6"/>
      <c r="F134" s="19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</row>
    <row r="135" spans="1:25" s="20" customFormat="1" ht="89.25" customHeight="1">
      <c r="A135" s="6"/>
      <c r="B135" s="6"/>
      <c r="C135" s="16"/>
      <c r="D135" s="17"/>
      <c r="E135" s="6"/>
      <c r="F135" s="19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</row>
    <row r="136" spans="1:25" s="20" customFormat="1" ht="89.25" customHeight="1">
      <c r="A136" s="6"/>
      <c r="B136" s="6"/>
      <c r="C136" s="16"/>
      <c r="D136" s="17"/>
      <c r="E136" s="6"/>
      <c r="F136" s="19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</row>
    <row r="137" spans="1:25" s="20" customFormat="1" ht="89.25" customHeight="1">
      <c r="A137" s="6"/>
      <c r="B137" s="6"/>
      <c r="C137" s="16"/>
      <c r="D137" s="17"/>
      <c r="E137" s="6"/>
      <c r="F137" s="19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</row>
    <row r="138" spans="1:25" s="20" customFormat="1" ht="89.25" customHeight="1">
      <c r="A138" s="6"/>
      <c r="B138" s="6"/>
      <c r="C138" s="16"/>
      <c r="D138" s="17"/>
      <c r="E138" s="6"/>
      <c r="F138" s="19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</row>
    <row r="139" spans="1:25" s="20" customFormat="1" ht="89.25" customHeight="1">
      <c r="A139" s="6"/>
      <c r="B139" s="6"/>
      <c r="C139" s="16"/>
      <c r="D139" s="17"/>
      <c r="E139" s="6"/>
      <c r="F139" s="19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</row>
    <row r="140" spans="1:25" s="20" customFormat="1" ht="89.25" customHeight="1">
      <c r="A140" s="6"/>
      <c r="B140" s="6"/>
      <c r="C140" s="16"/>
      <c r="D140" s="17"/>
      <c r="E140" s="6"/>
      <c r="F140" s="19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</row>
    <row r="141" spans="1:25" s="20" customFormat="1" ht="89.25" customHeight="1">
      <c r="A141" s="6"/>
      <c r="B141" s="6"/>
      <c r="C141" s="16"/>
      <c r="D141" s="17"/>
      <c r="E141" s="6"/>
      <c r="F141" s="19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</row>
    <row r="142" spans="1:25" s="20" customFormat="1" ht="89.25" customHeight="1">
      <c r="A142" s="6"/>
      <c r="B142" s="6"/>
      <c r="C142" s="16"/>
      <c r="D142" s="17"/>
      <c r="E142" s="6"/>
      <c r="F142" s="19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</row>
    <row r="143" spans="1:25" s="20" customFormat="1" ht="89.25" customHeight="1">
      <c r="A143" s="6"/>
      <c r="B143" s="6"/>
      <c r="C143" s="16"/>
      <c r="D143" s="17"/>
      <c r="E143" s="6"/>
      <c r="F143" s="19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</row>
    <row r="144" spans="1:25" s="20" customFormat="1" ht="89.25" customHeight="1">
      <c r="A144" s="6"/>
      <c r="B144" s="6"/>
      <c r="C144" s="16"/>
      <c r="D144" s="17"/>
      <c r="E144" s="6"/>
      <c r="F144" s="19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</row>
    <row r="145" spans="1:25" s="20" customFormat="1" ht="89.25" customHeight="1">
      <c r="A145" s="6"/>
      <c r="B145" s="6"/>
      <c r="C145" s="16"/>
      <c r="D145" s="17"/>
      <c r="E145" s="6"/>
      <c r="F145" s="19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</row>
    <row r="146" spans="1:25" s="20" customFormat="1" ht="89.25" customHeight="1">
      <c r="A146" s="6"/>
      <c r="B146" s="6"/>
      <c r="C146" s="16"/>
      <c r="D146" s="17"/>
      <c r="E146" s="6"/>
      <c r="F146" s="19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</row>
    <row r="147" spans="1:25" s="20" customFormat="1" ht="89.25" customHeight="1">
      <c r="A147" s="6"/>
      <c r="B147" s="6"/>
      <c r="C147" s="16"/>
      <c r="D147" s="17"/>
      <c r="E147" s="6"/>
      <c r="F147" s="19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</row>
    <row r="148" spans="1:25" s="20" customFormat="1" ht="89.25" customHeight="1">
      <c r="A148" s="6"/>
      <c r="B148" s="6"/>
      <c r="C148" s="16"/>
      <c r="D148" s="17"/>
      <c r="E148" s="6"/>
      <c r="F148" s="19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</row>
    <row r="149" spans="1:25" s="20" customFormat="1" ht="89.25" customHeight="1">
      <c r="A149" s="6"/>
      <c r="B149" s="6"/>
      <c r="C149" s="16"/>
      <c r="D149" s="17"/>
      <c r="E149" s="6"/>
      <c r="F149" s="19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</row>
    <row r="150" spans="1:25" s="20" customFormat="1" ht="89.25" customHeight="1">
      <c r="A150" s="6"/>
      <c r="B150" s="6"/>
      <c r="C150" s="16"/>
      <c r="D150" s="17"/>
      <c r="E150" s="6"/>
      <c r="F150" s="19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</row>
    <row r="151" spans="1:25" s="20" customFormat="1" ht="89.25" customHeight="1">
      <c r="A151" s="6"/>
      <c r="B151" s="6"/>
      <c r="C151" s="16"/>
      <c r="D151" s="17"/>
      <c r="E151" s="6"/>
      <c r="F151" s="19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</row>
    <row r="152" spans="1:25" s="20" customFormat="1" ht="89.25" customHeight="1">
      <c r="A152" s="6"/>
      <c r="B152" s="6"/>
      <c r="C152" s="16"/>
      <c r="D152" s="17"/>
      <c r="E152" s="6"/>
      <c r="F152" s="19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</row>
    <row r="153" spans="1:25" s="20" customFormat="1" ht="89.25" customHeight="1">
      <c r="A153" s="6"/>
      <c r="B153" s="6"/>
      <c r="C153" s="16"/>
      <c r="D153" s="17"/>
      <c r="E153" s="6"/>
      <c r="F153" s="19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</row>
    <row r="154" spans="1:25" s="20" customFormat="1" ht="89.25" customHeight="1">
      <c r="A154" s="6"/>
      <c r="B154" s="6"/>
      <c r="C154" s="16"/>
      <c r="D154" s="17"/>
      <c r="E154" s="6"/>
      <c r="F154" s="19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</row>
    <row r="155" spans="1:25" s="20" customFormat="1" ht="89.25" customHeight="1">
      <c r="A155" s="6"/>
      <c r="B155" s="6"/>
      <c r="C155" s="16"/>
      <c r="D155" s="17"/>
      <c r="E155" s="6"/>
      <c r="F155" s="19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</row>
    <row r="156" spans="1:25" s="20" customFormat="1" ht="89.25" customHeight="1">
      <c r="A156" s="6"/>
      <c r="B156" s="6"/>
      <c r="C156" s="16"/>
      <c r="D156" s="17"/>
      <c r="E156" s="6"/>
      <c r="F156" s="19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</row>
    <row r="157" spans="1:25" s="20" customFormat="1" ht="89.25" customHeight="1">
      <c r="A157" s="6"/>
      <c r="B157" s="6"/>
      <c r="C157" s="16"/>
      <c r="D157" s="17"/>
      <c r="E157" s="6"/>
      <c r="F157" s="19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</row>
    <row r="158" spans="1:25" s="20" customFormat="1" ht="89.25" customHeight="1">
      <c r="A158" s="6"/>
      <c r="B158" s="6"/>
      <c r="C158" s="16"/>
      <c r="D158" s="17"/>
      <c r="E158" s="6"/>
      <c r="F158" s="19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</row>
    <row r="159" spans="1:25" s="20" customFormat="1" ht="89.25" customHeight="1">
      <c r="A159" s="6"/>
      <c r="B159" s="6"/>
      <c r="C159" s="16"/>
      <c r="D159" s="17"/>
      <c r="E159" s="6"/>
      <c r="F159" s="19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</row>
    <row r="160" spans="1:25" s="20" customFormat="1" ht="89.25" customHeight="1">
      <c r="A160" s="6"/>
      <c r="B160" s="6"/>
      <c r="C160" s="16"/>
      <c r="D160" s="17"/>
      <c r="E160" s="6"/>
      <c r="F160" s="19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</row>
    <row r="161" spans="1:25" s="20" customFormat="1" ht="89.25" customHeight="1">
      <c r="A161" s="6"/>
      <c r="B161" s="6"/>
      <c r="C161" s="16"/>
      <c r="D161" s="17"/>
      <c r="E161" s="6"/>
      <c r="F161" s="19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</row>
    <row r="162" spans="1:25" s="20" customFormat="1" ht="89.25" customHeight="1">
      <c r="A162" s="6"/>
      <c r="B162" s="6"/>
      <c r="C162" s="16"/>
      <c r="D162" s="17"/>
      <c r="E162" s="6"/>
      <c r="F162" s="19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</row>
    <row r="163" spans="1:25" s="20" customFormat="1" ht="89.25" customHeight="1">
      <c r="A163" s="6"/>
      <c r="B163" s="6"/>
      <c r="C163" s="16"/>
      <c r="D163" s="17"/>
      <c r="E163" s="6"/>
      <c r="F163" s="19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</row>
    <row r="164" spans="1:25" s="20" customFormat="1" ht="89.25" customHeight="1">
      <c r="A164" s="6"/>
      <c r="B164" s="6"/>
      <c r="C164" s="16"/>
      <c r="D164" s="17"/>
      <c r="E164" s="6"/>
      <c r="F164" s="19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</row>
    <row r="165" spans="1:25" s="20" customFormat="1" ht="89.25" customHeight="1">
      <c r="A165" s="6"/>
      <c r="B165" s="6"/>
      <c r="C165" s="16"/>
      <c r="D165" s="17"/>
      <c r="E165" s="6"/>
      <c r="F165" s="19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</row>
    <row r="166" spans="1:25" s="20" customFormat="1" ht="89.25" customHeight="1">
      <c r="A166" s="6"/>
      <c r="B166" s="6"/>
      <c r="C166" s="16"/>
      <c r="D166" s="17"/>
      <c r="E166" s="6"/>
      <c r="F166" s="19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</row>
    <row r="167" spans="1:25" s="20" customFormat="1" ht="89.25" customHeight="1">
      <c r="A167" s="6"/>
      <c r="B167" s="6"/>
      <c r="C167" s="16"/>
      <c r="D167" s="17"/>
      <c r="E167" s="6"/>
      <c r="F167" s="19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</row>
    <row r="168" spans="1:25" s="20" customFormat="1" ht="89.25" customHeight="1">
      <c r="A168" s="6"/>
      <c r="B168" s="6"/>
      <c r="C168" s="16"/>
      <c r="D168" s="17"/>
      <c r="E168" s="6"/>
      <c r="F168" s="19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</row>
    <row r="169" spans="1:25" s="20" customFormat="1" ht="89.25" customHeight="1">
      <c r="A169" s="6"/>
      <c r="B169" s="6"/>
      <c r="C169" s="16"/>
      <c r="D169" s="17"/>
      <c r="E169" s="6"/>
      <c r="F169" s="19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</row>
    <row r="170" spans="1:25" s="20" customFormat="1" ht="89.25" customHeight="1">
      <c r="A170" s="6"/>
      <c r="B170" s="6"/>
      <c r="C170" s="16"/>
      <c r="D170" s="17"/>
      <c r="E170" s="6"/>
      <c r="F170" s="19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</row>
    <row r="171" spans="1:25" s="20" customFormat="1" ht="89.25" customHeight="1">
      <c r="A171" s="6"/>
      <c r="B171" s="6"/>
      <c r="C171" s="16"/>
      <c r="D171" s="17"/>
      <c r="E171" s="6"/>
      <c r="F171" s="19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</row>
    <row r="172" spans="1:25" s="20" customFormat="1" ht="89.25" customHeight="1">
      <c r="A172" s="6"/>
      <c r="B172" s="6"/>
      <c r="C172" s="16"/>
      <c r="D172" s="17"/>
      <c r="E172" s="6"/>
      <c r="F172" s="19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</row>
    <row r="173" spans="1:25" s="20" customFormat="1" ht="89.25" customHeight="1">
      <c r="A173" s="6"/>
      <c r="B173" s="6"/>
      <c r="C173" s="16"/>
      <c r="D173" s="17"/>
      <c r="E173" s="6"/>
      <c r="F173" s="19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</row>
    <row r="174" spans="1:25" s="20" customFormat="1" ht="89.25" customHeight="1">
      <c r="A174" s="6"/>
      <c r="B174" s="6"/>
      <c r="C174" s="16"/>
      <c r="D174" s="17"/>
      <c r="E174" s="6"/>
      <c r="F174" s="19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</row>
    <row r="175" spans="1:25" s="20" customFormat="1" ht="89.25" customHeight="1">
      <c r="A175" s="6"/>
      <c r="B175" s="6"/>
      <c r="C175" s="16"/>
      <c r="D175" s="17"/>
      <c r="E175" s="6"/>
      <c r="F175" s="19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</row>
    <row r="176" spans="1:25" s="20" customFormat="1" ht="89.25" customHeight="1">
      <c r="A176" s="6"/>
      <c r="B176" s="6"/>
      <c r="C176" s="16"/>
      <c r="D176" s="17"/>
      <c r="E176" s="6"/>
      <c r="F176" s="19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</row>
    <row r="177" spans="1:25" s="20" customFormat="1" ht="89.25" customHeight="1">
      <c r="A177" s="6"/>
      <c r="B177" s="6"/>
      <c r="C177" s="16"/>
      <c r="D177" s="17"/>
      <c r="E177" s="6"/>
      <c r="F177" s="19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</row>
    <row r="178" spans="1:25" s="20" customFormat="1" ht="89.25" customHeight="1">
      <c r="A178" s="6"/>
      <c r="B178" s="6"/>
      <c r="C178" s="16"/>
      <c r="D178" s="17"/>
      <c r="E178" s="6"/>
      <c r="F178" s="19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</row>
    <row r="179" spans="1:25" s="20" customFormat="1" ht="89.25" customHeight="1">
      <c r="A179" s="6"/>
      <c r="B179" s="6"/>
      <c r="C179" s="16"/>
      <c r="D179" s="17"/>
      <c r="E179" s="6"/>
      <c r="F179" s="19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</row>
    <row r="180" spans="1:25" s="20" customFormat="1" ht="89.25" customHeight="1">
      <c r="A180" s="6"/>
      <c r="B180" s="6"/>
      <c r="C180" s="16"/>
      <c r="D180" s="17"/>
      <c r="E180" s="6"/>
      <c r="F180" s="19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</row>
    <row r="181" spans="1:25" s="20" customFormat="1" ht="89.25" customHeight="1">
      <c r="A181" s="6"/>
      <c r="B181" s="6"/>
      <c r="C181" s="16"/>
      <c r="D181" s="17"/>
      <c r="E181" s="6"/>
      <c r="F181" s="19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</row>
    <row r="182" spans="1:25" s="20" customFormat="1" ht="89.25" customHeight="1">
      <c r="A182" s="6"/>
      <c r="B182" s="6"/>
      <c r="C182" s="16"/>
      <c r="D182" s="17"/>
      <c r="E182" s="6"/>
      <c r="F182" s="19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</row>
    <row r="183" spans="1:25" s="20" customFormat="1" ht="89.25" customHeight="1">
      <c r="A183" s="6"/>
      <c r="B183" s="6"/>
      <c r="C183" s="16"/>
      <c r="D183" s="17"/>
      <c r="E183" s="6"/>
      <c r="F183" s="19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</row>
    <row r="184" spans="1:25" s="20" customFormat="1" ht="89.25" customHeight="1">
      <c r="A184" s="6"/>
      <c r="B184" s="6"/>
      <c r="C184" s="16"/>
      <c r="D184" s="17"/>
      <c r="E184" s="6"/>
      <c r="F184" s="19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</row>
    <row r="185" spans="1:25" s="20" customFormat="1" ht="89.25" customHeight="1">
      <c r="A185" s="6"/>
      <c r="B185" s="6"/>
      <c r="C185" s="16"/>
      <c r="D185" s="17"/>
      <c r="E185" s="6"/>
      <c r="F185" s="19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</row>
    <row r="186" spans="1:25" s="20" customFormat="1" ht="89.25" customHeight="1">
      <c r="A186" s="6"/>
      <c r="B186" s="6"/>
      <c r="C186" s="16"/>
      <c r="D186" s="17"/>
      <c r="E186" s="6"/>
      <c r="F186" s="19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</row>
    <row r="187" spans="1:25" s="20" customFormat="1" ht="89.25" customHeight="1">
      <c r="A187" s="6"/>
      <c r="B187" s="6"/>
      <c r="C187" s="16"/>
      <c r="D187" s="17"/>
      <c r="E187" s="6"/>
      <c r="F187" s="19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</row>
    <row r="188" spans="1:25" s="20" customFormat="1" ht="89.25" customHeight="1">
      <c r="A188" s="6"/>
      <c r="B188" s="6"/>
      <c r="C188" s="16"/>
      <c r="D188" s="17"/>
      <c r="E188" s="6"/>
      <c r="F188" s="19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</row>
    <row r="189" spans="1:25" s="20" customFormat="1" ht="89.25" customHeight="1">
      <c r="A189" s="6"/>
      <c r="B189" s="6"/>
      <c r="C189" s="16"/>
      <c r="D189" s="17"/>
      <c r="E189" s="6"/>
      <c r="F189" s="19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</row>
    <row r="190" spans="1:25" s="20" customFormat="1" ht="89.25" customHeight="1">
      <c r="A190" s="6"/>
      <c r="B190" s="6"/>
      <c r="C190" s="16"/>
      <c r="D190" s="17"/>
      <c r="E190" s="6"/>
      <c r="F190" s="19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</row>
    <row r="191" spans="1:25" s="20" customFormat="1" ht="89.25" customHeight="1">
      <c r="A191" s="6"/>
      <c r="B191" s="6"/>
      <c r="C191" s="16"/>
      <c r="D191" s="17"/>
      <c r="E191" s="6"/>
      <c r="F191" s="19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</row>
    <row r="192" spans="1:25" s="20" customFormat="1" ht="89.25" customHeight="1">
      <c r="A192" s="6"/>
      <c r="B192" s="6"/>
      <c r="C192" s="16"/>
      <c r="D192" s="17"/>
      <c r="E192" s="6"/>
      <c r="F192" s="19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</row>
    <row r="193" spans="1:25" s="20" customFormat="1" ht="89.25" customHeight="1">
      <c r="A193" s="6"/>
      <c r="B193" s="6"/>
      <c r="C193" s="16"/>
      <c r="D193" s="17"/>
      <c r="E193" s="6"/>
      <c r="F193" s="19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</row>
    <row r="194" spans="1:25" s="20" customFormat="1" ht="89.25" customHeight="1">
      <c r="A194" s="6"/>
      <c r="B194" s="6"/>
      <c r="C194" s="16"/>
      <c r="D194" s="17"/>
      <c r="E194" s="6"/>
      <c r="F194" s="19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</row>
    <row r="195" spans="1:25" s="20" customFormat="1" ht="89.25" customHeight="1">
      <c r="A195" s="6"/>
      <c r="B195" s="6"/>
      <c r="C195" s="16"/>
      <c r="D195" s="17"/>
      <c r="E195" s="6"/>
      <c r="F195" s="19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</row>
    <row r="196" spans="1:25" s="20" customFormat="1" ht="89.25" customHeight="1">
      <c r="A196" s="6"/>
      <c r="B196" s="6"/>
      <c r="C196" s="16"/>
      <c r="D196" s="17"/>
      <c r="E196" s="6"/>
      <c r="F196" s="19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</row>
    <row r="197" spans="1:25" s="20" customFormat="1" ht="89.25" customHeight="1">
      <c r="A197" s="6"/>
      <c r="B197" s="6"/>
      <c r="C197" s="16"/>
      <c r="D197" s="17"/>
      <c r="E197" s="6"/>
      <c r="F197" s="19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</row>
    <row r="198" spans="1:25" s="20" customFormat="1" ht="89.25" customHeight="1">
      <c r="A198" s="6"/>
      <c r="B198" s="6"/>
      <c r="C198" s="16"/>
      <c r="D198" s="17"/>
      <c r="E198" s="6"/>
      <c r="F198" s="19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</row>
    <row r="199" spans="1:25" s="20" customFormat="1" ht="89.25" customHeight="1">
      <c r="A199" s="6"/>
      <c r="B199" s="6"/>
      <c r="C199" s="16"/>
      <c r="D199" s="17"/>
      <c r="E199" s="6"/>
      <c r="F199" s="19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</row>
    <row r="200" spans="1:25" s="20" customFormat="1" ht="89.25" customHeight="1">
      <c r="A200" s="6"/>
      <c r="B200" s="6"/>
      <c r="C200" s="16"/>
      <c r="D200" s="17"/>
      <c r="E200" s="6"/>
      <c r="F200" s="19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</row>
    <row r="201" spans="1:25" s="20" customFormat="1" ht="89.25" customHeight="1">
      <c r="A201" s="6"/>
      <c r="B201" s="6"/>
      <c r="C201" s="16"/>
      <c r="D201" s="17"/>
      <c r="E201" s="6"/>
      <c r="F201" s="19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</row>
    <row r="202" spans="1:25" s="20" customFormat="1" ht="89.25" customHeight="1">
      <c r="A202" s="6"/>
      <c r="B202" s="6"/>
      <c r="C202" s="16"/>
      <c r="D202" s="17"/>
      <c r="E202" s="6"/>
      <c r="F202" s="19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</row>
    <row r="203" spans="1:25" s="20" customFormat="1" ht="89.25" customHeight="1">
      <c r="A203" s="6"/>
      <c r="B203" s="6"/>
      <c r="C203" s="16"/>
      <c r="D203" s="17"/>
      <c r="E203" s="6"/>
      <c r="F203" s="19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</row>
    <row r="204" spans="1:25" s="20" customFormat="1" ht="89.25" customHeight="1">
      <c r="A204" s="6"/>
      <c r="B204" s="6"/>
      <c r="C204" s="16"/>
      <c r="D204" s="17"/>
      <c r="E204" s="6"/>
      <c r="F204" s="19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</row>
    <row r="205" spans="1:25" s="20" customFormat="1" ht="89.25" customHeight="1">
      <c r="A205" s="6"/>
      <c r="B205" s="6"/>
      <c r="C205" s="16"/>
      <c r="D205" s="17"/>
      <c r="E205" s="6"/>
      <c r="F205" s="19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</row>
    <row r="206" spans="1:25" s="20" customFormat="1" ht="89.25" customHeight="1">
      <c r="A206" s="6"/>
      <c r="B206" s="6"/>
      <c r="C206" s="16"/>
      <c r="D206" s="17"/>
      <c r="E206" s="6"/>
      <c r="F206" s="19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</row>
    <row r="207" spans="1:25" s="20" customFormat="1" ht="89.25" customHeight="1">
      <c r="A207" s="6"/>
      <c r="B207" s="6"/>
      <c r="C207" s="16"/>
      <c r="D207" s="17"/>
      <c r="E207" s="6"/>
      <c r="F207" s="19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</row>
    <row r="208" spans="1:25" s="20" customFormat="1" ht="89.25" customHeight="1">
      <c r="A208" s="6"/>
      <c r="B208" s="6"/>
      <c r="C208" s="16"/>
      <c r="D208" s="17"/>
      <c r="E208" s="6"/>
      <c r="F208" s="19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</row>
    <row r="209" spans="1:25" s="20" customFormat="1" ht="89.25" customHeight="1">
      <c r="A209" s="6"/>
      <c r="B209" s="6"/>
      <c r="C209" s="16"/>
      <c r="D209" s="17"/>
      <c r="E209" s="6"/>
      <c r="F209" s="19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</row>
    <row r="210" spans="1:25" s="20" customFormat="1" ht="89.25" customHeight="1">
      <c r="A210" s="6"/>
      <c r="B210" s="6"/>
      <c r="C210" s="16"/>
      <c r="D210" s="17"/>
      <c r="E210" s="6"/>
      <c r="F210" s="19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</row>
    <row r="211" spans="1:25" s="20" customFormat="1" ht="89.25" customHeight="1">
      <c r="A211" s="6"/>
      <c r="B211" s="6"/>
      <c r="C211" s="16"/>
      <c r="D211" s="17"/>
      <c r="E211" s="6"/>
      <c r="F211" s="19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</row>
    <row r="212" spans="1:25" s="20" customFormat="1" ht="89.25" customHeight="1">
      <c r="A212" s="6"/>
      <c r="B212" s="6"/>
      <c r="C212" s="16"/>
      <c r="D212" s="17"/>
      <c r="E212" s="6"/>
      <c r="F212" s="19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</row>
    <row r="213" spans="1:25" s="20" customFormat="1" ht="89.25" customHeight="1">
      <c r="A213" s="6"/>
      <c r="B213" s="6"/>
      <c r="C213" s="16"/>
      <c r="D213" s="17"/>
      <c r="E213" s="6"/>
      <c r="F213" s="19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</row>
    <row r="214" spans="1:25" s="20" customFormat="1" ht="89.25" customHeight="1">
      <c r="A214" s="6"/>
      <c r="B214" s="6"/>
      <c r="C214" s="16"/>
      <c r="D214" s="17"/>
      <c r="E214" s="6"/>
      <c r="F214" s="19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</row>
    <row r="215" spans="1:25" s="20" customFormat="1" ht="89.25" customHeight="1">
      <c r="A215" s="6"/>
      <c r="B215" s="6"/>
      <c r="C215" s="16"/>
      <c r="D215" s="17"/>
      <c r="E215" s="6"/>
      <c r="F215" s="19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</row>
    <row r="216" spans="1:25" s="20" customFormat="1" ht="89.25" customHeight="1">
      <c r="A216" s="6"/>
      <c r="B216" s="6"/>
      <c r="C216" s="16"/>
      <c r="D216" s="17"/>
      <c r="E216" s="6"/>
      <c r="F216" s="19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</row>
    <row r="217" spans="1:25" s="20" customFormat="1" ht="89.25" customHeight="1">
      <c r="A217" s="6"/>
      <c r="B217" s="6"/>
      <c r="C217" s="16"/>
      <c r="D217" s="17"/>
      <c r="E217" s="6"/>
      <c r="F217" s="19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</row>
    <row r="218" spans="1:25" s="20" customFormat="1" ht="89.25" customHeight="1">
      <c r="A218" s="6"/>
      <c r="B218" s="6"/>
      <c r="C218" s="16"/>
      <c r="D218" s="17"/>
      <c r="E218" s="6"/>
      <c r="F218" s="19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</row>
    <row r="219" spans="1:25" s="20" customFormat="1" ht="89.25" customHeight="1">
      <c r="A219" s="6"/>
      <c r="B219" s="6"/>
      <c r="C219" s="16"/>
      <c r="D219" s="17"/>
      <c r="E219" s="6"/>
      <c r="F219" s="19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</row>
    <row r="220" spans="1:25" s="20" customFormat="1" ht="89.25" customHeight="1">
      <c r="A220" s="6"/>
      <c r="B220" s="6"/>
      <c r="C220" s="16"/>
      <c r="D220" s="17"/>
      <c r="E220" s="6"/>
      <c r="F220" s="19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</row>
    <row r="221" spans="1:25" s="20" customFormat="1" ht="89.25" customHeight="1">
      <c r="A221" s="6"/>
      <c r="B221" s="6"/>
      <c r="C221" s="16"/>
      <c r="D221" s="17"/>
      <c r="E221" s="6"/>
      <c r="F221" s="19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</row>
    <row r="222" spans="1:25" s="20" customFormat="1" ht="89.25" customHeight="1">
      <c r="A222" s="6"/>
      <c r="B222" s="6"/>
      <c r="C222" s="16"/>
      <c r="D222" s="17"/>
      <c r="E222" s="6"/>
      <c r="F222" s="19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</row>
    <row r="223" spans="1:25" s="20" customFormat="1" ht="89.25" customHeight="1">
      <c r="A223" s="6"/>
      <c r="B223" s="6"/>
      <c r="C223" s="16"/>
      <c r="D223" s="17"/>
      <c r="E223" s="6"/>
      <c r="F223" s="19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</row>
    <row r="224" spans="1:25" s="20" customFormat="1" ht="89.25" customHeight="1">
      <c r="A224" s="6"/>
      <c r="B224" s="6"/>
      <c r="C224" s="16"/>
      <c r="D224" s="17"/>
      <c r="E224" s="6"/>
      <c r="F224" s="19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</row>
    <row r="225" spans="1:25" s="20" customFormat="1" ht="89.25" customHeight="1">
      <c r="A225" s="6"/>
      <c r="B225" s="6"/>
      <c r="C225" s="16"/>
      <c r="D225" s="17"/>
      <c r="E225" s="6"/>
      <c r="F225" s="19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</row>
    <row r="226" spans="1:25" s="20" customFormat="1" ht="89.25" customHeight="1">
      <c r="A226" s="6"/>
      <c r="B226" s="6"/>
      <c r="C226" s="16"/>
      <c r="D226" s="17"/>
      <c r="E226" s="6"/>
      <c r="F226" s="19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</row>
    <row r="227" spans="1:25" s="20" customFormat="1" ht="89.25" customHeight="1">
      <c r="A227" s="6"/>
      <c r="B227" s="6"/>
      <c r="C227" s="16"/>
      <c r="D227" s="17"/>
      <c r="E227" s="6"/>
      <c r="F227" s="19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</row>
    <row r="228" spans="1:25" s="20" customFormat="1" ht="89.25" customHeight="1">
      <c r="A228" s="6"/>
      <c r="B228" s="6"/>
      <c r="C228" s="16"/>
      <c r="D228" s="17"/>
      <c r="E228" s="6"/>
      <c r="F228" s="19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</row>
    <row r="229" spans="1:25" s="20" customFormat="1" ht="89.25" customHeight="1">
      <c r="A229" s="6"/>
      <c r="B229" s="6"/>
      <c r="C229" s="16"/>
      <c r="D229" s="17"/>
      <c r="E229" s="6"/>
      <c r="F229" s="19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</row>
    <row r="230" spans="1:25" s="20" customFormat="1" ht="89.25" customHeight="1">
      <c r="A230" s="6"/>
      <c r="B230" s="6"/>
      <c r="C230" s="16"/>
      <c r="D230" s="17"/>
      <c r="E230" s="6"/>
      <c r="F230" s="19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</row>
    <row r="231" spans="1:25" s="20" customFormat="1" ht="89.25" customHeight="1">
      <c r="A231" s="6"/>
      <c r="B231" s="6"/>
      <c r="C231" s="16"/>
      <c r="D231" s="17"/>
      <c r="E231" s="6"/>
      <c r="F231" s="19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</row>
    <row r="232" spans="1:25" s="20" customFormat="1" ht="89.25" customHeight="1">
      <c r="A232" s="6"/>
      <c r="B232" s="6"/>
      <c r="C232" s="16"/>
      <c r="D232" s="17"/>
      <c r="E232" s="6"/>
      <c r="F232" s="19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</row>
    <row r="233" spans="1:25" s="20" customFormat="1" ht="89.25" customHeight="1">
      <c r="A233" s="6"/>
      <c r="B233" s="6"/>
      <c r="C233" s="16"/>
      <c r="D233" s="17"/>
      <c r="E233" s="6"/>
      <c r="F233" s="19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</row>
    <row r="234" spans="1:25" s="20" customFormat="1" ht="89.25" customHeight="1">
      <c r="A234" s="6"/>
      <c r="B234" s="6"/>
      <c r="C234" s="16"/>
      <c r="D234" s="17"/>
      <c r="E234" s="6"/>
      <c r="F234" s="19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</row>
    <row r="235" spans="1:25" s="20" customFormat="1" ht="89.25" customHeight="1">
      <c r="A235" s="6"/>
      <c r="B235" s="6"/>
      <c r="C235" s="16"/>
      <c r="D235" s="17"/>
      <c r="E235" s="6"/>
      <c r="F235" s="19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</row>
    <row r="236" spans="1:25" s="20" customFormat="1" ht="89.25" customHeight="1">
      <c r="A236" s="6"/>
      <c r="B236" s="6"/>
      <c r="C236" s="16"/>
      <c r="D236" s="17"/>
      <c r="E236" s="6"/>
      <c r="F236" s="19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</row>
    <row r="237" spans="1:25" s="20" customFormat="1" ht="89.25" customHeight="1">
      <c r="A237" s="6"/>
      <c r="B237" s="6"/>
      <c r="C237" s="16"/>
      <c r="D237" s="17"/>
      <c r="E237" s="6"/>
      <c r="F237" s="19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</row>
  </sheetData>
  <mergeCells count="23">
    <mergeCell ref="D52:E52"/>
    <mergeCell ref="A49:B49"/>
    <mergeCell ref="A14:D14"/>
    <mergeCell ref="A18:D18"/>
    <mergeCell ref="A16:D16"/>
    <mergeCell ref="D51:E51"/>
    <mergeCell ref="A15:D15"/>
    <mergeCell ref="A51:B51"/>
    <mergeCell ref="A50:B50"/>
    <mergeCell ref="D50:E50"/>
    <mergeCell ref="D49:E49"/>
    <mergeCell ref="A13:D13"/>
    <mergeCell ref="A17:D17"/>
    <mergeCell ref="A19:D19"/>
    <mergeCell ref="A11:D11"/>
    <mergeCell ref="A12:D12"/>
    <mergeCell ref="A10:D10"/>
    <mergeCell ref="A1:F3"/>
    <mergeCell ref="A5:F5"/>
    <mergeCell ref="A6:F6"/>
    <mergeCell ref="A7:E7"/>
    <mergeCell ref="A9:D9"/>
    <mergeCell ref="A4:F4"/>
  </mergeCells>
  <printOptions horizontalCentered="1" verticalCentered="1"/>
  <pageMargins left="0.59055118110236227" right="0.59055118110236227" top="0.59055118110236227" bottom="0.59055118110236227" header="0.31496062992125984" footer="0.31496062992125984"/>
  <pageSetup paperSize="9" scale="47" orientation="landscape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Hoja22">
    <tabColor rgb="FF00B0F0"/>
    <pageSetUpPr fitToPage="1"/>
  </sheetPr>
  <dimension ref="A1:AG237"/>
  <sheetViews>
    <sheetView showGridLines="0" topLeftCell="A21" zoomScale="80" zoomScaleNormal="80" workbookViewId="0">
      <selection activeCell="F43" sqref="F43"/>
    </sheetView>
  </sheetViews>
  <sheetFormatPr baseColWidth="10" defaultRowHeight="89.25" customHeight="1"/>
  <cols>
    <col min="1" max="2" width="25.28515625" style="6" customWidth="1"/>
    <col min="3" max="3" width="25.28515625" style="16" customWidth="1"/>
    <col min="4" max="4" width="25.28515625" style="17" customWidth="1"/>
    <col min="5" max="5" width="15.28515625" style="6" bestFit="1" customWidth="1"/>
    <col min="6" max="6" width="21.7109375" style="19" bestFit="1" customWidth="1"/>
    <col min="7" max="7" width="19.140625" style="5" bestFit="1" customWidth="1"/>
    <col min="8" max="8" width="18.7109375" style="5" bestFit="1" customWidth="1"/>
    <col min="9" max="10" width="18.7109375" style="5" customWidth="1"/>
    <col min="11" max="25" width="11.42578125" style="5"/>
    <col min="26" max="16384" width="11.42578125" style="6"/>
  </cols>
  <sheetData>
    <row r="1" spans="1:25" s="4" customFormat="1" ht="33.75" customHeight="1">
      <c r="A1" s="1339" t="s">
        <v>756</v>
      </c>
      <c r="B1" s="1339"/>
      <c r="C1" s="1339"/>
      <c r="D1" s="1339"/>
      <c r="E1" s="1339"/>
      <c r="F1" s="1339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spans="1:25" s="4" customFormat="1" ht="33.75" customHeight="1">
      <c r="A2" s="1339"/>
      <c r="B2" s="1339"/>
      <c r="C2" s="1339"/>
      <c r="D2" s="1339"/>
      <c r="E2" s="1339"/>
      <c r="F2" s="1339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 s="4" customFormat="1" ht="15.75">
      <c r="A3" s="1339"/>
      <c r="B3" s="1339"/>
      <c r="C3" s="1339"/>
      <c r="D3" s="1339"/>
      <c r="E3" s="1339"/>
      <c r="F3" s="1339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</row>
    <row r="4" spans="1:25" s="4" customFormat="1" ht="15.75">
      <c r="A4" s="1345" t="str">
        <f>+'Anexo 10 Garzón'!A4:F4</f>
        <v>AL 31 DE JULIO DE 2023</v>
      </c>
      <c r="B4" s="1345"/>
      <c r="C4" s="1345"/>
      <c r="D4" s="1345"/>
      <c r="E4" s="1345"/>
      <c r="F4" s="1345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</row>
    <row r="5" spans="1:25" ht="30" customHeight="1">
      <c r="A5" s="1339" t="s">
        <v>205</v>
      </c>
      <c r="B5" s="1339"/>
      <c r="C5" s="1339"/>
      <c r="D5" s="1339"/>
      <c r="E5" s="1339"/>
      <c r="F5" s="1339"/>
    </row>
    <row r="6" spans="1:25" ht="30" customHeight="1" thickBot="1">
      <c r="A6" s="1339" t="s">
        <v>196</v>
      </c>
      <c r="B6" s="1339"/>
      <c r="C6" s="1339"/>
      <c r="D6" s="1339"/>
      <c r="E6" s="1339"/>
      <c r="F6" s="1339"/>
    </row>
    <row r="7" spans="1:25" ht="30" customHeight="1" thickBot="1">
      <c r="A7" s="1346" t="s">
        <v>1</v>
      </c>
      <c r="B7" s="1347"/>
      <c r="C7" s="1347"/>
      <c r="D7" s="1347"/>
      <c r="E7" s="1347"/>
      <c r="F7" s="7" t="s">
        <v>2</v>
      </c>
    </row>
    <row r="8" spans="1:25" ht="18.600000000000001" customHeight="1">
      <c r="A8" s="8"/>
      <c r="B8" s="9"/>
      <c r="C8" s="9"/>
      <c r="D8" s="9"/>
      <c r="E8" s="10"/>
      <c r="F8" s="11"/>
      <c r="I8" s="12"/>
      <c r="J8" s="12"/>
    </row>
    <row r="9" spans="1:25" ht="18.600000000000001" customHeight="1">
      <c r="A9" s="1342" t="str">
        <f>+'Anexo 10 Garzón'!A9:D9</f>
        <v>TOTAL RENDIMIENTOS GENERADOS POR LOS RECURSOS DEL FONDO DE JULIO DE 2023</v>
      </c>
      <c r="B9" s="1343"/>
      <c r="C9" s="1343"/>
      <c r="D9" s="1343"/>
      <c r="E9" s="259"/>
      <c r="F9" s="260">
        <f>F43</f>
        <v>1302928.4300000002</v>
      </c>
      <c r="I9" s="13"/>
      <c r="J9" s="12"/>
    </row>
    <row r="10" spans="1:25" ht="18.600000000000001" customHeight="1">
      <c r="A10" s="1333" t="s">
        <v>213</v>
      </c>
      <c r="B10" s="1334"/>
      <c r="C10" s="1334"/>
      <c r="D10" s="1334"/>
      <c r="E10" s="261">
        <v>0</v>
      </c>
      <c r="F10" s="262"/>
    </row>
    <row r="11" spans="1:25" ht="18.600000000000001" customHeight="1">
      <c r="A11" s="1333" t="s">
        <v>212</v>
      </c>
      <c r="B11" s="1334"/>
      <c r="C11" s="1334"/>
      <c r="D11" s="1334"/>
      <c r="E11" s="261">
        <v>7828.22</v>
      </c>
      <c r="F11" s="262"/>
    </row>
    <row r="12" spans="1:25" ht="18.600000000000001" customHeight="1">
      <c r="A12" s="1333" t="s">
        <v>223</v>
      </c>
      <c r="B12" s="1334"/>
      <c r="C12" s="1334"/>
      <c r="D12" s="1334"/>
      <c r="E12" s="261">
        <v>43967.6</v>
      </c>
      <c r="F12" s="262"/>
    </row>
    <row r="13" spans="1:25" ht="18.600000000000001" customHeight="1">
      <c r="A13" s="1333" t="s">
        <v>231</v>
      </c>
      <c r="B13" s="1334"/>
      <c r="C13" s="1334"/>
      <c r="D13" s="1334"/>
      <c r="E13" s="261">
        <v>48539.4</v>
      </c>
      <c r="F13" s="262"/>
    </row>
    <row r="14" spans="1:25" ht="18.600000000000001" customHeight="1">
      <c r="A14" s="1333" t="s">
        <v>244</v>
      </c>
      <c r="B14" s="1334"/>
      <c r="C14" s="1334"/>
      <c r="D14" s="1334"/>
      <c r="E14" s="261">
        <v>46830.22</v>
      </c>
      <c r="F14" s="262"/>
    </row>
    <row r="15" spans="1:25" ht="15.75" customHeight="1">
      <c r="A15" s="1333" t="s">
        <v>272</v>
      </c>
      <c r="B15" s="1334"/>
      <c r="C15" s="1334"/>
      <c r="D15" s="1334"/>
      <c r="E15" s="261">
        <v>48547.5</v>
      </c>
      <c r="F15" s="262"/>
    </row>
    <row r="16" spans="1:25" ht="18.600000000000001" customHeight="1">
      <c r="A16" s="1333" t="s">
        <v>276</v>
      </c>
      <c r="B16" s="1334"/>
      <c r="C16" s="1334"/>
      <c r="D16" s="1334"/>
      <c r="E16" s="261">
        <v>46838.04</v>
      </c>
      <c r="F16" s="262"/>
    </row>
    <row r="17" spans="1:7" ht="18.600000000000001" customHeight="1">
      <c r="A17" s="1333" t="s">
        <v>294</v>
      </c>
      <c r="B17" s="1334"/>
      <c r="C17" s="1334"/>
      <c r="D17" s="1334"/>
      <c r="E17" s="261">
        <v>48555.61</v>
      </c>
      <c r="F17" s="262"/>
    </row>
    <row r="18" spans="1:7" ht="18.600000000000001" customHeight="1">
      <c r="A18" s="1333" t="s">
        <v>307</v>
      </c>
      <c r="B18" s="1334"/>
      <c r="C18" s="1334"/>
      <c r="D18" s="1334"/>
      <c r="E18" s="261">
        <v>48559.74</v>
      </c>
      <c r="F18" s="262"/>
    </row>
    <row r="19" spans="1:7" ht="16.5" customHeight="1">
      <c r="A19" s="543" t="s">
        <v>365</v>
      </c>
      <c r="B19" s="544"/>
      <c r="C19" s="544"/>
      <c r="D19" s="544"/>
      <c r="E19" s="261">
        <v>46849.85</v>
      </c>
      <c r="F19" s="262"/>
    </row>
    <row r="20" spans="1:7" ht="16.5" customHeight="1">
      <c r="A20" s="574" t="s">
        <v>427</v>
      </c>
      <c r="B20" s="575"/>
      <c r="C20" s="575"/>
      <c r="D20" s="575"/>
      <c r="E20" s="261">
        <f>30619.56+1</f>
        <v>30620.560000000001</v>
      </c>
      <c r="F20" s="262"/>
      <c r="G20" s="5" t="str">
        <f>+"+1"</f>
        <v>+1</v>
      </c>
    </row>
    <row r="21" spans="1:7" ht="16.5" customHeight="1">
      <c r="A21" s="651" t="s">
        <v>462</v>
      </c>
      <c r="B21" s="652"/>
      <c r="C21" s="652"/>
      <c r="D21" s="652"/>
      <c r="E21" s="261">
        <v>2126.2399999999998</v>
      </c>
      <c r="F21" s="262"/>
    </row>
    <row r="22" spans="1:7" ht="16.5" customHeight="1">
      <c r="A22" s="670" t="s">
        <v>494</v>
      </c>
      <c r="B22" s="671"/>
      <c r="C22" s="671"/>
      <c r="D22" s="671"/>
      <c r="E22" s="261">
        <v>2204.21</v>
      </c>
      <c r="F22" s="262"/>
    </row>
    <row r="23" spans="1:7" ht="16.5" customHeight="1">
      <c r="A23" s="689" t="s">
        <v>501</v>
      </c>
      <c r="B23" s="690"/>
      <c r="C23" s="690"/>
      <c r="D23" s="690"/>
      <c r="E23" s="261">
        <v>2204.4</v>
      </c>
      <c r="F23" s="262"/>
    </row>
    <row r="24" spans="1:7" ht="16.5" customHeight="1">
      <c r="A24" s="725" t="s">
        <v>515</v>
      </c>
      <c r="B24" s="726"/>
      <c r="C24" s="726"/>
      <c r="D24" s="726"/>
      <c r="E24" s="261">
        <v>1997.1</v>
      </c>
      <c r="F24" s="262"/>
    </row>
    <row r="25" spans="1:7" ht="16.5" customHeight="1">
      <c r="A25" s="743" t="s">
        <v>520</v>
      </c>
      <c r="B25" s="744"/>
      <c r="C25" s="744"/>
      <c r="D25" s="744"/>
      <c r="E25" s="261">
        <v>2204.7600000000002</v>
      </c>
      <c r="F25" s="262"/>
    </row>
    <row r="26" spans="1:7" ht="16.5" customHeight="1">
      <c r="A26" s="773" t="s">
        <v>537</v>
      </c>
      <c r="B26" s="774"/>
      <c r="C26" s="774"/>
      <c r="D26" s="774"/>
      <c r="E26" s="261">
        <f>2127.12-1</f>
        <v>2126.12</v>
      </c>
      <c r="F26" s="262"/>
      <c r="G26" s="785" t="str">
        <f>"-1"</f>
        <v>-1</v>
      </c>
    </row>
    <row r="27" spans="1:7" ht="16.5" customHeight="1">
      <c r="A27" s="793" t="s">
        <v>567</v>
      </c>
      <c r="B27" s="794"/>
      <c r="C27" s="794"/>
      <c r="D27" s="794"/>
      <c r="E27" s="261">
        <v>2205.12</v>
      </c>
      <c r="F27" s="262"/>
      <c r="G27" s="785"/>
    </row>
    <row r="28" spans="1:7" ht="16.5" customHeight="1">
      <c r="A28" s="811" t="s">
        <v>577</v>
      </c>
      <c r="B28" s="812"/>
      <c r="C28" s="812"/>
      <c r="D28" s="812"/>
      <c r="E28" s="261">
        <v>2127.48</v>
      </c>
      <c r="F28" s="262"/>
      <c r="G28" s="785"/>
    </row>
    <row r="29" spans="1:7" ht="16.5" customHeight="1">
      <c r="A29" s="874" t="s">
        <v>625</v>
      </c>
      <c r="B29" s="875"/>
      <c r="C29" s="875"/>
      <c r="D29" s="875"/>
      <c r="E29" s="261">
        <v>2205.4899999999998</v>
      </c>
      <c r="F29" s="262"/>
      <c r="G29" s="785"/>
    </row>
    <row r="30" spans="1:7" ht="16.5" customHeight="1">
      <c r="A30" s="895" t="s">
        <v>720</v>
      </c>
      <c r="B30" s="896"/>
      <c r="C30" s="896"/>
      <c r="D30" s="896"/>
      <c r="E30" s="261">
        <v>2205.6799999999998</v>
      </c>
      <c r="F30" s="262"/>
      <c r="G30" s="785"/>
    </row>
    <row r="31" spans="1:7" ht="16.5" customHeight="1">
      <c r="A31" s="904" t="s">
        <v>647</v>
      </c>
      <c r="B31" s="905"/>
      <c r="C31" s="905"/>
      <c r="D31" s="905"/>
      <c r="E31" s="261">
        <v>2128.0100000000002</v>
      </c>
      <c r="F31" s="262"/>
      <c r="G31" s="785"/>
    </row>
    <row r="32" spans="1:7" ht="16.5" customHeight="1">
      <c r="A32" s="924" t="s">
        <v>655</v>
      </c>
      <c r="B32" s="925"/>
      <c r="C32" s="925"/>
      <c r="D32" s="925"/>
      <c r="E32" s="261">
        <v>2206.0500000000002</v>
      </c>
      <c r="F32" s="262"/>
      <c r="G32" s="785"/>
    </row>
    <row r="33" spans="1:33" ht="16.5" customHeight="1">
      <c r="A33" s="948" t="s">
        <v>665</v>
      </c>
      <c r="B33" s="949"/>
      <c r="C33" s="949"/>
      <c r="D33" s="949"/>
      <c r="E33" s="261">
        <v>2128.37</v>
      </c>
      <c r="F33" s="262"/>
      <c r="G33" s="785"/>
    </row>
    <row r="34" spans="1:33" ht="16.5" customHeight="1">
      <c r="A34" s="966" t="s">
        <v>677</v>
      </c>
      <c r="B34" s="967"/>
      <c r="C34" s="967"/>
      <c r="D34" s="967"/>
      <c r="E34" s="261">
        <v>2206.42</v>
      </c>
      <c r="F34" s="262"/>
      <c r="G34" s="785"/>
    </row>
    <row r="35" spans="1:33" ht="16.5" customHeight="1">
      <c r="A35" s="989" t="s">
        <v>687</v>
      </c>
      <c r="B35" s="990"/>
      <c r="C35" s="990"/>
      <c r="D35" s="990"/>
      <c r="E35" s="261">
        <v>2206.6</v>
      </c>
      <c r="F35" s="262"/>
      <c r="G35" s="785"/>
    </row>
    <row r="36" spans="1:33" ht="16.5" customHeight="1">
      <c r="A36" s="1013" t="s">
        <v>720</v>
      </c>
      <c r="B36" s="1014"/>
      <c r="C36" s="1014"/>
      <c r="D36" s="1014"/>
      <c r="E36" s="261">
        <v>1999.09</v>
      </c>
      <c r="F36" s="262"/>
      <c r="G36" s="785"/>
    </row>
    <row r="37" spans="1:33" ht="16.5" customHeight="1">
      <c r="A37" s="1032" t="s">
        <v>729</v>
      </c>
      <c r="B37" s="1033"/>
      <c r="C37" s="1033"/>
      <c r="D37" s="1033"/>
      <c r="E37" s="261">
        <v>170273.97</v>
      </c>
      <c r="F37" s="262"/>
      <c r="G37" s="785"/>
    </row>
    <row r="38" spans="1:33" ht="16.5" customHeight="1">
      <c r="A38" s="1069" t="s">
        <v>748</v>
      </c>
      <c r="B38" s="1070"/>
      <c r="C38" s="1070"/>
      <c r="D38" s="1070"/>
      <c r="E38" s="261">
        <v>165850.09</v>
      </c>
      <c r="F38" s="262"/>
      <c r="G38" s="785"/>
    </row>
    <row r="39" spans="1:33" ht="16.5" customHeight="1">
      <c r="A39" s="1090" t="str">
        <f>+'Anexo 10 Garzón'!A39</f>
        <v>Rendimientos financieros AL 31 DE MAYO DE 2023</v>
      </c>
      <c r="B39" s="1091"/>
      <c r="C39" s="1091"/>
      <c r="D39" s="1091"/>
      <c r="E39" s="261">
        <v>172478.27</v>
      </c>
      <c r="F39" s="262"/>
      <c r="G39" s="785">
        <f>+SUM(E10:E39)</f>
        <v>960220.21</v>
      </c>
    </row>
    <row r="40" spans="1:33" ht="16.5" customHeight="1">
      <c r="A40" s="1100" t="str">
        <f>+'Anexo 10 Garzón'!A40</f>
        <v>Rendimientos financieros AL 30 DE JUNIO DE 2023</v>
      </c>
      <c r="B40" s="1101"/>
      <c r="C40" s="1101"/>
      <c r="D40" s="1101"/>
      <c r="E40" s="261">
        <v>167997.12</v>
      </c>
      <c r="F40" s="262"/>
      <c r="G40" s="785"/>
    </row>
    <row r="41" spans="1:33" ht="16.5" customHeight="1">
      <c r="A41" s="1128" t="str">
        <f>+'Anexo 10 Garzón'!A41</f>
        <v>Rendimientos financieros AL 31 DE JULIO DE 2023</v>
      </c>
      <c r="B41" s="1129"/>
      <c r="C41" s="1129"/>
      <c r="D41" s="1129"/>
      <c r="E41" s="261">
        <v>174711.1</v>
      </c>
      <c r="F41" s="262"/>
      <c r="G41" s="785"/>
    </row>
    <row r="42" spans="1:33" s="5" customFormat="1" ht="18.600000000000001" customHeight="1">
      <c r="A42" s="226"/>
      <c r="B42" s="227"/>
      <c r="C42" s="227"/>
      <c r="D42" s="227"/>
      <c r="E42" s="263"/>
      <c r="F42" s="264"/>
      <c r="G42" s="776" t="s">
        <v>535</v>
      </c>
      <c r="H42" s="775" t="s">
        <v>536</v>
      </c>
      <c r="I42" s="775" t="s">
        <v>516</v>
      </c>
      <c r="J42" s="742" t="s">
        <v>65</v>
      </c>
      <c r="Z42" s="6"/>
      <c r="AA42" s="6"/>
      <c r="AB42" s="6"/>
      <c r="AC42" s="6"/>
      <c r="AD42" s="6"/>
      <c r="AE42" s="6"/>
      <c r="AF42" s="6"/>
      <c r="AG42" s="6"/>
    </row>
    <row r="43" spans="1:33" s="5" customFormat="1" ht="24.75" customHeight="1" thickBot="1">
      <c r="A43" s="14" t="str">
        <f>+'Anexo 10 Garzón'!A43</f>
        <v>TOTAL RENDIMIENTOS DISPONIBLES AL 31 DE JULIO DE 2023</v>
      </c>
      <c r="B43" s="15"/>
      <c r="C43" s="15"/>
      <c r="D43" s="15"/>
      <c r="E43" s="265"/>
      <c r="F43" s="266">
        <f>SUM(E9:E42)</f>
        <v>1302928.4300000002</v>
      </c>
      <c r="G43" s="5">
        <f>+F43+Adhesiones!H79</f>
        <v>26815623.43</v>
      </c>
      <c r="H43" s="741">
        <f>+G43-F43</f>
        <v>25512695</v>
      </c>
      <c r="I43" s="5">
        <f>-'Anexo 3-Porcion C-NC'!B18</f>
        <v>-25512695</v>
      </c>
      <c r="J43" s="5">
        <f>+H43+I43</f>
        <v>0</v>
      </c>
      <c r="Z43" s="6"/>
      <c r="AA43" s="6"/>
      <c r="AB43" s="6"/>
      <c r="AC43" s="6"/>
      <c r="AD43" s="6"/>
      <c r="AE43" s="6"/>
      <c r="AF43" s="6"/>
      <c r="AG43" s="6"/>
    </row>
    <row r="44" spans="1:33" s="20" customFormat="1" ht="15.75">
      <c r="A44" s="6"/>
      <c r="B44" s="6"/>
      <c r="C44" s="16"/>
      <c r="D44" s="17"/>
      <c r="E44" s="18"/>
      <c r="F44" s="19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</row>
    <row r="45" spans="1:33" s="20" customFormat="1" ht="15.75">
      <c r="A45" s="6"/>
      <c r="B45" s="6"/>
      <c r="C45" s="16"/>
      <c r="D45" s="17"/>
      <c r="E45" s="21"/>
      <c r="F45" s="19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</row>
    <row r="46" spans="1:33" s="20" customFormat="1" ht="15.75">
      <c r="A46" s="6"/>
      <c r="B46" s="6"/>
      <c r="C46" s="16"/>
      <c r="D46" s="17"/>
      <c r="E46" s="22"/>
      <c r="F46" s="19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</row>
    <row r="47" spans="1:33" s="20" customFormat="1" ht="15.75">
      <c r="A47" s="6"/>
      <c r="B47" s="6"/>
      <c r="C47" s="16"/>
      <c r="D47" s="17"/>
      <c r="E47" s="22"/>
      <c r="F47" s="19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</row>
    <row r="48" spans="1:33" s="5" customFormat="1" ht="16.5" thickBot="1">
      <c r="A48" s="23"/>
      <c r="B48" s="24"/>
      <c r="C48" s="25"/>
      <c r="D48" s="131"/>
      <c r="E48" s="132"/>
      <c r="F48" s="133"/>
    </row>
    <row r="49" spans="1:25" s="5" customFormat="1" ht="15" customHeight="1">
      <c r="A49" s="1336" t="s">
        <v>135</v>
      </c>
      <c r="B49" s="1336"/>
      <c r="C49" s="1"/>
      <c r="D49" s="1336" t="s">
        <v>517</v>
      </c>
      <c r="E49" s="1336"/>
      <c r="F49" s="224"/>
    </row>
    <row r="50" spans="1:25" s="5" customFormat="1" ht="14.45" customHeight="1">
      <c r="A50" s="1332" t="s">
        <v>145</v>
      </c>
      <c r="B50" s="1332"/>
      <c r="C50" s="2"/>
      <c r="D50" s="1332" t="s">
        <v>519</v>
      </c>
      <c r="E50" s="1332"/>
      <c r="F50" s="225"/>
    </row>
    <row r="51" spans="1:25" s="5" customFormat="1" ht="15.75" customHeight="1">
      <c r="A51" s="1332" t="s">
        <v>48</v>
      </c>
      <c r="B51" s="1332"/>
      <c r="C51" s="2"/>
      <c r="D51" s="1332" t="s">
        <v>48</v>
      </c>
      <c r="E51" s="1332"/>
      <c r="F51" s="225"/>
    </row>
    <row r="52" spans="1:25" s="20" customFormat="1" ht="15.75" customHeight="1">
      <c r="A52" s="6"/>
      <c r="B52" s="6"/>
      <c r="C52" s="16"/>
      <c r="D52" s="1335" t="s">
        <v>518</v>
      </c>
      <c r="E52" s="1335"/>
      <c r="F52" s="22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</row>
    <row r="53" spans="1:25" s="20" customFormat="1" ht="15.75">
      <c r="A53" s="6"/>
      <c r="B53" s="6"/>
      <c r="C53" s="16"/>
      <c r="D53" s="17"/>
      <c r="E53" s="22"/>
      <c r="F53" s="19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</row>
    <row r="54" spans="1:25" s="20" customFormat="1" ht="15.75">
      <c r="A54" s="6"/>
      <c r="B54" s="6"/>
      <c r="C54" s="16"/>
      <c r="D54" s="17"/>
      <c r="E54" s="22"/>
      <c r="F54" s="19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</row>
    <row r="55" spans="1:25" s="20" customFormat="1" ht="15.75">
      <c r="A55" s="27"/>
      <c r="B55" s="27"/>
      <c r="C55" s="27"/>
      <c r="D55" s="27"/>
      <c r="E55" s="27"/>
      <c r="F55" s="19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</row>
    <row r="56" spans="1:25" s="5" customFormat="1" ht="15.75">
      <c r="A56" s="27"/>
      <c r="B56" s="27"/>
      <c r="C56" s="27"/>
      <c r="D56" s="27"/>
      <c r="E56" s="27"/>
      <c r="F56" s="26"/>
    </row>
    <row r="57" spans="1:25" s="5" customFormat="1" ht="15" customHeight="1">
      <c r="A57" s="27"/>
      <c r="B57" s="27"/>
      <c r="C57" s="27"/>
      <c r="D57" s="27"/>
      <c r="E57" s="27"/>
      <c r="F57" s="26"/>
    </row>
    <row r="58" spans="1:25" s="5" customFormat="1" ht="14.45" customHeight="1">
      <c r="A58" s="27"/>
      <c r="B58" s="27"/>
      <c r="C58" s="27"/>
      <c r="D58" s="27"/>
      <c r="E58" s="27"/>
      <c r="F58" s="26"/>
    </row>
    <row r="59" spans="1:25" s="5" customFormat="1" ht="14.45" customHeight="1">
      <c r="A59" s="27"/>
      <c r="B59" s="27"/>
      <c r="C59" s="27"/>
      <c r="D59" s="27"/>
      <c r="E59" s="27"/>
      <c r="F59" s="26"/>
    </row>
    <row r="60" spans="1:25" s="20" customFormat="1" ht="15.75">
      <c r="A60" s="27"/>
      <c r="B60" s="27"/>
      <c r="C60" s="27"/>
      <c r="D60" s="27"/>
      <c r="E60" s="27"/>
      <c r="F60" s="19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</row>
    <row r="61" spans="1:25" s="20" customFormat="1" ht="15.75">
      <c r="A61" s="6"/>
      <c r="B61" s="6"/>
      <c r="C61" s="16"/>
      <c r="D61" s="17"/>
      <c r="E61" s="6"/>
      <c r="F61" s="19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</row>
    <row r="62" spans="1:25" s="20" customFormat="1" ht="15.75">
      <c r="A62" s="6"/>
      <c r="B62" s="6"/>
      <c r="C62" s="16"/>
      <c r="D62" s="17"/>
      <c r="E62" s="6"/>
      <c r="F62" s="19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</row>
    <row r="63" spans="1:25" s="20" customFormat="1" ht="15.75">
      <c r="A63" s="6"/>
      <c r="B63" s="6"/>
      <c r="C63" s="16"/>
      <c r="D63" s="17"/>
      <c r="E63" s="6"/>
      <c r="F63" s="19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</row>
    <row r="64" spans="1:25" s="20" customFormat="1" ht="15.75">
      <c r="A64" s="6"/>
      <c r="B64" s="6"/>
      <c r="C64" s="16"/>
      <c r="D64" s="17"/>
      <c r="E64" s="6"/>
      <c r="F64" s="19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</row>
    <row r="65" spans="1:25" s="20" customFormat="1" ht="15.75">
      <c r="A65" s="6"/>
      <c r="B65" s="6"/>
      <c r="C65" s="16"/>
      <c r="D65" s="17"/>
      <c r="E65" s="6"/>
      <c r="F65" s="19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</row>
    <row r="66" spans="1:25" s="20" customFormat="1" ht="15.75">
      <c r="A66" s="6"/>
      <c r="B66" s="6"/>
      <c r="C66" s="16"/>
      <c r="D66" s="17"/>
      <c r="E66" s="6"/>
      <c r="F66" s="19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</row>
    <row r="67" spans="1:25" s="20" customFormat="1" ht="15.75">
      <c r="A67" s="6"/>
      <c r="B67" s="6"/>
      <c r="C67" s="16"/>
      <c r="D67" s="17"/>
      <c r="E67" s="6"/>
      <c r="F67" s="19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</row>
    <row r="68" spans="1:25" s="20" customFormat="1" ht="15.75">
      <c r="A68" s="6"/>
      <c r="B68" s="6"/>
      <c r="C68" s="16"/>
      <c r="D68" s="17"/>
      <c r="E68" s="6"/>
      <c r="F68" s="19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</row>
    <row r="69" spans="1:25" s="20" customFormat="1" ht="15.75">
      <c r="A69" s="6"/>
      <c r="B69" s="6"/>
      <c r="C69" s="16"/>
      <c r="D69" s="17"/>
      <c r="E69" s="6"/>
      <c r="F69" s="19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</row>
    <row r="70" spans="1:25" s="20" customFormat="1" ht="15.75">
      <c r="A70" s="6"/>
      <c r="B70" s="6"/>
      <c r="C70" s="16"/>
      <c r="D70" s="17"/>
      <c r="E70" s="6"/>
      <c r="F70" s="19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</row>
    <row r="71" spans="1:25" s="20" customFormat="1" ht="15.75">
      <c r="A71" s="6"/>
      <c r="B71" s="6"/>
      <c r="C71" s="16"/>
      <c r="D71" s="17"/>
      <c r="E71" s="6"/>
      <c r="F71" s="19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</row>
    <row r="72" spans="1:25" s="20" customFormat="1" ht="15.75">
      <c r="A72" s="6"/>
      <c r="B72" s="6"/>
      <c r="C72" s="16"/>
      <c r="D72" s="17"/>
      <c r="E72" s="6"/>
      <c r="F72" s="19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</row>
    <row r="73" spans="1:25" s="20" customFormat="1" ht="15.75">
      <c r="A73" s="6"/>
      <c r="B73" s="6"/>
      <c r="C73" s="16"/>
      <c r="D73" s="17"/>
      <c r="E73" s="6"/>
      <c r="F73" s="19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</row>
    <row r="74" spans="1:25" s="20" customFormat="1" ht="15.75">
      <c r="A74" s="6"/>
      <c r="B74" s="6"/>
      <c r="C74" s="16"/>
      <c r="D74" s="17"/>
      <c r="E74" s="6"/>
      <c r="F74" s="19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</row>
    <row r="75" spans="1:25" s="20" customFormat="1" ht="15.75">
      <c r="A75" s="6"/>
      <c r="B75" s="6"/>
      <c r="C75" s="16"/>
      <c r="D75" s="17"/>
      <c r="E75" s="6"/>
      <c r="F75" s="19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</row>
    <row r="76" spans="1:25" s="20" customFormat="1" ht="15.75">
      <c r="A76" s="6"/>
      <c r="B76" s="6"/>
      <c r="C76" s="16"/>
      <c r="D76" s="17"/>
      <c r="E76" s="6"/>
      <c r="F76" s="19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</row>
    <row r="77" spans="1:25" s="20" customFormat="1" ht="15.75">
      <c r="A77" s="6"/>
      <c r="B77" s="6"/>
      <c r="C77" s="16"/>
      <c r="D77" s="17"/>
      <c r="E77" s="6"/>
      <c r="F77" s="19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</row>
    <row r="78" spans="1:25" s="20" customFormat="1" ht="15.75">
      <c r="A78" s="6"/>
      <c r="B78" s="6"/>
      <c r="C78" s="16"/>
      <c r="D78" s="17"/>
      <c r="E78" s="6"/>
      <c r="F78" s="19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</row>
    <row r="79" spans="1:25" s="20" customFormat="1" ht="15.75">
      <c r="A79" s="6"/>
      <c r="B79" s="6"/>
      <c r="C79" s="16"/>
      <c r="D79" s="17"/>
      <c r="E79" s="6"/>
      <c r="F79" s="19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</row>
    <row r="80" spans="1:25" s="20" customFormat="1" ht="89.25" customHeight="1">
      <c r="A80" s="6"/>
      <c r="B80" s="6"/>
      <c r="C80" s="16"/>
      <c r="D80" s="17"/>
      <c r="E80" s="6"/>
      <c r="F80" s="19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</row>
    <row r="81" spans="1:25" s="20" customFormat="1" ht="89.25" customHeight="1">
      <c r="A81" s="6"/>
      <c r="B81" s="6"/>
      <c r="C81" s="16"/>
      <c r="D81" s="17"/>
      <c r="E81" s="6"/>
      <c r="F81" s="19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</row>
    <row r="82" spans="1:25" s="20" customFormat="1" ht="89.25" customHeight="1">
      <c r="A82" s="6"/>
      <c r="B82" s="6"/>
      <c r="C82" s="16"/>
      <c r="D82" s="17"/>
      <c r="E82" s="6"/>
      <c r="F82" s="19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</row>
    <row r="83" spans="1:25" s="20" customFormat="1" ht="89.25" customHeight="1">
      <c r="A83" s="6"/>
      <c r="B83" s="6"/>
      <c r="C83" s="16"/>
      <c r="D83" s="17"/>
      <c r="E83" s="6"/>
      <c r="F83" s="19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</row>
    <row r="84" spans="1:25" s="20" customFormat="1" ht="89.25" customHeight="1">
      <c r="A84" s="6"/>
      <c r="B84" s="6"/>
      <c r="C84" s="16"/>
      <c r="D84" s="17"/>
      <c r="E84" s="6"/>
      <c r="F84" s="19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</row>
    <row r="85" spans="1:25" s="20" customFormat="1" ht="89.25" customHeight="1">
      <c r="A85" s="6"/>
      <c r="B85" s="6"/>
      <c r="C85" s="16"/>
      <c r="D85" s="17"/>
      <c r="E85" s="6"/>
      <c r="F85" s="19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</row>
    <row r="86" spans="1:25" s="20" customFormat="1" ht="89.25" customHeight="1">
      <c r="A86" s="6"/>
      <c r="B86" s="6"/>
      <c r="C86" s="16"/>
      <c r="D86" s="17"/>
      <c r="E86" s="6"/>
      <c r="F86" s="19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</row>
    <row r="87" spans="1:25" s="20" customFormat="1" ht="89.25" customHeight="1">
      <c r="A87" s="6"/>
      <c r="B87" s="6"/>
      <c r="C87" s="16"/>
      <c r="D87" s="17"/>
      <c r="E87" s="6"/>
      <c r="F87" s="19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</row>
    <row r="88" spans="1:25" s="20" customFormat="1" ht="89.25" customHeight="1">
      <c r="A88" s="6"/>
      <c r="B88" s="6"/>
      <c r="C88" s="16"/>
      <c r="D88" s="17"/>
      <c r="E88" s="6"/>
      <c r="F88" s="19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</row>
    <row r="89" spans="1:25" s="20" customFormat="1" ht="89.25" customHeight="1">
      <c r="A89" s="6"/>
      <c r="B89" s="6"/>
      <c r="C89" s="16"/>
      <c r="D89" s="17"/>
      <c r="E89" s="6"/>
      <c r="F89" s="19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</row>
    <row r="90" spans="1:25" s="20" customFormat="1" ht="89.25" customHeight="1">
      <c r="A90" s="6"/>
      <c r="B90" s="6"/>
      <c r="C90" s="16"/>
      <c r="D90" s="17"/>
      <c r="E90" s="6"/>
      <c r="F90" s="19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</row>
    <row r="91" spans="1:25" s="20" customFormat="1" ht="89.25" customHeight="1">
      <c r="A91" s="6"/>
      <c r="B91" s="6"/>
      <c r="C91" s="16"/>
      <c r="D91" s="17"/>
      <c r="E91" s="6"/>
      <c r="F91" s="19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</row>
    <row r="92" spans="1:25" s="20" customFormat="1" ht="89.25" customHeight="1">
      <c r="A92" s="6"/>
      <c r="B92" s="6"/>
      <c r="C92" s="16"/>
      <c r="D92" s="17"/>
      <c r="E92" s="6"/>
      <c r="F92" s="19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</row>
    <row r="93" spans="1:25" s="20" customFormat="1" ht="89.25" customHeight="1">
      <c r="A93" s="6"/>
      <c r="B93" s="6"/>
      <c r="C93" s="16"/>
      <c r="D93" s="17"/>
      <c r="E93" s="6"/>
      <c r="F93" s="19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</row>
    <row r="94" spans="1:25" s="20" customFormat="1" ht="89.25" customHeight="1">
      <c r="A94" s="6"/>
      <c r="B94" s="6"/>
      <c r="C94" s="16"/>
      <c r="D94" s="17"/>
      <c r="E94" s="6"/>
      <c r="F94" s="19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</row>
    <row r="95" spans="1:25" s="20" customFormat="1" ht="89.25" customHeight="1">
      <c r="A95" s="6"/>
      <c r="B95" s="6"/>
      <c r="C95" s="16"/>
      <c r="D95" s="17"/>
      <c r="E95" s="6"/>
      <c r="F95" s="19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</row>
    <row r="96" spans="1:25" s="20" customFormat="1" ht="89.25" customHeight="1">
      <c r="A96" s="6"/>
      <c r="B96" s="6"/>
      <c r="C96" s="16"/>
      <c r="D96" s="17"/>
      <c r="E96" s="6"/>
      <c r="F96" s="19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</row>
    <row r="97" spans="1:25" s="20" customFormat="1" ht="89.25" customHeight="1">
      <c r="A97" s="6"/>
      <c r="B97" s="6"/>
      <c r="C97" s="16"/>
      <c r="D97" s="17"/>
      <c r="E97" s="6"/>
      <c r="F97" s="19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</row>
    <row r="98" spans="1:25" s="20" customFormat="1" ht="89.25" customHeight="1">
      <c r="A98" s="6"/>
      <c r="B98" s="6"/>
      <c r="C98" s="16"/>
      <c r="D98" s="17"/>
      <c r="E98" s="6"/>
      <c r="F98" s="19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</row>
    <row r="99" spans="1:25" s="20" customFormat="1" ht="89.25" customHeight="1">
      <c r="A99" s="6"/>
      <c r="B99" s="6"/>
      <c r="C99" s="16"/>
      <c r="D99" s="17"/>
      <c r="E99" s="6"/>
      <c r="F99" s="19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</row>
    <row r="100" spans="1:25" s="20" customFormat="1" ht="89.25" customHeight="1">
      <c r="A100" s="6"/>
      <c r="B100" s="6"/>
      <c r="C100" s="16"/>
      <c r="D100" s="17"/>
      <c r="E100" s="6"/>
      <c r="F100" s="19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</row>
    <row r="101" spans="1:25" s="20" customFormat="1" ht="89.25" customHeight="1">
      <c r="A101" s="6"/>
      <c r="B101" s="6"/>
      <c r="C101" s="16"/>
      <c r="D101" s="17"/>
      <c r="E101" s="6"/>
      <c r="F101" s="19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</row>
    <row r="102" spans="1:25" s="20" customFormat="1" ht="89.25" customHeight="1">
      <c r="A102" s="6"/>
      <c r="B102" s="6"/>
      <c r="C102" s="16"/>
      <c r="D102" s="17"/>
      <c r="E102" s="6"/>
      <c r="F102" s="19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</row>
    <row r="103" spans="1:25" s="20" customFormat="1" ht="89.25" customHeight="1">
      <c r="A103" s="6"/>
      <c r="B103" s="6"/>
      <c r="C103" s="16"/>
      <c r="D103" s="17"/>
      <c r="E103" s="6"/>
      <c r="F103" s="19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</row>
    <row r="104" spans="1:25" s="20" customFormat="1" ht="89.25" customHeight="1">
      <c r="A104" s="6"/>
      <c r="B104" s="6"/>
      <c r="C104" s="16"/>
      <c r="D104" s="17"/>
      <c r="E104" s="6"/>
      <c r="F104" s="19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</row>
    <row r="105" spans="1:25" s="20" customFormat="1" ht="89.25" customHeight="1">
      <c r="A105" s="6"/>
      <c r="B105" s="6"/>
      <c r="C105" s="16"/>
      <c r="D105" s="17"/>
      <c r="E105" s="6"/>
      <c r="F105" s="19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</row>
    <row r="106" spans="1:25" s="20" customFormat="1" ht="89.25" customHeight="1">
      <c r="A106" s="6"/>
      <c r="B106" s="6"/>
      <c r="C106" s="16"/>
      <c r="D106" s="17"/>
      <c r="E106" s="6"/>
      <c r="F106" s="19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</row>
    <row r="107" spans="1:25" s="20" customFormat="1" ht="89.25" customHeight="1">
      <c r="A107" s="6"/>
      <c r="B107" s="6"/>
      <c r="C107" s="16"/>
      <c r="D107" s="17"/>
      <c r="E107" s="6"/>
      <c r="F107" s="19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</row>
    <row r="108" spans="1:25" s="20" customFormat="1" ht="89.25" customHeight="1">
      <c r="A108" s="6"/>
      <c r="B108" s="6"/>
      <c r="C108" s="16"/>
      <c r="D108" s="17"/>
      <c r="E108" s="6"/>
      <c r="F108" s="19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</row>
    <row r="109" spans="1:25" s="20" customFormat="1" ht="89.25" customHeight="1">
      <c r="A109" s="6"/>
      <c r="B109" s="6"/>
      <c r="C109" s="16"/>
      <c r="D109" s="17"/>
      <c r="E109" s="6"/>
      <c r="F109" s="19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</row>
    <row r="110" spans="1:25" s="20" customFormat="1" ht="89.25" customHeight="1">
      <c r="A110" s="6"/>
      <c r="B110" s="6"/>
      <c r="C110" s="16"/>
      <c r="D110" s="17"/>
      <c r="E110" s="6"/>
      <c r="F110" s="19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</row>
    <row r="111" spans="1:25" s="20" customFormat="1" ht="89.25" customHeight="1">
      <c r="A111" s="6"/>
      <c r="B111" s="6"/>
      <c r="C111" s="16"/>
      <c r="D111" s="17"/>
      <c r="E111" s="6"/>
      <c r="F111" s="19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</row>
    <row r="112" spans="1:25" s="20" customFormat="1" ht="89.25" customHeight="1">
      <c r="A112" s="6"/>
      <c r="B112" s="6"/>
      <c r="C112" s="16"/>
      <c r="D112" s="17"/>
      <c r="E112" s="6"/>
      <c r="F112" s="19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</row>
    <row r="113" spans="1:25" s="20" customFormat="1" ht="89.25" customHeight="1">
      <c r="A113" s="6"/>
      <c r="B113" s="6"/>
      <c r="C113" s="16"/>
      <c r="D113" s="17"/>
      <c r="E113" s="6"/>
      <c r="F113" s="19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</row>
    <row r="114" spans="1:25" s="20" customFormat="1" ht="89.25" customHeight="1">
      <c r="A114" s="6"/>
      <c r="B114" s="6"/>
      <c r="C114" s="16"/>
      <c r="D114" s="17"/>
      <c r="E114" s="6"/>
      <c r="F114" s="19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</row>
    <row r="115" spans="1:25" s="20" customFormat="1" ht="89.25" customHeight="1">
      <c r="A115" s="6"/>
      <c r="B115" s="6"/>
      <c r="C115" s="16"/>
      <c r="D115" s="17"/>
      <c r="E115" s="6"/>
      <c r="F115" s="19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</row>
    <row r="116" spans="1:25" s="20" customFormat="1" ht="89.25" customHeight="1">
      <c r="A116" s="6"/>
      <c r="B116" s="6"/>
      <c r="C116" s="16"/>
      <c r="D116" s="17"/>
      <c r="E116" s="6"/>
      <c r="F116" s="19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</row>
    <row r="117" spans="1:25" s="20" customFormat="1" ht="89.25" customHeight="1">
      <c r="A117" s="6"/>
      <c r="B117" s="6"/>
      <c r="C117" s="16"/>
      <c r="D117" s="17"/>
      <c r="E117" s="6"/>
      <c r="F117" s="19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</row>
    <row r="118" spans="1:25" s="20" customFormat="1" ht="89.25" customHeight="1">
      <c r="A118" s="6"/>
      <c r="B118" s="6"/>
      <c r="C118" s="16"/>
      <c r="D118" s="17"/>
      <c r="E118" s="6"/>
      <c r="F118" s="19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</row>
    <row r="119" spans="1:25" s="20" customFormat="1" ht="89.25" customHeight="1">
      <c r="A119" s="6"/>
      <c r="B119" s="6"/>
      <c r="C119" s="16"/>
      <c r="D119" s="17"/>
      <c r="E119" s="6"/>
      <c r="F119" s="19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</row>
    <row r="120" spans="1:25" s="20" customFormat="1" ht="89.25" customHeight="1">
      <c r="A120" s="6"/>
      <c r="B120" s="6"/>
      <c r="C120" s="16"/>
      <c r="D120" s="17"/>
      <c r="E120" s="6"/>
      <c r="F120" s="19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</row>
    <row r="121" spans="1:25" s="20" customFormat="1" ht="89.25" customHeight="1">
      <c r="A121" s="6"/>
      <c r="B121" s="6"/>
      <c r="C121" s="16"/>
      <c r="D121" s="17"/>
      <c r="E121" s="6"/>
      <c r="F121" s="19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</row>
    <row r="122" spans="1:25" s="20" customFormat="1" ht="89.25" customHeight="1">
      <c r="A122" s="6"/>
      <c r="B122" s="6"/>
      <c r="C122" s="16"/>
      <c r="D122" s="17"/>
      <c r="E122" s="6"/>
      <c r="F122" s="19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</row>
    <row r="123" spans="1:25" s="20" customFormat="1" ht="89.25" customHeight="1">
      <c r="A123" s="6"/>
      <c r="B123" s="6"/>
      <c r="C123" s="16"/>
      <c r="D123" s="17"/>
      <c r="E123" s="6"/>
      <c r="F123" s="19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</row>
    <row r="124" spans="1:25" s="20" customFormat="1" ht="89.25" customHeight="1">
      <c r="A124" s="6"/>
      <c r="B124" s="6"/>
      <c r="C124" s="16"/>
      <c r="D124" s="17"/>
      <c r="E124" s="6"/>
      <c r="F124" s="19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</row>
    <row r="125" spans="1:25" s="20" customFormat="1" ht="89.25" customHeight="1">
      <c r="A125" s="6"/>
      <c r="B125" s="6"/>
      <c r="C125" s="16"/>
      <c r="D125" s="17"/>
      <c r="E125" s="6"/>
      <c r="F125" s="19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</row>
    <row r="126" spans="1:25" s="20" customFormat="1" ht="89.25" customHeight="1">
      <c r="A126" s="6"/>
      <c r="B126" s="6"/>
      <c r="C126" s="16"/>
      <c r="D126" s="17"/>
      <c r="E126" s="6"/>
      <c r="F126" s="19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</row>
    <row r="127" spans="1:25" s="20" customFormat="1" ht="89.25" customHeight="1">
      <c r="A127" s="6"/>
      <c r="B127" s="6"/>
      <c r="C127" s="16"/>
      <c r="D127" s="17"/>
      <c r="E127" s="6"/>
      <c r="F127" s="19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</row>
    <row r="128" spans="1:25" s="20" customFormat="1" ht="89.25" customHeight="1">
      <c r="A128" s="6"/>
      <c r="B128" s="6"/>
      <c r="C128" s="16"/>
      <c r="D128" s="17"/>
      <c r="E128" s="6"/>
      <c r="F128" s="19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</row>
    <row r="129" spans="1:25" s="20" customFormat="1" ht="89.25" customHeight="1">
      <c r="A129" s="6"/>
      <c r="B129" s="6"/>
      <c r="C129" s="16"/>
      <c r="D129" s="17"/>
      <c r="E129" s="6"/>
      <c r="F129" s="19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</row>
    <row r="130" spans="1:25" s="20" customFormat="1" ht="89.25" customHeight="1">
      <c r="A130" s="6"/>
      <c r="B130" s="6"/>
      <c r="C130" s="16"/>
      <c r="D130" s="17"/>
      <c r="E130" s="6"/>
      <c r="F130" s="19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</row>
    <row r="131" spans="1:25" s="20" customFormat="1" ht="89.25" customHeight="1">
      <c r="A131" s="6"/>
      <c r="B131" s="6"/>
      <c r="C131" s="16"/>
      <c r="D131" s="17"/>
      <c r="E131" s="6"/>
      <c r="F131" s="19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</row>
    <row r="132" spans="1:25" s="20" customFormat="1" ht="89.25" customHeight="1">
      <c r="A132" s="6"/>
      <c r="B132" s="6"/>
      <c r="C132" s="16"/>
      <c r="D132" s="17"/>
      <c r="E132" s="6"/>
      <c r="F132" s="19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</row>
    <row r="133" spans="1:25" s="20" customFormat="1" ht="89.25" customHeight="1">
      <c r="A133" s="6"/>
      <c r="B133" s="6"/>
      <c r="C133" s="16"/>
      <c r="D133" s="17"/>
      <c r="E133" s="6"/>
      <c r="F133" s="19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</row>
    <row r="134" spans="1:25" s="20" customFormat="1" ht="89.25" customHeight="1">
      <c r="A134" s="6"/>
      <c r="B134" s="6"/>
      <c r="C134" s="16"/>
      <c r="D134" s="17"/>
      <c r="E134" s="6"/>
      <c r="F134" s="19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</row>
    <row r="135" spans="1:25" s="20" customFormat="1" ht="89.25" customHeight="1">
      <c r="A135" s="6"/>
      <c r="B135" s="6"/>
      <c r="C135" s="16"/>
      <c r="D135" s="17"/>
      <c r="E135" s="6"/>
      <c r="F135" s="19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</row>
    <row r="136" spans="1:25" s="20" customFormat="1" ht="89.25" customHeight="1">
      <c r="A136" s="6"/>
      <c r="B136" s="6"/>
      <c r="C136" s="16"/>
      <c r="D136" s="17"/>
      <c r="E136" s="6"/>
      <c r="F136" s="19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</row>
    <row r="137" spans="1:25" s="20" customFormat="1" ht="89.25" customHeight="1">
      <c r="A137" s="6"/>
      <c r="B137" s="6"/>
      <c r="C137" s="16"/>
      <c r="D137" s="17"/>
      <c r="E137" s="6"/>
      <c r="F137" s="19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</row>
    <row r="138" spans="1:25" s="20" customFormat="1" ht="89.25" customHeight="1">
      <c r="A138" s="6"/>
      <c r="B138" s="6"/>
      <c r="C138" s="16"/>
      <c r="D138" s="17"/>
      <c r="E138" s="6"/>
      <c r="F138" s="19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</row>
    <row r="139" spans="1:25" s="20" customFormat="1" ht="89.25" customHeight="1">
      <c r="A139" s="6"/>
      <c r="B139" s="6"/>
      <c r="C139" s="16"/>
      <c r="D139" s="17"/>
      <c r="E139" s="6"/>
      <c r="F139" s="19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</row>
    <row r="140" spans="1:25" s="20" customFormat="1" ht="89.25" customHeight="1">
      <c r="A140" s="6"/>
      <c r="B140" s="6"/>
      <c r="C140" s="16"/>
      <c r="D140" s="17"/>
      <c r="E140" s="6"/>
      <c r="F140" s="19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</row>
    <row r="141" spans="1:25" s="20" customFormat="1" ht="89.25" customHeight="1">
      <c r="A141" s="6"/>
      <c r="B141" s="6"/>
      <c r="C141" s="16"/>
      <c r="D141" s="17"/>
      <c r="E141" s="6"/>
      <c r="F141" s="19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</row>
    <row r="142" spans="1:25" s="20" customFormat="1" ht="89.25" customHeight="1">
      <c r="A142" s="6"/>
      <c r="B142" s="6"/>
      <c r="C142" s="16"/>
      <c r="D142" s="17"/>
      <c r="E142" s="6"/>
      <c r="F142" s="19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</row>
    <row r="143" spans="1:25" s="20" customFormat="1" ht="89.25" customHeight="1">
      <c r="A143" s="6"/>
      <c r="B143" s="6"/>
      <c r="C143" s="16"/>
      <c r="D143" s="17"/>
      <c r="E143" s="6"/>
      <c r="F143" s="19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</row>
    <row r="144" spans="1:25" s="20" customFormat="1" ht="89.25" customHeight="1">
      <c r="A144" s="6"/>
      <c r="B144" s="6"/>
      <c r="C144" s="16"/>
      <c r="D144" s="17"/>
      <c r="E144" s="6"/>
      <c r="F144" s="19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</row>
    <row r="145" spans="1:25" s="20" customFormat="1" ht="89.25" customHeight="1">
      <c r="A145" s="6"/>
      <c r="B145" s="6"/>
      <c r="C145" s="16"/>
      <c r="D145" s="17"/>
      <c r="E145" s="6"/>
      <c r="F145" s="19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</row>
    <row r="146" spans="1:25" s="20" customFormat="1" ht="89.25" customHeight="1">
      <c r="A146" s="6"/>
      <c r="B146" s="6"/>
      <c r="C146" s="16"/>
      <c r="D146" s="17"/>
      <c r="E146" s="6"/>
      <c r="F146" s="19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</row>
    <row r="147" spans="1:25" s="20" customFormat="1" ht="89.25" customHeight="1">
      <c r="A147" s="6"/>
      <c r="B147" s="6"/>
      <c r="C147" s="16"/>
      <c r="D147" s="17"/>
      <c r="E147" s="6"/>
      <c r="F147" s="19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</row>
    <row r="148" spans="1:25" s="20" customFormat="1" ht="89.25" customHeight="1">
      <c r="A148" s="6"/>
      <c r="B148" s="6"/>
      <c r="C148" s="16"/>
      <c r="D148" s="17"/>
      <c r="E148" s="6"/>
      <c r="F148" s="19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</row>
    <row r="149" spans="1:25" s="20" customFormat="1" ht="89.25" customHeight="1">
      <c r="A149" s="6"/>
      <c r="B149" s="6"/>
      <c r="C149" s="16"/>
      <c r="D149" s="17"/>
      <c r="E149" s="6"/>
      <c r="F149" s="19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</row>
    <row r="150" spans="1:25" s="20" customFormat="1" ht="89.25" customHeight="1">
      <c r="A150" s="6"/>
      <c r="B150" s="6"/>
      <c r="C150" s="16"/>
      <c r="D150" s="17"/>
      <c r="E150" s="6"/>
      <c r="F150" s="19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</row>
    <row r="151" spans="1:25" s="20" customFormat="1" ht="89.25" customHeight="1">
      <c r="A151" s="6"/>
      <c r="B151" s="6"/>
      <c r="C151" s="16"/>
      <c r="D151" s="17"/>
      <c r="E151" s="6"/>
      <c r="F151" s="19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</row>
    <row r="152" spans="1:25" s="20" customFormat="1" ht="89.25" customHeight="1">
      <c r="A152" s="6"/>
      <c r="B152" s="6"/>
      <c r="C152" s="16"/>
      <c r="D152" s="17"/>
      <c r="E152" s="6"/>
      <c r="F152" s="19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</row>
    <row r="153" spans="1:25" s="20" customFormat="1" ht="89.25" customHeight="1">
      <c r="A153" s="6"/>
      <c r="B153" s="6"/>
      <c r="C153" s="16"/>
      <c r="D153" s="17"/>
      <c r="E153" s="6"/>
      <c r="F153" s="19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</row>
    <row r="154" spans="1:25" s="20" customFormat="1" ht="89.25" customHeight="1">
      <c r="A154" s="6"/>
      <c r="B154" s="6"/>
      <c r="C154" s="16"/>
      <c r="D154" s="17"/>
      <c r="E154" s="6"/>
      <c r="F154" s="19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</row>
    <row r="155" spans="1:25" s="20" customFormat="1" ht="89.25" customHeight="1">
      <c r="A155" s="6"/>
      <c r="B155" s="6"/>
      <c r="C155" s="16"/>
      <c r="D155" s="17"/>
      <c r="E155" s="6"/>
      <c r="F155" s="19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</row>
    <row r="156" spans="1:25" s="20" customFormat="1" ht="89.25" customHeight="1">
      <c r="A156" s="6"/>
      <c r="B156" s="6"/>
      <c r="C156" s="16"/>
      <c r="D156" s="17"/>
      <c r="E156" s="6"/>
      <c r="F156" s="19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</row>
    <row r="157" spans="1:25" s="20" customFormat="1" ht="89.25" customHeight="1">
      <c r="A157" s="6"/>
      <c r="B157" s="6"/>
      <c r="C157" s="16"/>
      <c r="D157" s="17"/>
      <c r="E157" s="6"/>
      <c r="F157" s="19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</row>
    <row r="158" spans="1:25" s="20" customFormat="1" ht="89.25" customHeight="1">
      <c r="A158" s="6"/>
      <c r="B158" s="6"/>
      <c r="C158" s="16"/>
      <c r="D158" s="17"/>
      <c r="E158" s="6"/>
      <c r="F158" s="19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</row>
    <row r="159" spans="1:25" s="20" customFormat="1" ht="89.25" customHeight="1">
      <c r="A159" s="6"/>
      <c r="B159" s="6"/>
      <c r="C159" s="16"/>
      <c r="D159" s="17"/>
      <c r="E159" s="6"/>
      <c r="F159" s="19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</row>
    <row r="160" spans="1:25" s="20" customFormat="1" ht="89.25" customHeight="1">
      <c r="A160" s="6"/>
      <c r="B160" s="6"/>
      <c r="C160" s="16"/>
      <c r="D160" s="17"/>
      <c r="E160" s="6"/>
      <c r="F160" s="19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</row>
    <row r="161" spans="1:25" s="20" customFormat="1" ht="89.25" customHeight="1">
      <c r="A161" s="6"/>
      <c r="B161" s="6"/>
      <c r="C161" s="16"/>
      <c r="D161" s="17"/>
      <c r="E161" s="6"/>
      <c r="F161" s="19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</row>
    <row r="162" spans="1:25" s="20" customFormat="1" ht="89.25" customHeight="1">
      <c r="A162" s="6"/>
      <c r="B162" s="6"/>
      <c r="C162" s="16"/>
      <c r="D162" s="17"/>
      <c r="E162" s="6"/>
      <c r="F162" s="19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</row>
    <row r="163" spans="1:25" s="20" customFormat="1" ht="89.25" customHeight="1">
      <c r="A163" s="6"/>
      <c r="B163" s="6"/>
      <c r="C163" s="16"/>
      <c r="D163" s="17"/>
      <c r="E163" s="6"/>
      <c r="F163" s="19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</row>
    <row r="164" spans="1:25" s="20" customFormat="1" ht="89.25" customHeight="1">
      <c r="A164" s="6"/>
      <c r="B164" s="6"/>
      <c r="C164" s="16"/>
      <c r="D164" s="17"/>
      <c r="E164" s="6"/>
      <c r="F164" s="19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</row>
    <row r="165" spans="1:25" s="20" customFormat="1" ht="89.25" customHeight="1">
      <c r="A165" s="6"/>
      <c r="B165" s="6"/>
      <c r="C165" s="16"/>
      <c r="D165" s="17"/>
      <c r="E165" s="6"/>
      <c r="F165" s="19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</row>
    <row r="166" spans="1:25" s="20" customFormat="1" ht="89.25" customHeight="1">
      <c r="A166" s="6"/>
      <c r="B166" s="6"/>
      <c r="C166" s="16"/>
      <c r="D166" s="17"/>
      <c r="E166" s="6"/>
      <c r="F166" s="19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</row>
    <row r="167" spans="1:25" s="20" customFormat="1" ht="89.25" customHeight="1">
      <c r="A167" s="6"/>
      <c r="B167" s="6"/>
      <c r="C167" s="16"/>
      <c r="D167" s="17"/>
      <c r="E167" s="6"/>
      <c r="F167" s="19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</row>
    <row r="168" spans="1:25" s="20" customFormat="1" ht="89.25" customHeight="1">
      <c r="A168" s="6"/>
      <c r="B168" s="6"/>
      <c r="C168" s="16"/>
      <c r="D168" s="17"/>
      <c r="E168" s="6"/>
      <c r="F168" s="19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</row>
    <row r="169" spans="1:25" s="20" customFormat="1" ht="89.25" customHeight="1">
      <c r="A169" s="6"/>
      <c r="B169" s="6"/>
      <c r="C169" s="16"/>
      <c r="D169" s="17"/>
      <c r="E169" s="6"/>
      <c r="F169" s="19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</row>
    <row r="170" spans="1:25" s="20" customFormat="1" ht="89.25" customHeight="1">
      <c r="A170" s="6"/>
      <c r="B170" s="6"/>
      <c r="C170" s="16"/>
      <c r="D170" s="17"/>
      <c r="E170" s="6"/>
      <c r="F170" s="19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</row>
    <row r="171" spans="1:25" s="20" customFormat="1" ht="89.25" customHeight="1">
      <c r="A171" s="6"/>
      <c r="B171" s="6"/>
      <c r="C171" s="16"/>
      <c r="D171" s="17"/>
      <c r="E171" s="6"/>
      <c r="F171" s="19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</row>
    <row r="172" spans="1:25" s="20" customFormat="1" ht="89.25" customHeight="1">
      <c r="A172" s="6"/>
      <c r="B172" s="6"/>
      <c r="C172" s="16"/>
      <c r="D172" s="17"/>
      <c r="E172" s="6"/>
      <c r="F172" s="19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</row>
    <row r="173" spans="1:25" s="20" customFormat="1" ht="89.25" customHeight="1">
      <c r="A173" s="6"/>
      <c r="B173" s="6"/>
      <c r="C173" s="16"/>
      <c r="D173" s="17"/>
      <c r="E173" s="6"/>
      <c r="F173" s="19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</row>
    <row r="174" spans="1:25" s="20" customFormat="1" ht="89.25" customHeight="1">
      <c r="A174" s="6"/>
      <c r="B174" s="6"/>
      <c r="C174" s="16"/>
      <c r="D174" s="17"/>
      <c r="E174" s="6"/>
      <c r="F174" s="19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</row>
    <row r="175" spans="1:25" s="20" customFormat="1" ht="89.25" customHeight="1">
      <c r="A175" s="6"/>
      <c r="B175" s="6"/>
      <c r="C175" s="16"/>
      <c r="D175" s="17"/>
      <c r="E175" s="6"/>
      <c r="F175" s="19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</row>
    <row r="176" spans="1:25" s="20" customFormat="1" ht="89.25" customHeight="1">
      <c r="A176" s="6"/>
      <c r="B176" s="6"/>
      <c r="C176" s="16"/>
      <c r="D176" s="17"/>
      <c r="E176" s="6"/>
      <c r="F176" s="19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</row>
    <row r="177" spans="1:25" s="20" customFormat="1" ht="89.25" customHeight="1">
      <c r="A177" s="6"/>
      <c r="B177" s="6"/>
      <c r="C177" s="16"/>
      <c r="D177" s="17"/>
      <c r="E177" s="6"/>
      <c r="F177" s="19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</row>
    <row r="178" spans="1:25" s="20" customFormat="1" ht="89.25" customHeight="1">
      <c r="A178" s="6"/>
      <c r="B178" s="6"/>
      <c r="C178" s="16"/>
      <c r="D178" s="17"/>
      <c r="E178" s="6"/>
      <c r="F178" s="19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</row>
    <row r="179" spans="1:25" s="20" customFormat="1" ht="89.25" customHeight="1">
      <c r="A179" s="6"/>
      <c r="B179" s="6"/>
      <c r="C179" s="16"/>
      <c r="D179" s="17"/>
      <c r="E179" s="6"/>
      <c r="F179" s="19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</row>
    <row r="180" spans="1:25" s="20" customFormat="1" ht="89.25" customHeight="1">
      <c r="A180" s="6"/>
      <c r="B180" s="6"/>
      <c r="C180" s="16"/>
      <c r="D180" s="17"/>
      <c r="E180" s="6"/>
      <c r="F180" s="19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</row>
    <row r="181" spans="1:25" s="20" customFormat="1" ht="89.25" customHeight="1">
      <c r="A181" s="6"/>
      <c r="B181" s="6"/>
      <c r="C181" s="16"/>
      <c r="D181" s="17"/>
      <c r="E181" s="6"/>
      <c r="F181" s="19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</row>
    <row r="182" spans="1:25" s="20" customFormat="1" ht="89.25" customHeight="1">
      <c r="A182" s="6"/>
      <c r="B182" s="6"/>
      <c r="C182" s="16"/>
      <c r="D182" s="17"/>
      <c r="E182" s="6"/>
      <c r="F182" s="19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</row>
    <row r="183" spans="1:25" s="20" customFormat="1" ht="89.25" customHeight="1">
      <c r="A183" s="6"/>
      <c r="B183" s="6"/>
      <c r="C183" s="16"/>
      <c r="D183" s="17"/>
      <c r="E183" s="6"/>
      <c r="F183" s="19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</row>
    <row r="184" spans="1:25" s="20" customFormat="1" ht="89.25" customHeight="1">
      <c r="A184" s="6"/>
      <c r="B184" s="6"/>
      <c r="C184" s="16"/>
      <c r="D184" s="17"/>
      <c r="E184" s="6"/>
      <c r="F184" s="19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</row>
    <row r="185" spans="1:25" s="20" customFormat="1" ht="89.25" customHeight="1">
      <c r="A185" s="6"/>
      <c r="B185" s="6"/>
      <c r="C185" s="16"/>
      <c r="D185" s="17"/>
      <c r="E185" s="6"/>
      <c r="F185" s="19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</row>
    <row r="186" spans="1:25" s="20" customFormat="1" ht="89.25" customHeight="1">
      <c r="A186" s="6"/>
      <c r="B186" s="6"/>
      <c r="C186" s="16"/>
      <c r="D186" s="17"/>
      <c r="E186" s="6"/>
      <c r="F186" s="19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</row>
    <row r="187" spans="1:25" s="20" customFormat="1" ht="89.25" customHeight="1">
      <c r="A187" s="6"/>
      <c r="B187" s="6"/>
      <c r="C187" s="16"/>
      <c r="D187" s="17"/>
      <c r="E187" s="6"/>
      <c r="F187" s="19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</row>
    <row r="188" spans="1:25" s="20" customFormat="1" ht="89.25" customHeight="1">
      <c r="A188" s="6"/>
      <c r="B188" s="6"/>
      <c r="C188" s="16"/>
      <c r="D188" s="17"/>
      <c r="E188" s="6"/>
      <c r="F188" s="19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</row>
    <row r="189" spans="1:25" s="20" customFormat="1" ht="89.25" customHeight="1">
      <c r="A189" s="6"/>
      <c r="B189" s="6"/>
      <c r="C189" s="16"/>
      <c r="D189" s="17"/>
      <c r="E189" s="6"/>
      <c r="F189" s="19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</row>
    <row r="190" spans="1:25" s="20" customFormat="1" ht="89.25" customHeight="1">
      <c r="A190" s="6"/>
      <c r="B190" s="6"/>
      <c r="C190" s="16"/>
      <c r="D190" s="17"/>
      <c r="E190" s="6"/>
      <c r="F190" s="19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</row>
    <row r="191" spans="1:25" s="20" customFormat="1" ht="89.25" customHeight="1">
      <c r="A191" s="6"/>
      <c r="B191" s="6"/>
      <c r="C191" s="16"/>
      <c r="D191" s="17"/>
      <c r="E191" s="6"/>
      <c r="F191" s="19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</row>
    <row r="192" spans="1:25" s="20" customFormat="1" ht="89.25" customHeight="1">
      <c r="A192" s="6"/>
      <c r="B192" s="6"/>
      <c r="C192" s="16"/>
      <c r="D192" s="17"/>
      <c r="E192" s="6"/>
      <c r="F192" s="19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</row>
    <row r="193" spans="1:25" s="20" customFormat="1" ht="89.25" customHeight="1">
      <c r="A193" s="6"/>
      <c r="B193" s="6"/>
      <c r="C193" s="16"/>
      <c r="D193" s="17"/>
      <c r="E193" s="6"/>
      <c r="F193" s="19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</row>
    <row r="194" spans="1:25" s="20" customFormat="1" ht="89.25" customHeight="1">
      <c r="A194" s="6"/>
      <c r="B194" s="6"/>
      <c r="C194" s="16"/>
      <c r="D194" s="17"/>
      <c r="E194" s="6"/>
      <c r="F194" s="19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</row>
    <row r="195" spans="1:25" s="20" customFormat="1" ht="89.25" customHeight="1">
      <c r="A195" s="6"/>
      <c r="B195" s="6"/>
      <c r="C195" s="16"/>
      <c r="D195" s="17"/>
      <c r="E195" s="6"/>
      <c r="F195" s="19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</row>
    <row r="196" spans="1:25" s="20" customFormat="1" ht="89.25" customHeight="1">
      <c r="A196" s="6"/>
      <c r="B196" s="6"/>
      <c r="C196" s="16"/>
      <c r="D196" s="17"/>
      <c r="E196" s="6"/>
      <c r="F196" s="19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</row>
    <row r="197" spans="1:25" s="20" customFormat="1" ht="89.25" customHeight="1">
      <c r="A197" s="6"/>
      <c r="B197" s="6"/>
      <c r="C197" s="16"/>
      <c r="D197" s="17"/>
      <c r="E197" s="6"/>
      <c r="F197" s="19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</row>
    <row r="198" spans="1:25" s="20" customFormat="1" ht="89.25" customHeight="1">
      <c r="A198" s="6"/>
      <c r="B198" s="6"/>
      <c r="C198" s="16"/>
      <c r="D198" s="17"/>
      <c r="E198" s="6"/>
      <c r="F198" s="19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</row>
    <row r="199" spans="1:25" s="20" customFormat="1" ht="89.25" customHeight="1">
      <c r="A199" s="6"/>
      <c r="B199" s="6"/>
      <c r="C199" s="16"/>
      <c r="D199" s="17"/>
      <c r="E199" s="6"/>
      <c r="F199" s="19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</row>
    <row r="200" spans="1:25" s="20" customFormat="1" ht="89.25" customHeight="1">
      <c r="A200" s="6"/>
      <c r="B200" s="6"/>
      <c r="C200" s="16"/>
      <c r="D200" s="17"/>
      <c r="E200" s="6"/>
      <c r="F200" s="19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</row>
    <row r="201" spans="1:25" s="20" customFormat="1" ht="89.25" customHeight="1">
      <c r="A201" s="6"/>
      <c r="B201" s="6"/>
      <c r="C201" s="16"/>
      <c r="D201" s="17"/>
      <c r="E201" s="6"/>
      <c r="F201" s="19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</row>
    <row r="202" spans="1:25" s="20" customFormat="1" ht="89.25" customHeight="1">
      <c r="A202" s="6"/>
      <c r="B202" s="6"/>
      <c r="C202" s="16"/>
      <c r="D202" s="17"/>
      <c r="E202" s="6"/>
      <c r="F202" s="19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</row>
    <row r="203" spans="1:25" s="20" customFormat="1" ht="89.25" customHeight="1">
      <c r="A203" s="6"/>
      <c r="B203" s="6"/>
      <c r="C203" s="16"/>
      <c r="D203" s="17"/>
      <c r="E203" s="6"/>
      <c r="F203" s="19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</row>
    <row r="204" spans="1:25" s="20" customFormat="1" ht="89.25" customHeight="1">
      <c r="A204" s="6"/>
      <c r="B204" s="6"/>
      <c r="C204" s="16"/>
      <c r="D204" s="17"/>
      <c r="E204" s="6"/>
      <c r="F204" s="19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</row>
    <row r="205" spans="1:25" s="20" customFormat="1" ht="89.25" customHeight="1">
      <c r="A205" s="6"/>
      <c r="B205" s="6"/>
      <c r="C205" s="16"/>
      <c r="D205" s="17"/>
      <c r="E205" s="6"/>
      <c r="F205" s="19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</row>
    <row r="206" spans="1:25" s="20" customFormat="1" ht="89.25" customHeight="1">
      <c r="A206" s="6"/>
      <c r="B206" s="6"/>
      <c r="C206" s="16"/>
      <c r="D206" s="17"/>
      <c r="E206" s="6"/>
      <c r="F206" s="19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</row>
    <row r="207" spans="1:25" s="20" customFormat="1" ht="89.25" customHeight="1">
      <c r="A207" s="6"/>
      <c r="B207" s="6"/>
      <c r="C207" s="16"/>
      <c r="D207" s="17"/>
      <c r="E207" s="6"/>
      <c r="F207" s="19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</row>
    <row r="208" spans="1:25" s="20" customFormat="1" ht="89.25" customHeight="1">
      <c r="A208" s="6"/>
      <c r="B208" s="6"/>
      <c r="C208" s="16"/>
      <c r="D208" s="17"/>
      <c r="E208" s="6"/>
      <c r="F208" s="19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</row>
    <row r="209" spans="1:25" s="20" customFormat="1" ht="89.25" customHeight="1">
      <c r="A209" s="6"/>
      <c r="B209" s="6"/>
      <c r="C209" s="16"/>
      <c r="D209" s="17"/>
      <c r="E209" s="6"/>
      <c r="F209" s="19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</row>
    <row r="210" spans="1:25" s="20" customFormat="1" ht="89.25" customHeight="1">
      <c r="A210" s="6"/>
      <c r="B210" s="6"/>
      <c r="C210" s="16"/>
      <c r="D210" s="17"/>
      <c r="E210" s="6"/>
      <c r="F210" s="19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</row>
    <row r="211" spans="1:25" s="20" customFormat="1" ht="89.25" customHeight="1">
      <c r="A211" s="6"/>
      <c r="B211" s="6"/>
      <c r="C211" s="16"/>
      <c r="D211" s="17"/>
      <c r="E211" s="6"/>
      <c r="F211" s="19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</row>
    <row r="212" spans="1:25" s="20" customFormat="1" ht="89.25" customHeight="1">
      <c r="A212" s="6"/>
      <c r="B212" s="6"/>
      <c r="C212" s="16"/>
      <c r="D212" s="17"/>
      <c r="E212" s="6"/>
      <c r="F212" s="19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</row>
    <row r="213" spans="1:25" s="20" customFormat="1" ht="89.25" customHeight="1">
      <c r="A213" s="6"/>
      <c r="B213" s="6"/>
      <c r="C213" s="16"/>
      <c r="D213" s="17"/>
      <c r="E213" s="6"/>
      <c r="F213" s="19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</row>
    <row r="214" spans="1:25" s="20" customFormat="1" ht="89.25" customHeight="1">
      <c r="A214" s="6"/>
      <c r="B214" s="6"/>
      <c r="C214" s="16"/>
      <c r="D214" s="17"/>
      <c r="E214" s="6"/>
      <c r="F214" s="19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</row>
    <row r="215" spans="1:25" s="20" customFormat="1" ht="89.25" customHeight="1">
      <c r="A215" s="6"/>
      <c r="B215" s="6"/>
      <c r="C215" s="16"/>
      <c r="D215" s="17"/>
      <c r="E215" s="6"/>
      <c r="F215" s="19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</row>
    <row r="216" spans="1:25" s="20" customFormat="1" ht="89.25" customHeight="1">
      <c r="A216" s="6"/>
      <c r="B216" s="6"/>
      <c r="C216" s="16"/>
      <c r="D216" s="17"/>
      <c r="E216" s="6"/>
      <c r="F216" s="19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</row>
    <row r="217" spans="1:25" s="20" customFormat="1" ht="89.25" customHeight="1">
      <c r="A217" s="6"/>
      <c r="B217" s="6"/>
      <c r="C217" s="16"/>
      <c r="D217" s="17"/>
      <c r="E217" s="6"/>
      <c r="F217" s="19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</row>
    <row r="218" spans="1:25" s="20" customFormat="1" ht="89.25" customHeight="1">
      <c r="A218" s="6"/>
      <c r="B218" s="6"/>
      <c r="C218" s="16"/>
      <c r="D218" s="17"/>
      <c r="E218" s="6"/>
      <c r="F218" s="19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</row>
    <row r="219" spans="1:25" s="20" customFormat="1" ht="89.25" customHeight="1">
      <c r="A219" s="6"/>
      <c r="B219" s="6"/>
      <c r="C219" s="16"/>
      <c r="D219" s="17"/>
      <c r="E219" s="6"/>
      <c r="F219" s="19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</row>
    <row r="220" spans="1:25" s="20" customFormat="1" ht="89.25" customHeight="1">
      <c r="A220" s="6"/>
      <c r="B220" s="6"/>
      <c r="C220" s="16"/>
      <c r="D220" s="17"/>
      <c r="E220" s="6"/>
      <c r="F220" s="19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</row>
    <row r="221" spans="1:25" s="20" customFormat="1" ht="89.25" customHeight="1">
      <c r="A221" s="6"/>
      <c r="B221" s="6"/>
      <c r="C221" s="16"/>
      <c r="D221" s="17"/>
      <c r="E221" s="6"/>
      <c r="F221" s="19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</row>
    <row r="222" spans="1:25" s="20" customFormat="1" ht="89.25" customHeight="1">
      <c r="A222" s="6"/>
      <c r="B222" s="6"/>
      <c r="C222" s="16"/>
      <c r="D222" s="17"/>
      <c r="E222" s="6"/>
      <c r="F222" s="19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</row>
    <row r="223" spans="1:25" s="20" customFormat="1" ht="89.25" customHeight="1">
      <c r="A223" s="6"/>
      <c r="B223" s="6"/>
      <c r="C223" s="16"/>
      <c r="D223" s="17"/>
      <c r="E223" s="6"/>
      <c r="F223" s="19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</row>
    <row r="224" spans="1:25" s="20" customFormat="1" ht="89.25" customHeight="1">
      <c r="A224" s="6"/>
      <c r="B224" s="6"/>
      <c r="C224" s="16"/>
      <c r="D224" s="17"/>
      <c r="E224" s="6"/>
      <c r="F224" s="19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</row>
    <row r="225" spans="1:25" s="20" customFormat="1" ht="89.25" customHeight="1">
      <c r="A225" s="6"/>
      <c r="B225" s="6"/>
      <c r="C225" s="16"/>
      <c r="D225" s="17"/>
      <c r="E225" s="6"/>
      <c r="F225" s="19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</row>
    <row r="226" spans="1:25" s="20" customFormat="1" ht="89.25" customHeight="1">
      <c r="A226" s="6"/>
      <c r="B226" s="6"/>
      <c r="C226" s="16"/>
      <c r="D226" s="17"/>
      <c r="E226" s="6"/>
      <c r="F226" s="19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</row>
    <row r="227" spans="1:25" s="20" customFormat="1" ht="89.25" customHeight="1">
      <c r="A227" s="6"/>
      <c r="B227" s="6"/>
      <c r="C227" s="16"/>
      <c r="D227" s="17"/>
      <c r="E227" s="6"/>
      <c r="F227" s="19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</row>
    <row r="228" spans="1:25" s="20" customFormat="1" ht="89.25" customHeight="1">
      <c r="A228" s="6"/>
      <c r="B228" s="6"/>
      <c r="C228" s="16"/>
      <c r="D228" s="17"/>
      <c r="E228" s="6"/>
      <c r="F228" s="19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</row>
    <row r="229" spans="1:25" s="20" customFormat="1" ht="89.25" customHeight="1">
      <c r="A229" s="6"/>
      <c r="B229" s="6"/>
      <c r="C229" s="16"/>
      <c r="D229" s="17"/>
      <c r="E229" s="6"/>
      <c r="F229" s="19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</row>
    <row r="230" spans="1:25" s="20" customFormat="1" ht="89.25" customHeight="1">
      <c r="A230" s="6"/>
      <c r="B230" s="6"/>
      <c r="C230" s="16"/>
      <c r="D230" s="17"/>
      <c r="E230" s="6"/>
      <c r="F230" s="19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</row>
    <row r="231" spans="1:25" s="20" customFormat="1" ht="89.25" customHeight="1">
      <c r="A231" s="6"/>
      <c r="B231" s="6"/>
      <c r="C231" s="16"/>
      <c r="D231" s="17"/>
      <c r="E231" s="6"/>
      <c r="F231" s="19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</row>
    <row r="232" spans="1:25" s="20" customFormat="1" ht="89.25" customHeight="1">
      <c r="A232" s="6"/>
      <c r="B232" s="6"/>
      <c r="C232" s="16"/>
      <c r="D232" s="17"/>
      <c r="E232" s="6"/>
      <c r="F232" s="19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</row>
    <row r="233" spans="1:25" s="20" customFormat="1" ht="89.25" customHeight="1">
      <c r="A233" s="6"/>
      <c r="B233" s="6"/>
      <c r="C233" s="16"/>
      <c r="D233" s="17"/>
      <c r="E233" s="6"/>
      <c r="F233" s="19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</row>
    <row r="234" spans="1:25" s="20" customFormat="1" ht="89.25" customHeight="1">
      <c r="A234" s="6"/>
      <c r="B234" s="6"/>
      <c r="C234" s="16"/>
      <c r="D234" s="17"/>
      <c r="E234" s="6"/>
      <c r="F234" s="19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</row>
    <row r="235" spans="1:25" s="20" customFormat="1" ht="89.25" customHeight="1">
      <c r="A235" s="6"/>
      <c r="B235" s="6"/>
      <c r="C235" s="16"/>
      <c r="D235" s="17"/>
      <c r="E235" s="6"/>
      <c r="F235" s="19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</row>
    <row r="236" spans="1:25" s="20" customFormat="1" ht="89.25" customHeight="1">
      <c r="A236" s="6"/>
      <c r="B236" s="6"/>
      <c r="C236" s="16"/>
      <c r="D236" s="17"/>
      <c r="E236" s="6"/>
      <c r="F236" s="19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</row>
    <row r="237" spans="1:25" s="20" customFormat="1" ht="89.25" customHeight="1">
      <c r="A237" s="6"/>
      <c r="B237" s="6"/>
      <c r="C237" s="16"/>
      <c r="D237" s="17"/>
      <c r="E237" s="6"/>
      <c r="F237" s="19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</row>
  </sheetData>
  <mergeCells count="22">
    <mergeCell ref="D52:E52"/>
    <mergeCell ref="A49:B49"/>
    <mergeCell ref="A14:D14"/>
    <mergeCell ref="A18:D18"/>
    <mergeCell ref="A16:D16"/>
    <mergeCell ref="A17:D17"/>
    <mergeCell ref="A51:B51"/>
    <mergeCell ref="A50:B50"/>
    <mergeCell ref="D51:E51"/>
    <mergeCell ref="D50:E50"/>
    <mergeCell ref="A1:F3"/>
    <mergeCell ref="A5:F5"/>
    <mergeCell ref="A6:F6"/>
    <mergeCell ref="A7:E7"/>
    <mergeCell ref="A9:D9"/>
    <mergeCell ref="A4:F4"/>
    <mergeCell ref="A10:D10"/>
    <mergeCell ref="A13:D13"/>
    <mergeCell ref="A12:D12"/>
    <mergeCell ref="A11:D11"/>
    <mergeCell ref="D49:E49"/>
    <mergeCell ref="A15:D15"/>
  </mergeCells>
  <printOptions horizontalCentered="1" verticalCentered="1"/>
  <pageMargins left="0.59055118110236227" right="0.59055118110236227" top="0.59055118110236227" bottom="0.59055118110236227" header="0.31496062992125984" footer="0.31496062992125984"/>
  <pageSetup paperSize="9" scale="49" orientation="landscape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Hoja23">
    <tabColor rgb="FF00B0F0"/>
    <pageSetUpPr fitToPage="1"/>
  </sheetPr>
  <dimension ref="A1:AG237"/>
  <sheetViews>
    <sheetView showGridLines="0" topLeftCell="A22" zoomScale="80" zoomScaleNormal="80" workbookViewId="0">
      <selection activeCell="F43" sqref="F43"/>
    </sheetView>
  </sheetViews>
  <sheetFormatPr baseColWidth="10" defaultRowHeight="89.25" customHeight="1"/>
  <cols>
    <col min="1" max="2" width="25.28515625" style="6" customWidth="1"/>
    <col min="3" max="3" width="25.28515625" style="16" customWidth="1"/>
    <col min="4" max="4" width="25.28515625" style="17" customWidth="1"/>
    <col min="5" max="5" width="15.28515625" style="6" bestFit="1" customWidth="1"/>
    <col min="6" max="6" width="21.7109375" style="19" bestFit="1" customWidth="1"/>
    <col min="7" max="7" width="19.140625" style="5" bestFit="1" customWidth="1"/>
    <col min="8" max="8" width="28.7109375" style="5" bestFit="1" customWidth="1"/>
    <col min="9" max="10" width="18.7109375" style="5" customWidth="1"/>
    <col min="11" max="25" width="11.42578125" style="5"/>
    <col min="26" max="16384" width="11.42578125" style="6"/>
  </cols>
  <sheetData>
    <row r="1" spans="1:25" s="4" customFormat="1" ht="33.75" customHeight="1">
      <c r="A1" s="1339" t="s">
        <v>771</v>
      </c>
      <c r="B1" s="1339"/>
      <c r="C1" s="1339"/>
      <c r="D1" s="1339"/>
      <c r="E1" s="1339"/>
      <c r="F1" s="1339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spans="1:25" s="4" customFormat="1" ht="33.75" customHeight="1">
      <c r="A2" s="1339"/>
      <c r="B2" s="1339"/>
      <c r="C2" s="1339"/>
      <c r="D2" s="1339"/>
      <c r="E2" s="1339"/>
      <c r="F2" s="1339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 s="4" customFormat="1" ht="15.75">
      <c r="A3" s="1339"/>
      <c r="B3" s="1339"/>
      <c r="C3" s="1339"/>
      <c r="D3" s="1339"/>
      <c r="E3" s="1339"/>
      <c r="F3" s="1339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</row>
    <row r="4" spans="1:25" s="4" customFormat="1" ht="15.75">
      <c r="A4" s="1345" t="str">
        <f>+'Anexo 11 Dpto Sucre'!A4:F4</f>
        <v>AL 31 DE JULIO DE 2023</v>
      </c>
      <c r="B4" s="1345"/>
      <c r="C4" s="1345"/>
      <c r="D4" s="1345"/>
      <c r="E4" s="1345"/>
      <c r="F4" s="1345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</row>
    <row r="5" spans="1:25" ht="30" customHeight="1">
      <c r="A5" s="1339" t="s">
        <v>205</v>
      </c>
      <c r="B5" s="1339"/>
      <c r="C5" s="1339"/>
      <c r="D5" s="1339"/>
      <c r="E5" s="1339"/>
      <c r="F5" s="1339"/>
    </row>
    <row r="6" spans="1:25" ht="30" customHeight="1" thickBot="1">
      <c r="A6" s="1339" t="s">
        <v>197</v>
      </c>
      <c r="B6" s="1339"/>
      <c r="C6" s="1339"/>
      <c r="D6" s="1339"/>
      <c r="E6" s="1339"/>
      <c r="F6" s="1339"/>
    </row>
    <row r="7" spans="1:25" ht="30" customHeight="1" thickBot="1">
      <c r="A7" s="1346" t="s">
        <v>1</v>
      </c>
      <c r="B7" s="1347"/>
      <c r="C7" s="1347"/>
      <c r="D7" s="1347"/>
      <c r="E7" s="1347"/>
      <c r="F7" s="7" t="s">
        <v>2</v>
      </c>
    </row>
    <row r="8" spans="1:25" ht="18.600000000000001" customHeight="1">
      <c r="A8" s="8"/>
      <c r="B8" s="9"/>
      <c r="C8" s="9"/>
      <c r="D8" s="9"/>
      <c r="E8" s="10"/>
      <c r="F8" s="11"/>
      <c r="I8" s="12"/>
      <c r="J8" s="12"/>
    </row>
    <row r="9" spans="1:25" ht="18.600000000000001" customHeight="1">
      <c r="A9" s="1342" t="str">
        <f>+'Anexo 11 Dpto Sucre'!A9:D9</f>
        <v>TOTAL RENDIMIENTOS GENERADOS POR LOS RECURSOS DEL FONDO DE JULIO DE 2023</v>
      </c>
      <c r="B9" s="1343"/>
      <c r="C9" s="1343"/>
      <c r="D9" s="1343"/>
      <c r="E9" s="259"/>
      <c r="F9" s="260">
        <f>F43</f>
        <v>399611.57</v>
      </c>
      <c r="I9" s="13"/>
      <c r="J9" s="12"/>
    </row>
    <row r="10" spans="1:25" ht="18.600000000000001" customHeight="1">
      <c r="A10" s="1333" t="s">
        <v>213</v>
      </c>
      <c r="B10" s="1334"/>
      <c r="C10" s="1334"/>
      <c r="D10" s="1334"/>
      <c r="E10" s="261">
        <v>13512.25</v>
      </c>
      <c r="F10" s="262"/>
    </row>
    <row r="11" spans="1:25" ht="18.600000000000001" customHeight="1">
      <c r="A11" s="1333" t="s">
        <v>212</v>
      </c>
      <c r="B11" s="1334"/>
      <c r="C11" s="1334"/>
      <c r="D11" s="1334"/>
      <c r="E11" s="261">
        <v>26181.14</v>
      </c>
      <c r="F11" s="262"/>
    </row>
    <row r="12" spans="1:25" ht="18.600000000000001" customHeight="1">
      <c r="A12" s="1333" t="s">
        <v>223</v>
      </c>
      <c r="B12" s="1334"/>
      <c r="C12" s="1334"/>
      <c r="D12" s="1334"/>
      <c r="E12" s="261">
        <v>23719.05</v>
      </c>
      <c r="F12" s="262"/>
    </row>
    <row r="13" spans="1:25" ht="18.600000000000001" customHeight="1">
      <c r="A13" s="1333" t="s">
        <v>231</v>
      </c>
      <c r="B13" s="1334"/>
      <c r="C13" s="1334"/>
      <c r="D13" s="1334"/>
      <c r="E13" s="261">
        <v>26185.39</v>
      </c>
      <c r="F13" s="262"/>
    </row>
    <row r="14" spans="1:25" ht="18.600000000000001" customHeight="1">
      <c r="A14" s="1333" t="s">
        <v>244</v>
      </c>
      <c r="B14" s="1334"/>
      <c r="C14" s="1334"/>
      <c r="D14" s="1334"/>
      <c r="E14" s="261">
        <v>25263.34</v>
      </c>
      <c r="F14" s="262"/>
    </row>
    <row r="15" spans="1:25" ht="15.75" customHeight="1">
      <c r="A15" s="1333" t="s">
        <v>272</v>
      </c>
      <c r="B15" s="1334"/>
      <c r="C15" s="1334"/>
      <c r="D15" s="1334"/>
      <c r="E15" s="261">
        <v>26189.759999999998</v>
      </c>
      <c r="F15" s="262"/>
    </row>
    <row r="16" spans="1:25" ht="18.600000000000001" customHeight="1">
      <c r="A16" s="1333" t="s">
        <v>276</v>
      </c>
      <c r="B16" s="1334"/>
      <c r="C16" s="1334"/>
      <c r="D16" s="1334"/>
      <c r="E16" s="261">
        <v>25267.56</v>
      </c>
      <c r="F16" s="262"/>
    </row>
    <row r="17" spans="1:7" ht="18.600000000000001" customHeight="1">
      <c r="A17" s="1333" t="s">
        <v>294</v>
      </c>
      <c r="B17" s="1334"/>
      <c r="C17" s="1334"/>
      <c r="D17" s="1334"/>
      <c r="E17" s="261">
        <v>26194.13</v>
      </c>
      <c r="F17" s="262"/>
    </row>
    <row r="18" spans="1:7" ht="18.600000000000001" customHeight="1">
      <c r="A18" s="1333" t="s">
        <v>307</v>
      </c>
      <c r="B18" s="1334"/>
      <c r="C18" s="1334"/>
      <c r="D18" s="1334"/>
      <c r="E18" s="261">
        <v>26196.36</v>
      </c>
      <c r="F18" s="262"/>
    </row>
    <row r="19" spans="1:7" ht="18.600000000000001" customHeight="1">
      <c r="A19" s="543" t="s">
        <v>365</v>
      </c>
      <c r="B19" s="544"/>
      <c r="C19" s="544"/>
      <c r="D19" s="544"/>
      <c r="E19" s="261">
        <f>19552.19+1</f>
        <v>19553.189999999999</v>
      </c>
      <c r="F19" s="262"/>
      <c r="G19" s="5" t="str">
        <f>+"+1"</f>
        <v>+1</v>
      </c>
    </row>
    <row r="20" spans="1:7" ht="18.600000000000001" customHeight="1">
      <c r="A20" s="574" t="s">
        <v>427</v>
      </c>
      <c r="B20" s="575"/>
      <c r="C20" s="575"/>
      <c r="D20" s="575"/>
      <c r="E20" s="261">
        <v>8826.7000000000007</v>
      </c>
      <c r="F20" s="262"/>
    </row>
    <row r="21" spans="1:7" ht="18.600000000000001" customHeight="1">
      <c r="A21" s="651" t="s">
        <v>462</v>
      </c>
      <c r="B21" s="652"/>
      <c r="C21" s="652"/>
      <c r="D21" s="652"/>
      <c r="E21" s="261">
        <v>97.47</v>
      </c>
      <c r="F21" s="262"/>
    </row>
    <row r="22" spans="1:7" ht="18.600000000000001" customHeight="1">
      <c r="A22" s="670" t="s">
        <v>494</v>
      </c>
      <c r="B22" s="671"/>
      <c r="C22" s="671"/>
      <c r="D22" s="671"/>
      <c r="E22" s="261">
        <v>101.05</v>
      </c>
      <c r="F22" s="262"/>
    </row>
    <row r="23" spans="1:7" ht="18.600000000000001" customHeight="1">
      <c r="A23" s="689" t="s">
        <v>501</v>
      </c>
      <c r="B23" s="690"/>
      <c r="C23" s="690"/>
      <c r="D23" s="690"/>
      <c r="E23" s="261">
        <v>101.06</v>
      </c>
      <c r="F23" s="262"/>
    </row>
    <row r="24" spans="1:7" ht="18.600000000000001" customHeight="1">
      <c r="A24" s="725" t="s">
        <v>515</v>
      </c>
      <c r="B24" s="726"/>
      <c r="C24" s="726"/>
      <c r="D24" s="726"/>
      <c r="E24" s="261">
        <v>91.55</v>
      </c>
      <c r="F24" s="262"/>
    </row>
    <row r="25" spans="1:7" ht="18.600000000000001" customHeight="1">
      <c r="A25" s="743" t="s">
        <v>520</v>
      </c>
      <c r="B25" s="744"/>
      <c r="C25" s="744"/>
      <c r="D25" s="744"/>
      <c r="E25" s="261">
        <v>101.07</v>
      </c>
      <c r="F25" s="262"/>
    </row>
    <row r="26" spans="1:7" ht="18.600000000000001" customHeight="1">
      <c r="A26" s="773" t="s">
        <v>537</v>
      </c>
      <c r="B26" s="774"/>
      <c r="C26" s="774"/>
      <c r="D26" s="774"/>
      <c r="E26" s="261">
        <f>97.52-1</f>
        <v>96.52</v>
      </c>
      <c r="F26" s="262"/>
      <c r="G26" s="785" t="str">
        <f>"-1"</f>
        <v>-1</v>
      </c>
    </row>
    <row r="27" spans="1:7" ht="18.600000000000001" customHeight="1">
      <c r="A27" s="793" t="s">
        <v>567</v>
      </c>
      <c r="B27" s="794"/>
      <c r="C27" s="794"/>
      <c r="D27" s="794"/>
      <c r="E27" s="261">
        <v>101.09</v>
      </c>
      <c r="F27" s="262"/>
      <c r="G27" s="785"/>
    </row>
    <row r="28" spans="1:7" ht="18.600000000000001" customHeight="1">
      <c r="A28" s="811" t="s">
        <v>577</v>
      </c>
      <c r="B28" s="812"/>
      <c r="C28" s="812"/>
      <c r="D28" s="812"/>
      <c r="E28" s="261">
        <v>97.53</v>
      </c>
      <c r="F28" s="262"/>
      <c r="G28" s="785"/>
    </row>
    <row r="29" spans="1:7" ht="18.600000000000001" customHeight="1">
      <c r="A29" s="874" t="s">
        <v>625</v>
      </c>
      <c r="B29" s="875"/>
      <c r="C29" s="875"/>
      <c r="D29" s="875"/>
      <c r="E29" s="261">
        <v>101.11</v>
      </c>
      <c r="F29" s="262"/>
      <c r="G29" s="785"/>
    </row>
    <row r="30" spans="1:7" ht="18.600000000000001" customHeight="1">
      <c r="A30" s="895" t="s">
        <v>720</v>
      </c>
      <c r="B30" s="896"/>
      <c r="C30" s="896"/>
      <c r="D30" s="896"/>
      <c r="E30" s="261">
        <v>101.12</v>
      </c>
      <c r="F30" s="262"/>
      <c r="G30" s="785"/>
    </row>
    <row r="31" spans="1:7" ht="18.600000000000001" customHeight="1">
      <c r="A31" s="904" t="s">
        <v>647</v>
      </c>
      <c r="B31" s="905"/>
      <c r="C31" s="905"/>
      <c r="D31" s="905"/>
      <c r="E31" s="261">
        <v>97.56</v>
      </c>
      <c r="F31" s="262"/>
      <c r="G31" s="785"/>
    </row>
    <row r="32" spans="1:7" ht="18.600000000000001" customHeight="1">
      <c r="A32" s="924" t="s">
        <v>655</v>
      </c>
      <c r="B32" s="925"/>
      <c r="C32" s="925"/>
      <c r="D32" s="925"/>
      <c r="E32" s="261">
        <v>101.13</v>
      </c>
      <c r="F32" s="262"/>
      <c r="G32" s="785"/>
    </row>
    <row r="33" spans="1:33" ht="18.600000000000001" customHeight="1">
      <c r="A33" s="948" t="s">
        <v>665</v>
      </c>
      <c r="B33" s="949"/>
      <c r="C33" s="949"/>
      <c r="D33" s="949"/>
      <c r="E33" s="261">
        <v>1472.49</v>
      </c>
      <c r="F33" s="262"/>
      <c r="G33" s="785"/>
    </row>
    <row r="34" spans="1:33" ht="18.600000000000001" customHeight="1">
      <c r="A34" s="966" t="s">
        <v>677</v>
      </c>
      <c r="B34" s="967"/>
      <c r="C34" s="967"/>
      <c r="D34" s="967"/>
      <c r="E34" s="261">
        <v>4851.99</v>
      </c>
      <c r="F34" s="262"/>
      <c r="G34" s="785"/>
    </row>
    <row r="35" spans="1:33" ht="18.600000000000001" customHeight="1">
      <c r="A35" s="989" t="s">
        <v>687</v>
      </c>
      <c r="B35" s="990"/>
      <c r="C35" s="990"/>
      <c r="D35" s="990"/>
      <c r="E35" s="261">
        <v>4852.41</v>
      </c>
      <c r="F35" s="262"/>
      <c r="G35" s="785"/>
    </row>
    <row r="36" spans="1:33" ht="18.600000000000001" customHeight="1">
      <c r="A36" s="1015" t="s">
        <v>720</v>
      </c>
      <c r="B36" s="1016"/>
      <c r="C36" s="1016"/>
      <c r="D36" s="1016"/>
      <c r="E36" s="261">
        <v>4396.08</v>
      </c>
      <c r="F36" s="262"/>
      <c r="G36" s="785"/>
    </row>
    <row r="37" spans="1:33" ht="18.600000000000001" customHeight="1">
      <c r="A37" s="1032" t="s">
        <v>729</v>
      </c>
      <c r="B37" s="1033"/>
      <c r="C37" s="1033"/>
      <c r="D37" s="1033"/>
      <c r="E37" s="261">
        <v>102366.6</v>
      </c>
      <c r="F37" s="262"/>
      <c r="G37" s="785"/>
    </row>
    <row r="38" spans="1:33" ht="18.600000000000001" customHeight="1">
      <c r="A38" s="1069" t="s">
        <v>748</v>
      </c>
      <c r="B38" s="1070"/>
      <c r="C38" s="1070"/>
      <c r="D38" s="1070"/>
      <c r="E38" s="261">
        <v>8132.52</v>
      </c>
      <c r="F38" s="262"/>
      <c r="G38" s="785"/>
    </row>
    <row r="39" spans="1:33" ht="18.600000000000001" customHeight="1">
      <c r="A39" s="1090" t="str">
        <f>+'Anexo 11 Dpto Sucre'!A39</f>
        <v>Rendimientos financieros AL 31 DE MAYO DE 2023</v>
      </c>
      <c r="B39" s="1091"/>
      <c r="C39" s="1091"/>
      <c r="D39" s="1091"/>
      <c r="E39" s="261">
        <v>8457.5300000000007</v>
      </c>
      <c r="F39" s="262"/>
      <c r="G39" s="785">
        <f>+SUM(E10:E39)</f>
        <v>382806.75</v>
      </c>
    </row>
    <row r="40" spans="1:33" ht="18.600000000000001" customHeight="1">
      <c r="A40" s="1100" t="str">
        <f>+'Anexo 11 Dpto Sucre'!A40</f>
        <v>Rendimientos financieros AL 30 DE JUNIO DE 2023</v>
      </c>
      <c r="B40" s="1101"/>
      <c r="C40" s="1101"/>
      <c r="D40" s="1101"/>
      <c r="E40" s="261">
        <v>8237.7999999999993</v>
      </c>
      <c r="F40" s="262"/>
      <c r="G40" s="785"/>
    </row>
    <row r="41" spans="1:33" ht="18.600000000000001" customHeight="1">
      <c r="A41" s="1128" t="str">
        <f>+'Anexo 11 Dpto Sucre'!A41</f>
        <v>Rendimientos financieros AL 31 DE JULIO DE 2023</v>
      </c>
      <c r="B41" s="1129"/>
      <c r="C41" s="1129"/>
      <c r="D41" s="1129"/>
      <c r="E41" s="261">
        <v>8567.02</v>
      </c>
      <c r="F41" s="262"/>
      <c r="G41" s="785"/>
    </row>
    <row r="42" spans="1:33" s="5" customFormat="1" ht="18.600000000000001" customHeight="1">
      <c r="A42" s="226"/>
      <c r="B42" s="227"/>
      <c r="C42" s="227"/>
      <c r="D42" s="227"/>
      <c r="E42" s="263"/>
      <c r="F42" s="264"/>
      <c r="G42" s="776" t="s">
        <v>535</v>
      </c>
      <c r="H42" s="775" t="s">
        <v>536</v>
      </c>
      <c r="I42" s="775" t="s">
        <v>516</v>
      </c>
      <c r="J42" s="742" t="s">
        <v>65</v>
      </c>
      <c r="Z42" s="6"/>
      <c r="AA42" s="6"/>
      <c r="AB42" s="6"/>
      <c r="AC42" s="6"/>
      <c r="AD42" s="6"/>
      <c r="AE42" s="6"/>
      <c r="AF42" s="6"/>
      <c r="AG42" s="6"/>
    </row>
    <row r="43" spans="1:33" s="5" customFormat="1" ht="24.75" customHeight="1" thickBot="1">
      <c r="A43" s="14" t="str">
        <f>+'Anexo 11 Dpto Sucre'!A43</f>
        <v>TOTAL RENDIMIENTOS DISPONIBLES AL 31 DE JULIO DE 2023</v>
      </c>
      <c r="B43" s="15"/>
      <c r="C43" s="15"/>
      <c r="D43" s="15"/>
      <c r="E43" s="265"/>
      <c r="F43" s="266">
        <f>SUM(E9:E42)</f>
        <v>399611.57</v>
      </c>
      <c r="G43" s="5">
        <f>+F43+Adhesiones!H73</f>
        <v>1314913.57</v>
      </c>
      <c r="H43" s="741">
        <f>+G43-F43</f>
        <v>915302</v>
      </c>
      <c r="I43" s="5">
        <f>-'Anexo 3-Porcion C-NC'!B23</f>
        <v>-915302</v>
      </c>
      <c r="J43" s="1018">
        <f>+H43+I43</f>
        <v>0</v>
      </c>
      <c r="Z43" s="6"/>
      <c r="AA43" s="6"/>
      <c r="AB43" s="6"/>
      <c r="AC43" s="6"/>
      <c r="AD43" s="6"/>
      <c r="AE43" s="6"/>
      <c r="AF43" s="6"/>
      <c r="AG43" s="6"/>
    </row>
    <row r="44" spans="1:33" s="20" customFormat="1" ht="15.75">
      <c r="A44" s="6"/>
      <c r="B44" s="6"/>
      <c r="C44" s="16"/>
      <c r="D44" s="17"/>
      <c r="E44" s="258"/>
      <c r="F44" s="258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</row>
    <row r="45" spans="1:33" s="20" customFormat="1" ht="15.75">
      <c r="A45" s="6"/>
      <c r="B45" s="6"/>
      <c r="C45" s="16"/>
      <c r="D45" s="17"/>
      <c r="E45" s="21"/>
      <c r="F45" s="19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</row>
    <row r="46" spans="1:33" s="20" customFormat="1" ht="15.75">
      <c r="A46" s="6"/>
      <c r="B46" s="6"/>
      <c r="C46" s="16"/>
      <c r="D46" s="17"/>
      <c r="E46" s="22"/>
      <c r="F46" s="19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</row>
    <row r="47" spans="1:33" s="20" customFormat="1" ht="15.75">
      <c r="A47" s="6"/>
      <c r="B47" s="6"/>
      <c r="C47" s="16"/>
      <c r="D47" s="17"/>
      <c r="E47" s="22"/>
      <c r="F47" s="19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</row>
    <row r="48" spans="1:33" s="5" customFormat="1" ht="16.5" thickBot="1">
      <c r="A48" s="23"/>
      <c r="B48" s="24"/>
      <c r="C48" s="25"/>
      <c r="D48" s="131"/>
      <c r="E48" s="132"/>
      <c r="F48" s="133"/>
    </row>
    <row r="49" spans="1:25" s="5" customFormat="1" ht="15" customHeight="1">
      <c r="A49" s="1336" t="s">
        <v>135</v>
      </c>
      <c r="B49" s="1336"/>
      <c r="C49" s="1"/>
      <c r="D49" s="1336" t="s">
        <v>517</v>
      </c>
      <c r="E49" s="1336"/>
      <c r="F49" s="224"/>
    </row>
    <row r="50" spans="1:25" s="5" customFormat="1" ht="14.45" customHeight="1">
      <c r="A50" s="1332" t="s">
        <v>145</v>
      </c>
      <c r="B50" s="1332"/>
      <c r="C50" s="2"/>
      <c r="D50" s="1332" t="s">
        <v>519</v>
      </c>
      <c r="E50" s="1332"/>
      <c r="F50" s="225"/>
    </row>
    <row r="51" spans="1:25" s="5" customFormat="1" ht="15.75" customHeight="1">
      <c r="A51" s="1332" t="s">
        <v>48</v>
      </c>
      <c r="B51" s="1332"/>
      <c r="C51" s="2"/>
      <c r="D51" s="1332" t="s">
        <v>48</v>
      </c>
      <c r="E51" s="1332"/>
      <c r="F51" s="225"/>
    </row>
    <row r="52" spans="1:25" s="20" customFormat="1" ht="15.75" customHeight="1">
      <c r="A52" s="6"/>
      <c r="B52" s="6"/>
      <c r="C52" s="16"/>
      <c r="D52" s="1335" t="s">
        <v>518</v>
      </c>
      <c r="E52" s="1335"/>
      <c r="F52" s="22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</row>
    <row r="53" spans="1:25" s="20" customFormat="1" ht="15.75">
      <c r="A53" s="6"/>
      <c r="B53" s="6"/>
      <c r="C53" s="16"/>
      <c r="D53" s="17"/>
      <c r="E53" s="22"/>
      <c r="F53" s="19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</row>
    <row r="54" spans="1:25" s="20" customFormat="1" ht="15.75">
      <c r="A54" s="6"/>
      <c r="B54" s="6"/>
      <c r="C54" s="16"/>
      <c r="D54" s="17"/>
      <c r="E54" s="22"/>
      <c r="F54" s="19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</row>
    <row r="55" spans="1:25" s="20" customFormat="1" ht="15.75">
      <c r="A55" s="27"/>
      <c r="B55" s="27"/>
      <c r="C55" s="27"/>
      <c r="D55" s="27"/>
      <c r="E55" s="27"/>
      <c r="F55" s="19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</row>
    <row r="56" spans="1:25" s="5" customFormat="1" ht="15.75">
      <c r="A56" s="27"/>
      <c r="B56" s="27"/>
      <c r="C56" s="27"/>
      <c r="D56" s="27"/>
      <c r="E56" s="27"/>
      <c r="F56" s="26"/>
    </row>
    <row r="57" spans="1:25" s="5" customFormat="1" ht="15" customHeight="1">
      <c r="A57" s="27"/>
      <c r="B57" s="27"/>
      <c r="C57" s="27"/>
      <c r="D57" s="27"/>
      <c r="E57" s="27"/>
      <c r="F57" s="26"/>
    </row>
    <row r="58" spans="1:25" s="5" customFormat="1" ht="14.45" customHeight="1">
      <c r="A58" s="27"/>
      <c r="B58" s="27"/>
      <c r="C58" s="27"/>
      <c r="D58" s="27"/>
      <c r="E58" s="27"/>
      <c r="F58" s="26"/>
    </row>
    <row r="59" spans="1:25" s="5" customFormat="1" ht="14.45" customHeight="1">
      <c r="A59" s="27"/>
      <c r="B59" s="27"/>
      <c r="C59" s="27"/>
      <c r="D59" s="27"/>
      <c r="E59" s="27"/>
      <c r="F59" s="26"/>
    </row>
    <row r="60" spans="1:25" s="20" customFormat="1" ht="15.75">
      <c r="A60" s="27"/>
      <c r="B60" s="27"/>
      <c r="C60" s="27"/>
      <c r="D60" s="27"/>
      <c r="E60" s="27"/>
      <c r="F60" s="19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</row>
    <row r="61" spans="1:25" s="20" customFormat="1" ht="15.75">
      <c r="A61" s="6"/>
      <c r="B61" s="6"/>
      <c r="C61" s="16"/>
      <c r="D61" s="17"/>
      <c r="E61" s="6"/>
      <c r="F61" s="19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</row>
    <row r="62" spans="1:25" s="20" customFormat="1" ht="15.75">
      <c r="A62" s="6"/>
      <c r="B62" s="6"/>
      <c r="C62" s="16"/>
      <c r="D62" s="17"/>
      <c r="E62" s="6"/>
      <c r="F62" s="19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</row>
    <row r="63" spans="1:25" s="20" customFormat="1" ht="15.75">
      <c r="A63" s="6"/>
      <c r="B63" s="6"/>
      <c r="C63" s="16"/>
      <c r="D63" s="17"/>
      <c r="E63" s="6"/>
      <c r="F63" s="19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</row>
    <row r="64" spans="1:25" s="20" customFormat="1" ht="15.75">
      <c r="A64" s="6"/>
      <c r="B64" s="6"/>
      <c r="C64" s="16"/>
      <c r="D64" s="17"/>
      <c r="E64" s="6"/>
      <c r="F64" s="19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</row>
    <row r="65" spans="1:25" s="20" customFormat="1" ht="15.75">
      <c r="A65" s="6"/>
      <c r="B65" s="6"/>
      <c r="C65" s="16"/>
      <c r="D65" s="17"/>
      <c r="E65" s="6"/>
      <c r="F65" s="19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</row>
    <row r="66" spans="1:25" s="20" customFormat="1" ht="15.75">
      <c r="A66" s="6"/>
      <c r="B66" s="6"/>
      <c r="C66" s="16"/>
      <c r="D66" s="17"/>
      <c r="E66" s="6"/>
      <c r="F66" s="19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</row>
    <row r="67" spans="1:25" s="20" customFormat="1" ht="15.75">
      <c r="A67" s="6"/>
      <c r="B67" s="6"/>
      <c r="C67" s="16"/>
      <c r="D67" s="17"/>
      <c r="E67" s="6"/>
      <c r="F67" s="19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</row>
    <row r="68" spans="1:25" s="20" customFormat="1" ht="15.75">
      <c r="A68" s="6"/>
      <c r="B68" s="6"/>
      <c r="C68" s="16"/>
      <c r="D68" s="17"/>
      <c r="E68" s="6"/>
      <c r="F68" s="19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</row>
    <row r="69" spans="1:25" s="20" customFormat="1" ht="15.75">
      <c r="A69" s="6"/>
      <c r="B69" s="6"/>
      <c r="C69" s="16"/>
      <c r="D69" s="17"/>
      <c r="E69" s="6"/>
      <c r="F69" s="19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</row>
    <row r="70" spans="1:25" s="20" customFormat="1" ht="15.75">
      <c r="A70" s="6"/>
      <c r="B70" s="6"/>
      <c r="C70" s="16"/>
      <c r="D70" s="17"/>
      <c r="E70" s="6"/>
      <c r="F70" s="19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</row>
    <row r="71" spans="1:25" s="20" customFormat="1" ht="15.75">
      <c r="A71" s="6"/>
      <c r="B71" s="6"/>
      <c r="C71" s="16"/>
      <c r="D71" s="17"/>
      <c r="E71" s="6"/>
      <c r="F71" s="19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</row>
    <row r="72" spans="1:25" s="20" customFormat="1" ht="15.75">
      <c r="A72" s="6"/>
      <c r="B72" s="6"/>
      <c r="C72" s="16"/>
      <c r="D72" s="17"/>
      <c r="E72" s="6"/>
      <c r="F72" s="19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</row>
    <row r="73" spans="1:25" s="20" customFormat="1" ht="15.75">
      <c r="A73" s="6"/>
      <c r="B73" s="6"/>
      <c r="C73" s="16"/>
      <c r="D73" s="17"/>
      <c r="E73" s="6"/>
      <c r="F73" s="19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</row>
    <row r="74" spans="1:25" s="20" customFormat="1" ht="15.75">
      <c r="A74" s="6"/>
      <c r="B74" s="6"/>
      <c r="C74" s="16"/>
      <c r="D74" s="17"/>
      <c r="E74" s="6"/>
      <c r="F74" s="19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</row>
    <row r="75" spans="1:25" s="20" customFormat="1" ht="15.75">
      <c r="A75" s="6"/>
      <c r="B75" s="6"/>
      <c r="C75" s="16"/>
      <c r="D75" s="17"/>
      <c r="E75" s="6"/>
      <c r="F75" s="19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</row>
    <row r="76" spans="1:25" s="20" customFormat="1" ht="15.75">
      <c r="A76" s="6"/>
      <c r="B76" s="6"/>
      <c r="C76" s="16"/>
      <c r="D76" s="17"/>
      <c r="E76" s="6"/>
      <c r="F76" s="19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</row>
    <row r="77" spans="1:25" s="20" customFormat="1" ht="15.75">
      <c r="A77" s="6"/>
      <c r="B77" s="6"/>
      <c r="C77" s="16"/>
      <c r="D77" s="17"/>
      <c r="E77" s="6"/>
      <c r="F77" s="19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</row>
    <row r="78" spans="1:25" s="20" customFormat="1" ht="15.75">
      <c r="A78" s="6"/>
      <c r="B78" s="6"/>
      <c r="C78" s="16"/>
      <c r="D78" s="17"/>
      <c r="E78" s="6"/>
      <c r="F78" s="19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</row>
    <row r="79" spans="1:25" s="20" customFormat="1" ht="15.75">
      <c r="A79" s="6"/>
      <c r="B79" s="6"/>
      <c r="C79" s="16"/>
      <c r="D79" s="17"/>
      <c r="E79" s="6"/>
      <c r="F79" s="19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</row>
    <row r="80" spans="1:25" s="20" customFormat="1" ht="89.25" customHeight="1">
      <c r="A80" s="6"/>
      <c r="B80" s="6"/>
      <c r="C80" s="16"/>
      <c r="D80" s="17"/>
      <c r="E80" s="6"/>
      <c r="F80" s="19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</row>
    <row r="81" spans="1:25" s="20" customFormat="1" ht="89.25" customHeight="1">
      <c r="A81" s="6"/>
      <c r="B81" s="6"/>
      <c r="C81" s="16"/>
      <c r="D81" s="17"/>
      <c r="E81" s="6"/>
      <c r="F81" s="19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</row>
    <row r="82" spans="1:25" s="20" customFormat="1" ht="89.25" customHeight="1">
      <c r="A82" s="6"/>
      <c r="B82" s="6"/>
      <c r="C82" s="16"/>
      <c r="D82" s="17"/>
      <c r="E82" s="6"/>
      <c r="F82" s="19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</row>
    <row r="83" spans="1:25" s="20" customFormat="1" ht="89.25" customHeight="1">
      <c r="A83" s="6"/>
      <c r="B83" s="6"/>
      <c r="C83" s="16"/>
      <c r="D83" s="17"/>
      <c r="E83" s="6"/>
      <c r="F83" s="19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</row>
    <row r="84" spans="1:25" s="20" customFormat="1" ht="89.25" customHeight="1">
      <c r="A84" s="6"/>
      <c r="B84" s="6"/>
      <c r="C84" s="16"/>
      <c r="D84" s="17"/>
      <c r="E84" s="6"/>
      <c r="F84" s="19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</row>
    <row r="85" spans="1:25" s="20" customFormat="1" ht="89.25" customHeight="1">
      <c r="A85" s="6"/>
      <c r="B85" s="6"/>
      <c r="C85" s="16"/>
      <c r="D85" s="17"/>
      <c r="E85" s="6"/>
      <c r="F85" s="19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</row>
    <row r="86" spans="1:25" s="20" customFormat="1" ht="89.25" customHeight="1">
      <c r="A86" s="6"/>
      <c r="B86" s="6"/>
      <c r="C86" s="16"/>
      <c r="D86" s="17"/>
      <c r="E86" s="6"/>
      <c r="F86" s="19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</row>
    <row r="87" spans="1:25" s="20" customFormat="1" ht="89.25" customHeight="1">
      <c r="A87" s="6"/>
      <c r="B87" s="6"/>
      <c r="C87" s="16"/>
      <c r="D87" s="17"/>
      <c r="E87" s="6"/>
      <c r="F87" s="19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</row>
    <row r="88" spans="1:25" s="20" customFormat="1" ht="89.25" customHeight="1">
      <c r="A88" s="6"/>
      <c r="B88" s="6"/>
      <c r="C88" s="16"/>
      <c r="D88" s="17"/>
      <c r="E88" s="6"/>
      <c r="F88" s="19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</row>
    <row r="89" spans="1:25" s="20" customFormat="1" ht="89.25" customHeight="1">
      <c r="A89" s="6"/>
      <c r="B89" s="6"/>
      <c r="C89" s="16"/>
      <c r="D89" s="17"/>
      <c r="E89" s="6"/>
      <c r="F89" s="19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</row>
    <row r="90" spans="1:25" s="20" customFormat="1" ht="89.25" customHeight="1">
      <c r="A90" s="6"/>
      <c r="B90" s="6"/>
      <c r="C90" s="16"/>
      <c r="D90" s="17"/>
      <c r="E90" s="6"/>
      <c r="F90" s="19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</row>
    <row r="91" spans="1:25" s="20" customFormat="1" ht="89.25" customHeight="1">
      <c r="A91" s="6"/>
      <c r="B91" s="6"/>
      <c r="C91" s="16"/>
      <c r="D91" s="17"/>
      <c r="E91" s="6"/>
      <c r="F91" s="19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</row>
    <row r="92" spans="1:25" s="20" customFormat="1" ht="89.25" customHeight="1">
      <c r="A92" s="6"/>
      <c r="B92" s="6"/>
      <c r="C92" s="16"/>
      <c r="D92" s="17"/>
      <c r="E92" s="6"/>
      <c r="F92" s="19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</row>
    <row r="93" spans="1:25" s="20" customFormat="1" ht="89.25" customHeight="1">
      <c r="A93" s="6"/>
      <c r="B93" s="6"/>
      <c r="C93" s="16"/>
      <c r="D93" s="17"/>
      <c r="E93" s="6"/>
      <c r="F93" s="19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</row>
    <row r="94" spans="1:25" s="20" customFormat="1" ht="89.25" customHeight="1">
      <c r="A94" s="6"/>
      <c r="B94" s="6"/>
      <c r="C94" s="16"/>
      <c r="D94" s="17"/>
      <c r="E94" s="6"/>
      <c r="F94" s="19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</row>
    <row r="95" spans="1:25" s="20" customFormat="1" ht="89.25" customHeight="1">
      <c r="A95" s="6"/>
      <c r="B95" s="6"/>
      <c r="C95" s="16"/>
      <c r="D95" s="17"/>
      <c r="E95" s="6"/>
      <c r="F95" s="19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</row>
    <row r="96" spans="1:25" s="20" customFormat="1" ht="89.25" customHeight="1">
      <c r="A96" s="6"/>
      <c r="B96" s="6"/>
      <c r="C96" s="16"/>
      <c r="D96" s="17"/>
      <c r="E96" s="6"/>
      <c r="F96" s="19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</row>
    <row r="97" spans="1:25" s="20" customFormat="1" ht="89.25" customHeight="1">
      <c r="A97" s="6"/>
      <c r="B97" s="6"/>
      <c r="C97" s="16"/>
      <c r="D97" s="17"/>
      <c r="E97" s="6"/>
      <c r="F97" s="19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</row>
    <row r="98" spans="1:25" s="20" customFormat="1" ht="89.25" customHeight="1">
      <c r="A98" s="6"/>
      <c r="B98" s="6"/>
      <c r="C98" s="16"/>
      <c r="D98" s="17"/>
      <c r="E98" s="6"/>
      <c r="F98" s="19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</row>
    <row r="99" spans="1:25" s="20" customFormat="1" ht="89.25" customHeight="1">
      <c r="A99" s="6"/>
      <c r="B99" s="6"/>
      <c r="C99" s="16"/>
      <c r="D99" s="17"/>
      <c r="E99" s="6"/>
      <c r="F99" s="19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</row>
    <row r="100" spans="1:25" s="20" customFormat="1" ht="89.25" customHeight="1">
      <c r="A100" s="6"/>
      <c r="B100" s="6"/>
      <c r="C100" s="16"/>
      <c r="D100" s="17"/>
      <c r="E100" s="6"/>
      <c r="F100" s="19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</row>
    <row r="101" spans="1:25" s="20" customFormat="1" ht="89.25" customHeight="1">
      <c r="A101" s="6"/>
      <c r="B101" s="6"/>
      <c r="C101" s="16"/>
      <c r="D101" s="17"/>
      <c r="E101" s="6"/>
      <c r="F101" s="19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</row>
    <row r="102" spans="1:25" s="20" customFormat="1" ht="89.25" customHeight="1">
      <c r="A102" s="6"/>
      <c r="B102" s="6"/>
      <c r="C102" s="16"/>
      <c r="D102" s="17"/>
      <c r="E102" s="6"/>
      <c r="F102" s="19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</row>
    <row r="103" spans="1:25" s="20" customFormat="1" ht="89.25" customHeight="1">
      <c r="A103" s="6"/>
      <c r="B103" s="6"/>
      <c r="C103" s="16"/>
      <c r="D103" s="17"/>
      <c r="E103" s="6"/>
      <c r="F103" s="19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</row>
    <row r="104" spans="1:25" s="20" customFormat="1" ht="89.25" customHeight="1">
      <c r="A104" s="6"/>
      <c r="B104" s="6"/>
      <c r="C104" s="16"/>
      <c r="D104" s="17"/>
      <c r="E104" s="6"/>
      <c r="F104" s="19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</row>
    <row r="105" spans="1:25" s="20" customFormat="1" ht="89.25" customHeight="1">
      <c r="A105" s="6"/>
      <c r="B105" s="6"/>
      <c r="C105" s="16"/>
      <c r="D105" s="17"/>
      <c r="E105" s="6"/>
      <c r="F105" s="19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</row>
    <row r="106" spans="1:25" s="20" customFormat="1" ht="89.25" customHeight="1">
      <c r="A106" s="6"/>
      <c r="B106" s="6"/>
      <c r="C106" s="16"/>
      <c r="D106" s="17"/>
      <c r="E106" s="6"/>
      <c r="F106" s="19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</row>
    <row r="107" spans="1:25" s="20" customFormat="1" ht="89.25" customHeight="1">
      <c r="A107" s="6"/>
      <c r="B107" s="6"/>
      <c r="C107" s="16"/>
      <c r="D107" s="17"/>
      <c r="E107" s="6"/>
      <c r="F107" s="19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</row>
    <row r="108" spans="1:25" s="20" customFormat="1" ht="89.25" customHeight="1">
      <c r="A108" s="6"/>
      <c r="B108" s="6"/>
      <c r="C108" s="16"/>
      <c r="D108" s="17"/>
      <c r="E108" s="6"/>
      <c r="F108" s="19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</row>
    <row r="109" spans="1:25" s="20" customFormat="1" ht="89.25" customHeight="1">
      <c r="A109" s="6"/>
      <c r="B109" s="6"/>
      <c r="C109" s="16"/>
      <c r="D109" s="17"/>
      <c r="E109" s="6"/>
      <c r="F109" s="19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</row>
    <row r="110" spans="1:25" s="20" customFormat="1" ht="89.25" customHeight="1">
      <c r="A110" s="6"/>
      <c r="B110" s="6"/>
      <c r="C110" s="16"/>
      <c r="D110" s="17"/>
      <c r="E110" s="6"/>
      <c r="F110" s="19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</row>
    <row r="111" spans="1:25" s="20" customFormat="1" ht="89.25" customHeight="1">
      <c r="A111" s="6"/>
      <c r="B111" s="6"/>
      <c r="C111" s="16"/>
      <c r="D111" s="17"/>
      <c r="E111" s="6"/>
      <c r="F111" s="19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</row>
    <row r="112" spans="1:25" s="20" customFormat="1" ht="89.25" customHeight="1">
      <c r="A112" s="6"/>
      <c r="B112" s="6"/>
      <c r="C112" s="16"/>
      <c r="D112" s="17"/>
      <c r="E112" s="6"/>
      <c r="F112" s="19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</row>
    <row r="113" spans="1:25" s="20" customFormat="1" ht="89.25" customHeight="1">
      <c r="A113" s="6"/>
      <c r="B113" s="6"/>
      <c r="C113" s="16"/>
      <c r="D113" s="17"/>
      <c r="E113" s="6"/>
      <c r="F113" s="19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</row>
    <row r="114" spans="1:25" s="20" customFormat="1" ht="89.25" customHeight="1">
      <c r="A114" s="6"/>
      <c r="B114" s="6"/>
      <c r="C114" s="16"/>
      <c r="D114" s="17"/>
      <c r="E114" s="6"/>
      <c r="F114" s="19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</row>
    <row r="115" spans="1:25" s="20" customFormat="1" ht="89.25" customHeight="1">
      <c r="A115" s="6"/>
      <c r="B115" s="6"/>
      <c r="C115" s="16"/>
      <c r="D115" s="17"/>
      <c r="E115" s="6"/>
      <c r="F115" s="19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</row>
    <row r="116" spans="1:25" s="20" customFormat="1" ht="89.25" customHeight="1">
      <c r="A116" s="6"/>
      <c r="B116" s="6"/>
      <c r="C116" s="16"/>
      <c r="D116" s="17"/>
      <c r="E116" s="6"/>
      <c r="F116" s="19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</row>
    <row r="117" spans="1:25" s="20" customFormat="1" ht="89.25" customHeight="1">
      <c r="A117" s="6"/>
      <c r="B117" s="6"/>
      <c r="C117" s="16"/>
      <c r="D117" s="17"/>
      <c r="E117" s="6"/>
      <c r="F117" s="19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</row>
    <row r="118" spans="1:25" s="20" customFormat="1" ht="89.25" customHeight="1">
      <c r="A118" s="6"/>
      <c r="B118" s="6"/>
      <c r="C118" s="16"/>
      <c r="D118" s="17"/>
      <c r="E118" s="6"/>
      <c r="F118" s="19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</row>
    <row r="119" spans="1:25" s="20" customFormat="1" ht="89.25" customHeight="1">
      <c r="A119" s="6"/>
      <c r="B119" s="6"/>
      <c r="C119" s="16"/>
      <c r="D119" s="17"/>
      <c r="E119" s="6"/>
      <c r="F119" s="19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</row>
    <row r="120" spans="1:25" s="20" customFormat="1" ht="89.25" customHeight="1">
      <c r="A120" s="6"/>
      <c r="B120" s="6"/>
      <c r="C120" s="16"/>
      <c r="D120" s="17"/>
      <c r="E120" s="6"/>
      <c r="F120" s="19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</row>
    <row r="121" spans="1:25" s="20" customFormat="1" ht="89.25" customHeight="1">
      <c r="A121" s="6"/>
      <c r="B121" s="6"/>
      <c r="C121" s="16"/>
      <c r="D121" s="17"/>
      <c r="E121" s="6"/>
      <c r="F121" s="19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</row>
    <row r="122" spans="1:25" s="20" customFormat="1" ht="89.25" customHeight="1">
      <c r="A122" s="6"/>
      <c r="B122" s="6"/>
      <c r="C122" s="16"/>
      <c r="D122" s="17"/>
      <c r="E122" s="6"/>
      <c r="F122" s="19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</row>
    <row r="123" spans="1:25" s="20" customFormat="1" ht="89.25" customHeight="1">
      <c r="A123" s="6"/>
      <c r="B123" s="6"/>
      <c r="C123" s="16"/>
      <c r="D123" s="17"/>
      <c r="E123" s="6"/>
      <c r="F123" s="19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</row>
    <row r="124" spans="1:25" s="20" customFormat="1" ht="89.25" customHeight="1">
      <c r="A124" s="6"/>
      <c r="B124" s="6"/>
      <c r="C124" s="16"/>
      <c r="D124" s="17"/>
      <c r="E124" s="6"/>
      <c r="F124" s="19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</row>
    <row r="125" spans="1:25" s="20" customFormat="1" ht="89.25" customHeight="1">
      <c r="A125" s="6"/>
      <c r="B125" s="6"/>
      <c r="C125" s="16"/>
      <c r="D125" s="17"/>
      <c r="E125" s="6"/>
      <c r="F125" s="19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</row>
    <row r="126" spans="1:25" s="20" customFormat="1" ht="89.25" customHeight="1">
      <c r="A126" s="6"/>
      <c r="B126" s="6"/>
      <c r="C126" s="16"/>
      <c r="D126" s="17"/>
      <c r="E126" s="6"/>
      <c r="F126" s="19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</row>
    <row r="127" spans="1:25" s="20" customFormat="1" ht="89.25" customHeight="1">
      <c r="A127" s="6"/>
      <c r="B127" s="6"/>
      <c r="C127" s="16"/>
      <c r="D127" s="17"/>
      <c r="E127" s="6"/>
      <c r="F127" s="19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</row>
    <row r="128" spans="1:25" s="20" customFormat="1" ht="89.25" customHeight="1">
      <c r="A128" s="6"/>
      <c r="B128" s="6"/>
      <c r="C128" s="16"/>
      <c r="D128" s="17"/>
      <c r="E128" s="6"/>
      <c r="F128" s="19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</row>
    <row r="129" spans="1:25" s="20" customFormat="1" ht="89.25" customHeight="1">
      <c r="A129" s="6"/>
      <c r="B129" s="6"/>
      <c r="C129" s="16"/>
      <c r="D129" s="17"/>
      <c r="E129" s="6"/>
      <c r="F129" s="19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</row>
    <row r="130" spans="1:25" s="20" customFormat="1" ht="89.25" customHeight="1">
      <c r="A130" s="6"/>
      <c r="B130" s="6"/>
      <c r="C130" s="16"/>
      <c r="D130" s="17"/>
      <c r="E130" s="6"/>
      <c r="F130" s="19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</row>
    <row r="131" spans="1:25" s="20" customFormat="1" ht="89.25" customHeight="1">
      <c r="A131" s="6"/>
      <c r="B131" s="6"/>
      <c r="C131" s="16"/>
      <c r="D131" s="17"/>
      <c r="E131" s="6"/>
      <c r="F131" s="19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</row>
    <row r="132" spans="1:25" s="20" customFormat="1" ht="89.25" customHeight="1">
      <c r="A132" s="6"/>
      <c r="B132" s="6"/>
      <c r="C132" s="16"/>
      <c r="D132" s="17"/>
      <c r="E132" s="6"/>
      <c r="F132" s="19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</row>
    <row r="133" spans="1:25" s="20" customFormat="1" ht="89.25" customHeight="1">
      <c r="A133" s="6"/>
      <c r="B133" s="6"/>
      <c r="C133" s="16"/>
      <c r="D133" s="17"/>
      <c r="E133" s="6"/>
      <c r="F133" s="19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</row>
    <row r="134" spans="1:25" s="20" customFormat="1" ht="89.25" customHeight="1">
      <c r="A134" s="6"/>
      <c r="B134" s="6"/>
      <c r="C134" s="16"/>
      <c r="D134" s="17"/>
      <c r="E134" s="6"/>
      <c r="F134" s="19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</row>
    <row r="135" spans="1:25" s="20" customFormat="1" ht="89.25" customHeight="1">
      <c r="A135" s="6"/>
      <c r="B135" s="6"/>
      <c r="C135" s="16"/>
      <c r="D135" s="17"/>
      <c r="E135" s="6"/>
      <c r="F135" s="19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</row>
    <row r="136" spans="1:25" s="20" customFormat="1" ht="89.25" customHeight="1">
      <c r="A136" s="6"/>
      <c r="B136" s="6"/>
      <c r="C136" s="16"/>
      <c r="D136" s="17"/>
      <c r="E136" s="6"/>
      <c r="F136" s="19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</row>
    <row r="137" spans="1:25" s="20" customFormat="1" ht="89.25" customHeight="1">
      <c r="A137" s="6"/>
      <c r="B137" s="6"/>
      <c r="C137" s="16"/>
      <c r="D137" s="17"/>
      <c r="E137" s="6"/>
      <c r="F137" s="19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</row>
    <row r="138" spans="1:25" s="20" customFormat="1" ht="89.25" customHeight="1">
      <c r="A138" s="6"/>
      <c r="B138" s="6"/>
      <c r="C138" s="16"/>
      <c r="D138" s="17"/>
      <c r="E138" s="6"/>
      <c r="F138" s="19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</row>
    <row r="139" spans="1:25" s="20" customFormat="1" ht="89.25" customHeight="1">
      <c r="A139" s="6"/>
      <c r="B139" s="6"/>
      <c r="C139" s="16"/>
      <c r="D139" s="17"/>
      <c r="E139" s="6"/>
      <c r="F139" s="19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</row>
    <row r="140" spans="1:25" s="20" customFormat="1" ht="89.25" customHeight="1">
      <c r="A140" s="6"/>
      <c r="B140" s="6"/>
      <c r="C140" s="16"/>
      <c r="D140" s="17"/>
      <c r="E140" s="6"/>
      <c r="F140" s="19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</row>
    <row r="141" spans="1:25" s="20" customFormat="1" ht="89.25" customHeight="1">
      <c r="A141" s="6"/>
      <c r="B141" s="6"/>
      <c r="C141" s="16"/>
      <c r="D141" s="17"/>
      <c r="E141" s="6"/>
      <c r="F141" s="19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</row>
    <row r="142" spans="1:25" s="20" customFormat="1" ht="89.25" customHeight="1">
      <c r="A142" s="6"/>
      <c r="B142" s="6"/>
      <c r="C142" s="16"/>
      <c r="D142" s="17"/>
      <c r="E142" s="6"/>
      <c r="F142" s="19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</row>
    <row r="143" spans="1:25" s="20" customFormat="1" ht="89.25" customHeight="1">
      <c r="A143" s="6"/>
      <c r="B143" s="6"/>
      <c r="C143" s="16"/>
      <c r="D143" s="17"/>
      <c r="E143" s="6"/>
      <c r="F143" s="19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</row>
    <row r="144" spans="1:25" s="20" customFormat="1" ht="89.25" customHeight="1">
      <c r="A144" s="6"/>
      <c r="B144" s="6"/>
      <c r="C144" s="16"/>
      <c r="D144" s="17"/>
      <c r="E144" s="6"/>
      <c r="F144" s="19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</row>
    <row r="145" spans="1:25" s="20" customFormat="1" ht="89.25" customHeight="1">
      <c r="A145" s="6"/>
      <c r="B145" s="6"/>
      <c r="C145" s="16"/>
      <c r="D145" s="17"/>
      <c r="E145" s="6"/>
      <c r="F145" s="19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</row>
    <row r="146" spans="1:25" s="20" customFormat="1" ht="89.25" customHeight="1">
      <c r="A146" s="6"/>
      <c r="B146" s="6"/>
      <c r="C146" s="16"/>
      <c r="D146" s="17"/>
      <c r="E146" s="6"/>
      <c r="F146" s="19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</row>
    <row r="147" spans="1:25" s="20" customFormat="1" ht="89.25" customHeight="1">
      <c r="A147" s="6"/>
      <c r="B147" s="6"/>
      <c r="C147" s="16"/>
      <c r="D147" s="17"/>
      <c r="E147" s="6"/>
      <c r="F147" s="19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</row>
    <row r="148" spans="1:25" s="20" customFormat="1" ht="89.25" customHeight="1">
      <c r="A148" s="6"/>
      <c r="B148" s="6"/>
      <c r="C148" s="16"/>
      <c r="D148" s="17"/>
      <c r="E148" s="6"/>
      <c r="F148" s="19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</row>
    <row r="149" spans="1:25" s="20" customFormat="1" ht="89.25" customHeight="1">
      <c r="A149" s="6"/>
      <c r="B149" s="6"/>
      <c r="C149" s="16"/>
      <c r="D149" s="17"/>
      <c r="E149" s="6"/>
      <c r="F149" s="19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</row>
    <row r="150" spans="1:25" s="20" customFormat="1" ht="89.25" customHeight="1">
      <c r="A150" s="6"/>
      <c r="B150" s="6"/>
      <c r="C150" s="16"/>
      <c r="D150" s="17"/>
      <c r="E150" s="6"/>
      <c r="F150" s="19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</row>
    <row r="151" spans="1:25" s="20" customFormat="1" ht="89.25" customHeight="1">
      <c r="A151" s="6"/>
      <c r="B151" s="6"/>
      <c r="C151" s="16"/>
      <c r="D151" s="17"/>
      <c r="E151" s="6"/>
      <c r="F151" s="19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</row>
    <row r="152" spans="1:25" s="20" customFormat="1" ht="89.25" customHeight="1">
      <c r="A152" s="6"/>
      <c r="B152" s="6"/>
      <c r="C152" s="16"/>
      <c r="D152" s="17"/>
      <c r="E152" s="6"/>
      <c r="F152" s="19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</row>
    <row r="153" spans="1:25" s="20" customFormat="1" ht="89.25" customHeight="1">
      <c r="A153" s="6"/>
      <c r="B153" s="6"/>
      <c r="C153" s="16"/>
      <c r="D153" s="17"/>
      <c r="E153" s="6"/>
      <c r="F153" s="19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</row>
    <row r="154" spans="1:25" s="20" customFormat="1" ht="89.25" customHeight="1">
      <c r="A154" s="6"/>
      <c r="B154" s="6"/>
      <c r="C154" s="16"/>
      <c r="D154" s="17"/>
      <c r="E154" s="6"/>
      <c r="F154" s="19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</row>
    <row r="155" spans="1:25" s="20" customFormat="1" ht="89.25" customHeight="1">
      <c r="A155" s="6"/>
      <c r="B155" s="6"/>
      <c r="C155" s="16"/>
      <c r="D155" s="17"/>
      <c r="E155" s="6"/>
      <c r="F155" s="19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</row>
    <row r="156" spans="1:25" s="20" customFormat="1" ht="89.25" customHeight="1">
      <c r="A156" s="6"/>
      <c r="B156" s="6"/>
      <c r="C156" s="16"/>
      <c r="D156" s="17"/>
      <c r="E156" s="6"/>
      <c r="F156" s="19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</row>
    <row r="157" spans="1:25" s="20" customFormat="1" ht="89.25" customHeight="1">
      <c r="A157" s="6"/>
      <c r="B157" s="6"/>
      <c r="C157" s="16"/>
      <c r="D157" s="17"/>
      <c r="E157" s="6"/>
      <c r="F157" s="19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</row>
    <row r="158" spans="1:25" s="20" customFormat="1" ht="89.25" customHeight="1">
      <c r="A158" s="6"/>
      <c r="B158" s="6"/>
      <c r="C158" s="16"/>
      <c r="D158" s="17"/>
      <c r="E158" s="6"/>
      <c r="F158" s="19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</row>
    <row r="159" spans="1:25" s="20" customFormat="1" ht="89.25" customHeight="1">
      <c r="A159" s="6"/>
      <c r="B159" s="6"/>
      <c r="C159" s="16"/>
      <c r="D159" s="17"/>
      <c r="E159" s="6"/>
      <c r="F159" s="19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</row>
    <row r="160" spans="1:25" s="20" customFormat="1" ht="89.25" customHeight="1">
      <c r="A160" s="6"/>
      <c r="B160" s="6"/>
      <c r="C160" s="16"/>
      <c r="D160" s="17"/>
      <c r="E160" s="6"/>
      <c r="F160" s="19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</row>
    <row r="161" spans="1:25" s="20" customFormat="1" ht="89.25" customHeight="1">
      <c r="A161" s="6"/>
      <c r="B161" s="6"/>
      <c r="C161" s="16"/>
      <c r="D161" s="17"/>
      <c r="E161" s="6"/>
      <c r="F161" s="19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</row>
    <row r="162" spans="1:25" s="20" customFormat="1" ht="89.25" customHeight="1">
      <c r="A162" s="6"/>
      <c r="B162" s="6"/>
      <c r="C162" s="16"/>
      <c r="D162" s="17"/>
      <c r="E162" s="6"/>
      <c r="F162" s="19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</row>
    <row r="163" spans="1:25" s="20" customFormat="1" ht="89.25" customHeight="1">
      <c r="A163" s="6"/>
      <c r="B163" s="6"/>
      <c r="C163" s="16"/>
      <c r="D163" s="17"/>
      <c r="E163" s="6"/>
      <c r="F163" s="19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</row>
    <row r="164" spans="1:25" s="20" customFormat="1" ht="89.25" customHeight="1">
      <c r="A164" s="6"/>
      <c r="B164" s="6"/>
      <c r="C164" s="16"/>
      <c r="D164" s="17"/>
      <c r="E164" s="6"/>
      <c r="F164" s="19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</row>
    <row r="165" spans="1:25" s="20" customFormat="1" ht="89.25" customHeight="1">
      <c r="A165" s="6"/>
      <c r="B165" s="6"/>
      <c r="C165" s="16"/>
      <c r="D165" s="17"/>
      <c r="E165" s="6"/>
      <c r="F165" s="19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</row>
    <row r="166" spans="1:25" s="20" customFormat="1" ht="89.25" customHeight="1">
      <c r="A166" s="6"/>
      <c r="B166" s="6"/>
      <c r="C166" s="16"/>
      <c r="D166" s="17"/>
      <c r="E166" s="6"/>
      <c r="F166" s="19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</row>
    <row r="167" spans="1:25" s="20" customFormat="1" ht="89.25" customHeight="1">
      <c r="A167" s="6"/>
      <c r="B167" s="6"/>
      <c r="C167" s="16"/>
      <c r="D167" s="17"/>
      <c r="E167" s="6"/>
      <c r="F167" s="19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</row>
    <row r="168" spans="1:25" s="20" customFormat="1" ht="89.25" customHeight="1">
      <c r="A168" s="6"/>
      <c r="B168" s="6"/>
      <c r="C168" s="16"/>
      <c r="D168" s="17"/>
      <c r="E168" s="6"/>
      <c r="F168" s="19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</row>
    <row r="169" spans="1:25" s="20" customFormat="1" ht="89.25" customHeight="1">
      <c r="A169" s="6"/>
      <c r="B169" s="6"/>
      <c r="C169" s="16"/>
      <c r="D169" s="17"/>
      <c r="E169" s="6"/>
      <c r="F169" s="19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</row>
    <row r="170" spans="1:25" s="20" customFormat="1" ht="89.25" customHeight="1">
      <c r="A170" s="6"/>
      <c r="B170" s="6"/>
      <c r="C170" s="16"/>
      <c r="D170" s="17"/>
      <c r="E170" s="6"/>
      <c r="F170" s="19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</row>
    <row r="171" spans="1:25" s="20" customFormat="1" ht="89.25" customHeight="1">
      <c r="A171" s="6"/>
      <c r="B171" s="6"/>
      <c r="C171" s="16"/>
      <c r="D171" s="17"/>
      <c r="E171" s="6"/>
      <c r="F171" s="19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</row>
    <row r="172" spans="1:25" s="20" customFormat="1" ht="89.25" customHeight="1">
      <c r="A172" s="6"/>
      <c r="B172" s="6"/>
      <c r="C172" s="16"/>
      <c r="D172" s="17"/>
      <c r="E172" s="6"/>
      <c r="F172" s="19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</row>
    <row r="173" spans="1:25" s="20" customFormat="1" ht="89.25" customHeight="1">
      <c r="A173" s="6"/>
      <c r="B173" s="6"/>
      <c r="C173" s="16"/>
      <c r="D173" s="17"/>
      <c r="E173" s="6"/>
      <c r="F173" s="19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</row>
    <row r="174" spans="1:25" s="20" customFormat="1" ht="89.25" customHeight="1">
      <c r="A174" s="6"/>
      <c r="B174" s="6"/>
      <c r="C174" s="16"/>
      <c r="D174" s="17"/>
      <c r="E174" s="6"/>
      <c r="F174" s="19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</row>
    <row r="175" spans="1:25" s="20" customFormat="1" ht="89.25" customHeight="1">
      <c r="A175" s="6"/>
      <c r="B175" s="6"/>
      <c r="C175" s="16"/>
      <c r="D175" s="17"/>
      <c r="E175" s="6"/>
      <c r="F175" s="19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</row>
    <row r="176" spans="1:25" s="20" customFormat="1" ht="89.25" customHeight="1">
      <c r="A176" s="6"/>
      <c r="B176" s="6"/>
      <c r="C176" s="16"/>
      <c r="D176" s="17"/>
      <c r="E176" s="6"/>
      <c r="F176" s="19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</row>
    <row r="177" spans="1:25" s="20" customFormat="1" ht="89.25" customHeight="1">
      <c r="A177" s="6"/>
      <c r="B177" s="6"/>
      <c r="C177" s="16"/>
      <c r="D177" s="17"/>
      <c r="E177" s="6"/>
      <c r="F177" s="19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</row>
    <row r="178" spans="1:25" s="20" customFormat="1" ht="89.25" customHeight="1">
      <c r="A178" s="6"/>
      <c r="B178" s="6"/>
      <c r="C178" s="16"/>
      <c r="D178" s="17"/>
      <c r="E178" s="6"/>
      <c r="F178" s="19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</row>
    <row r="179" spans="1:25" s="20" customFormat="1" ht="89.25" customHeight="1">
      <c r="A179" s="6"/>
      <c r="B179" s="6"/>
      <c r="C179" s="16"/>
      <c r="D179" s="17"/>
      <c r="E179" s="6"/>
      <c r="F179" s="19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</row>
    <row r="180" spans="1:25" s="20" customFormat="1" ht="89.25" customHeight="1">
      <c r="A180" s="6"/>
      <c r="B180" s="6"/>
      <c r="C180" s="16"/>
      <c r="D180" s="17"/>
      <c r="E180" s="6"/>
      <c r="F180" s="19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</row>
    <row r="181" spans="1:25" s="20" customFormat="1" ht="89.25" customHeight="1">
      <c r="A181" s="6"/>
      <c r="B181" s="6"/>
      <c r="C181" s="16"/>
      <c r="D181" s="17"/>
      <c r="E181" s="6"/>
      <c r="F181" s="19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</row>
    <row r="182" spans="1:25" s="20" customFormat="1" ht="89.25" customHeight="1">
      <c r="A182" s="6"/>
      <c r="B182" s="6"/>
      <c r="C182" s="16"/>
      <c r="D182" s="17"/>
      <c r="E182" s="6"/>
      <c r="F182" s="19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</row>
    <row r="183" spans="1:25" s="20" customFormat="1" ht="89.25" customHeight="1">
      <c r="A183" s="6"/>
      <c r="B183" s="6"/>
      <c r="C183" s="16"/>
      <c r="D183" s="17"/>
      <c r="E183" s="6"/>
      <c r="F183" s="19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</row>
    <row r="184" spans="1:25" s="20" customFormat="1" ht="89.25" customHeight="1">
      <c r="A184" s="6"/>
      <c r="B184" s="6"/>
      <c r="C184" s="16"/>
      <c r="D184" s="17"/>
      <c r="E184" s="6"/>
      <c r="F184" s="19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</row>
    <row r="185" spans="1:25" s="20" customFormat="1" ht="89.25" customHeight="1">
      <c r="A185" s="6"/>
      <c r="B185" s="6"/>
      <c r="C185" s="16"/>
      <c r="D185" s="17"/>
      <c r="E185" s="6"/>
      <c r="F185" s="19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</row>
    <row r="186" spans="1:25" s="20" customFormat="1" ht="89.25" customHeight="1">
      <c r="A186" s="6"/>
      <c r="B186" s="6"/>
      <c r="C186" s="16"/>
      <c r="D186" s="17"/>
      <c r="E186" s="6"/>
      <c r="F186" s="19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</row>
    <row r="187" spans="1:25" s="20" customFormat="1" ht="89.25" customHeight="1">
      <c r="A187" s="6"/>
      <c r="B187" s="6"/>
      <c r="C187" s="16"/>
      <c r="D187" s="17"/>
      <c r="E187" s="6"/>
      <c r="F187" s="19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</row>
    <row r="188" spans="1:25" s="20" customFormat="1" ht="89.25" customHeight="1">
      <c r="A188" s="6"/>
      <c r="B188" s="6"/>
      <c r="C188" s="16"/>
      <c r="D188" s="17"/>
      <c r="E188" s="6"/>
      <c r="F188" s="19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</row>
    <row r="189" spans="1:25" s="20" customFormat="1" ht="89.25" customHeight="1">
      <c r="A189" s="6"/>
      <c r="B189" s="6"/>
      <c r="C189" s="16"/>
      <c r="D189" s="17"/>
      <c r="E189" s="6"/>
      <c r="F189" s="19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</row>
    <row r="190" spans="1:25" s="20" customFormat="1" ht="89.25" customHeight="1">
      <c r="A190" s="6"/>
      <c r="B190" s="6"/>
      <c r="C190" s="16"/>
      <c r="D190" s="17"/>
      <c r="E190" s="6"/>
      <c r="F190" s="19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</row>
    <row r="191" spans="1:25" s="20" customFormat="1" ht="89.25" customHeight="1">
      <c r="A191" s="6"/>
      <c r="B191" s="6"/>
      <c r="C191" s="16"/>
      <c r="D191" s="17"/>
      <c r="E191" s="6"/>
      <c r="F191" s="19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</row>
    <row r="192" spans="1:25" s="20" customFormat="1" ht="89.25" customHeight="1">
      <c r="A192" s="6"/>
      <c r="B192" s="6"/>
      <c r="C192" s="16"/>
      <c r="D192" s="17"/>
      <c r="E192" s="6"/>
      <c r="F192" s="19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</row>
    <row r="193" spans="1:25" s="20" customFormat="1" ht="89.25" customHeight="1">
      <c r="A193" s="6"/>
      <c r="B193" s="6"/>
      <c r="C193" s="16"/>
      <c r="D193" s="17"/>
      <c r="E193" s="6"/>
      <c r="F193" s="19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</row>
    <row r="194" spans="1:25" s="20" customFormat="1" ht="89.25" customHeight="1">
      <c r="A194" s="6"/>
      <c r="B194" s="6"/>
      <c r="C194" s="16"/>
      <c r="D194" s="17"/>
      <c r="E194" s="6"/>
      <c r="F194" s="19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</row>
    <row r="195" spans="1:25" s="20" customFormat="1" ht="89.25" customHeight="1">
      <c r="A195" s="6"/>
      <c r="B195" s="6"/>
      <c r="C195" s="16"/>
      <c r="D195" s="17"/>
      <c r="E195" s="6"/>
      <c r="F195" s="19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</row>
    <row r="196" spans="1:25" s="20" customFormat="1" ht="89.25" customHeight="1">
      <c r="A196" s="6"/>
      <c r="B196" s="6"/>
      <c r="C196" s="16"/>
      <c r="D196" s="17"/>
      <c r="E196" s="6"/>
      <c r="F196" s="19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</row>
    <row r="197" spans="1:25" s="20" customFormat="1" ht="89.25" customHeight="1">
      <c r="A197" s="6"/>
      <c r="B197" s="6"/>
      <c r="C197" s="16"/>
      <c r="D197" s="17"/>
      <c r="E197" s="6"/>
      <c r="F197" s="19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</row>
    <row r="198" spans="1:25" s="20" customFormat="1" ht="89.25" customHeight="1">
      <c r="A198" s="6"/>
      <c r="B198" s="6"/>
      <c r="C198" s="16"/>
      <c r="D198" s="17"/>
      <c r="E198" s="6"/>
      <c r="F198" s="19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</row>
    <row r="199" spans="1:25" s="20" customFormat="1" ht="89.25" customHeight="1">
      <c r="A199" s="6"/>
      <c r="B199" s="6"/>
      <c r="C199" s="16"/>
      <c r="D199" s="17"/>
      <c r="E199" s="6"/>
      <c r="F199" s="19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</row>
    <row r="200" spans="1:25" s="20" customFormat="1" ht="89.25" customHeight="1">
      <c r="A200" s="6"/>
      <c r="B200" s="6"/>
      <c r="C200" s="16"/>
      <c r="D200" s="17"/>
      <c r="E200" s="6"/>
      <c r="F200" s="19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</row>
    <row r="201" spans="1:25" s="20" customFormat="1" ht="89.25" customHeight="1">
      <c r="A201" s="6"/>
      <c r="B201" s="6"/>
      <c r="C201" s="16"/>
      <c r="D201" s="17"/>
      <c r="E201" s="6"/>
      <c r="F201" s="19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</row>
    <row r="202" spans="1:25" s="20" customFormat="1" ht="89.25" customHeight="1">
      <c r="A202" s="6"/>
      <c r="B202" s="6"/>
      <c r="C202" s="16"/>
      <c r="D202" s="17"/>
      <c r="E202" s="6"/>
      <c r="F202" s="19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</row>
    <row r="203" spans="1:25" s="20" customFormat="1" ht="89.25" customHeight="1">
      <c r="A203" s="6"/>
      <c r="B203" s="6"/>
      <c r="C203" s="16"/>
      <c r="D203" s="17"/>
      <c r="E203" s="6"/>
      <c r="F203" s="19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</row>
    <row r="204" spans="1:25" s="20" customFormat="1" ht="89.25" customHeight="1">
      <c r="A204" s="6"/>
      <c r="B204" s="6"/>
      <c r="C204" s="16"/>
      <c r="D204" s="17"/>
      <c r="E204" s="6"/>
      <c r="F204" s="19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</row>
    <row r="205" spans="1:25" s="20" customFormat="1" ht="89.25" customHeight="1">
      <c r="A205" s="6"/>
      <c r="B205" s="6"/>
      <c r="C205" s="16"/>
      <c r="D205" s="17"/>
      <c r="E205" s="6"/>
      <c r="F205" s="19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</row>
    <row r="206" spans="1:25" s="20" customFormat="1" ht="89.25" customHeight="1">
      <c r="A206" s="6"/>
      <c r="B206" s="6"/>
      <c r="C206" s="16"/>
      <c r="D206" s="17"/>
      <c r="E206" s="6"/>
      <c r="F206" s="19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</row>
    <row r="207" spans="1:25" s="20" customFormat="1" ht="89.25" customHeight="1">
      <c r="A207" s="6"/>
      <c r="B207" s="6"/>
      <c r="C207" s="16"/>
      <c r="D207" s="17"/>
      <c r="E207" s="6"/>
      <c r="F207" s="19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</row>
    <row r="208" spans="1:25" s="20" customFormat="1" ht="89.25" customHeight="1">
      <c r="A208" s="6"/>
      <c r="B208" s="6"/>
      <c r="C208" s="16"/>
      <c r="D208" s="17"/>
      <c r="E208" s="6"/>
      <c r="F208" s="19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</row>
    <row r="209" spans="1:25" s="20" customFormat="1" ht="89.25" customHeight="1">
      <c r="A209" s="6"/>
      <c r="B209" s="6"/>
      <c r="C209" s="16"/>
      <c r="D209" s="17"/>
      <c r="E209" s="6"/>
      <c r="F209" s="19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</row>
    <row r="210" spans="1:25" s="20" customFormat="1" ht="89.25" customHeight="1">
      <c r="A210" s="6"/>
      <c r="B210" s="6"/>
      <c r="C210" s="16"/>
      <c r="D210" s="17"/>
      <c r="E210" s="6"/>
      <c r="F210" s="19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</row>
    <row r="211" spans="1:25" s="20" customFormat="1" ht="89.25" customHeight="1">
      <c r="A211" s="6"/>
      <c r="B211" s="6"/>
      <c r="C211" s="16"/>
      <c r="D211" s="17"/>
      <c r="E211" s="6"/>
      <c r="F211" s="19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</row>
    <row r="212" spans="1:25" s="20" customFormat="1" ht="89.25" customHeight="1">
      <c r="A212" s="6"/>
      <c r="B212" s="6"/>
      <c r="C212" s="16"/>
      <c r="D212" s="17"/>
      <c r="E212" s="6"/>
      <c r="F212" s="19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</row>
    <row r="213" spans="1:25" s="20" customFormat="1" ht="89.25" customHeight="1">
      <c r="A213" s="6"/>
      <c r="B213" s="6"/>
      <c r="C213" s="16"/>
      <c r="D213" s="17"/>
      <c r="E213" s="6"/>
      <c r="F213" s="19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</row>
    <row r="214" spans="1:25" s="20" customFormat="1" ht="89.25" customHeight="1">
      <c r="A214" s="6"/>
      <c r="B214" s="6"/>
      <c r="C214" s="16"/>
      <c r="D214" s="17"/>
      <c r="E214" s="6"/>
      <c r="F214" s="19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</row>
    <row r="215" spans="1:25" s="20" customFormat="1" ht="89.25" customHeight="1">
      <c r="A215" s="6"/>
      <c r="B215" s="6"/>
      <c r="C215" s="16"/>
      <c r="D215" s="17"/>
      <c r="E215" s="6"/>
      <c r="F215" s="19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</row>
    <row r="216" spans="1:25" s="20" customFormat="1" ht="89.25" customHeight="1">
      <c r="A216" s="6"/>
      <c r="B216" s="6"/>
      <c r="C216" s="16"/>
      <c r="D216" s="17"/>
      <c r="E216" s="6"/>
      <c r="F216" s="19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</row>
    <row r="217" spans="1:25" s="20" customFormat="1" ht="89.25" customHeight="1">
      <c r="A217" s="6"/>
      <c r="B217" s="6"/>
      <c r="C217" s="16"/>
      <c r="D217" s="17"/>
      <c r="E217" s="6"/>
      <c r="F217" s="19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</row>
    <row r="218" spans="1:25" s="20" customFormat="1" ht="89.25" customHeight="1">
      <c r="A218" s="6"/>
      <c r="B218" s="6"/>
      <c r="C218" s="16"/>
      <c r="D218" s="17"/>
      <c r="E218" s="6"/>
      <c r="F218" s="19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</row>
    <row r="219" spans="1:25" s="20" customFormat="1" ht="89.25" customHeight="1">
      <c r="A219" s="6"/>
      <c r="B219" s="6"/>
      <c r="C219" s="16"/>
      <c r="D219" s="17"/>
      <c r="E219" s="6"/>
      <c r="F219" s="19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</row>
    <row r="220" spans="1:25" s="20" customFormat="1" ht="89.25" customHeight="1">
      <c r="A220" s="6"/>
      <c r="B220" s="6"/>
      <c r="C220" s="16"/>
      <c r="D220" s="17"/>
      <c r="E220" s="6"/>
      <c r="F220" s="19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</row>
    <row r="221" spans="1:25" s="20" customFormat="1" ht="89.25" customHeight="1">
      <c r="A221" s="6"/>
      <c r="B221" s="6"/>
      <c r="C221" s="16"/>
      <c r="D221" s="17"/>
      <c r="E221" s="6"/>
      <c r="F221" s="19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</row>
    <row r="222" spans="1:25" s="20" customFormat="1" ht="89.25" customHeight="1">
      <c r="A222" s="6"/>
      <c r="B222" s="6"/>
      <c r="C222" s="16"/>
      <c r="D222" s="17"/>
      <c r="E222" s="6"/>
      <c r="F222" s="19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</row>
    <row r="223" spans="1:25" s="20" customFormat="1" ht="89.25" customHeight="1">
      <c r="A223" s="6"/>
      <c r="B223" s="6"/>
      <c r="C223" s="16"/>
      <c r="D223" s="17"/>
      <c r="E223" s="6"/>
      <c r="F223" s="19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</row>
    <row r="224" spans="1:25" s="20" customFormat="1" ht="89.25" customHeight="1">
      <c r="A224" s="6"/>
      <c r="B224" s="6"/>
      <c r="C224" s="16"/>
      <c r="D224" s="17"/>
      <c r="E224" s="6"/>
      <c r="F224" s="19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</row>
    <row r="225" spans="1:25" s="20" customFormat="1" ht="89.25" customHeight="1">
      <c r="A225" s="6"/>
      <c r="B225" s="6"/>
      <c r="C225" s="16"/>
      <c r="D225" s="17"/>
      <c r="E225" s="6"/>
      <c r="F225" s="19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</row>
    <row r="226" spans="1:25" s="20" customFormat="1" ht="89.25" customHeight="1">
      <c r="A226" s="6"/>
      <c r="B226" s="6"/>
      <c r="C226" s="16"/>
      <c r="D226" s="17"/>
      <c r="E226" s="6"/>
      <c r="F226" s="19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</row>
    <row r="227" spans="1:25" s="20" customFormat="1" ht="89.25" customHeight="1">
      <c r="A227" s="6"/>
      <c r="B227" s="6"/>
      <c r="C227" s="16"/>
      <c r="D227" s="17"/>
      <c r="E227" s="6"/>
      <c r="F227" s="19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</row>
    <row r="228" spans="1:25" s="20" customFormat="1" ht="89.25" customHeight="1">
      <c r="A228" s="6"/>
      <c r="B228" s="6"/>
      <c r="C228" s="16"/>
      <c r="D228" s="17"/>
      <c r="E228" s="6"/>
      <c r="F228" s="19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</row>
    <row r="229" spans="1:25" s="20" customFormat="1" ht="89.25" customHeight="1">
      <c r="A229" s="6"/>
      <c r="B229" s="6"/>
      <c r="C229" s="16"/>
      <c r="D229" s="17"/>
      <c r="E229" s="6"/>
      <c r="F229" s="19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</row>
    <row r="230" spans="1:25" s="20" customFormat="1" ht="89.25" customHeight="1">
      <c r="A230" s="6"/>
      <c r="B230" s="6"/>
      <c r="C230" s="16"/>
      <c r="D230" s="17"/>
      <c r="E230" s="6"/>
      <c r="F230" s="19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</row>
    <row r="231" spans="1:25" s="20" customFormat="1" ht="89.25" customHeight="1">
      <c r="A231" s="6"/>
      <c r="B231" s="6"/>
      <c r="C231" s="16"/>
      <c r="D231" s="17"/>
      <c r="E231" s="6"/>
      <c r="F231" s="19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</row>
    <row r="232" spans="1:25" s="20" customFormat="1" ht="89.25" customHeight="1">
      <c r="A232" s="6"/>
      <c r="B232" s="6"/>
      <c r="C232" s="16"/>
      <c r="D232" s="17"/>
      <c r="E232" s="6"/>
      <c r="F232" s="19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</row>
    <row r="233" spans="1:25" s="20" customFormat="1" ht="89.25" customHeight="1">
      <c r="A233" s="6"/>
      <c r="B233" s="6"/>
      <c r="C233" s="16"/>
      <c r="D233" s="17"/>
      <c r="E233" s="6"/>
      <c r="F233" s="19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</row>
    <row r="234" spans="1:25" s="20" customFormat="1" ht="89.25" customHeight="1">
      <c r="A234" s="6"/>
      <c r="B234" s="6"/>
      <c r="C234" s="16"/>
      <c r="D234" s="17"/>
      <c r="E234" s="6"/>
      <c r="F234" s="19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</row>
    <row r="235" spans="1:25" s="20" customFormat="1" ht="89.25" customHeight="1">
      <c r="A235" s="6"/>
      <c r="B235" s="6"/>
      <c r="C235" s="16"/>
      <c r="D235" s="17"/>
      <c r="E235" s="6"/>
      <c r="F235" s="19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</row>
    <row r="236" spans="1:25" s="20" customFormat="1" ht="89.25" customHeight="1">
      <c r="A236" s="6"/>
      <c r="B236" s="6"/>
      <c r="C236" s="16"/>
      <c r="D236" s="17"/>
      <c r="E236" s="6"/>
      <c r="F236" s="19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</row>
    <row r="237" spans="1:25" s="20" customFormat="1" ht="89.25" customHeight="1">
      <c r="A237" s="6"/>
      <c r="B237" s="6"/>
      <c r="C237" s="16"/>
      <c r="D237" s="17"/>
      <c r="E237" s="6"/>
      <c r="F237" s="19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</row>
  </sheetData>
  <mergeCells count="22">
    <mergeCell ref="D52:E52"/>
    <mergeCell ref="A49:B49"/>
    <mergeCell ref="A14:D14"/>
    <mergeCell ref="A18:D18"/>
    <mergeCell ref="A16:D16"/>
    <mergeCell ref="A17:D17"/>
    <mergeCell ref="A51:B51"/>
    <mergeCell ref="A50:B50"/>
    <mergeCell ref="D51:E51"/>
    <mergeCell ref="D50:E50"/>
    <mergeCell ref="A1:F3"/>
    <mergeCell ref="A5:F5"/>
    <mergeCell ref="A6:F6"/>
    <mergeCell ref="A7:E7"/>
    <mergeCell ref="A9:D9"/>
    <mergeCell ref="A4:F4"/>
    <mergeCell ref="A10:D10"/>
    <mergeCell ref="A13:D13"/>
    <mergeCell ref="A12:D12"/>
    <mergeCell ref="A11:D11"/>
    <mergeCell ref="D49:E49"/>
    <mergeCell ref="A15:D15"/>
  </mergeCells>
  <printOptions horizontalCentered="1" verticalCentered="1"/>
  <pageMargins left="0.59055118110236227" right="0.59055118110236227" top="0.59055118110236227" bottom="0.59055118110236227" header="0.31496062992125984" footer="0.31496062992125984"/>
  <pageSetup paperSize="9" scale="47" orientation="landscape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Hoja24">
    <tabColor rgb="FF00B0F0"/>
    <pageSetUpPr fitToPage="1"/>
  </sheetPr>
  <dimension ref="A1:AG237"/>
  <sheetViews>
    <sheetView showGridLines="0" topLeftCell="A22" zoomScale="80" zoomScaleNormal="80" workbookViewId="0">
      <selection activeCell="F43" sqref="F43"/>
    </sheetView>
  </sheetViews>
  <sheetFormatPr baseColWidth="10" defaultRowHeight="89.25" customHeight="1"/>
  <cols>
    <col min="1" max="2" width="25.28515625" style="6" customWidth="1"/>
    <col min="3" max="3" width="25.28515625" style="16" customWidth="1"/>
    <col min="4" max="4" width="25.28515625" style="17" customWidth="1"/>
    <col min="5" max="5" width="15.28515625" style="6" bestFit="1" customWidth="1"/>
    <col min="6" max="6" width="21.7109375" style="19" bestFit="1" customWidth="1"/>
    <col min="7" max="7" width="19.140625" style="5" bestFit="1" customWidth="1"/>
    <col min="8" max="8" width="18.7109375" style="5" bestFit="1" customWidth="1"/>
    <col min="9" max="10" width="18.7109375" style="5" customWidth="1"/>
    <col min="11" max="25" width="11.42578125" style="5"/>
    <col min="26" max="16384" width="11.42578125" style="6"/>
  </cols>
  <sheetData>
    <row r="1" spans="1:25" s="4" customFormat="1" ht="33.75" customHeight="1">
      <c r="A1" s="1339" t="s">
        <v>757</v>
      </c>
      <c r="B1" s="1339"/>
      <c r="C1" s="1339"/>
      <c r="D1" s="1339"/>
      <c r="E1" s="1339"/>
      <c r="F1" s="1339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spans="1:25" s="4" customFormat="1" ht="33.75" customHeight="1">
      <c r="A2" s="1339"/>
      <c r="B2" s="1339"/>
      <c r="C2" s="1339"/>
      <c r="D2" s="1339"/>
      <c r="E2" s="1339"/>
      <c r="F2" s="1339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 s="4" customFormat="1" ht="15.75">
      <c r="A3" s="1339"/>
      <c r="B3" s="1339"/>
      <c r="C3" s="1339"/>
      <c r="D3" s="1339"/>
      <c r="E3" s="1339"/>
      <c r="F3" s="1339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</row>
    <row r="4" spans="1:25" s="4" customFormat="1" ht="15.75">
      <c r="A4" s="1339" t="str">
        <f>+'Anexo 12 Planadas'!A4:F4</f>
        <v>AL 31 DE JULIO DE 2023</v>
      </c>
      <c r="B4" s="1339"/>
      <c r="C4" s="1339"/>
      <c r="D4" s="1339"/>
      <c r="E4" s="1339"/>
      <c r="F4" s="1339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</row>
    <row r="5" spans="1:25" ht="30" customHeight="1">
      <c r="A5" s="1339" t="s">
        <v>205</v>
      </c>
      <c r="B5" s="1339"/>
      <c r="C5" s="1339"/>
      <c r="D5" s="1339"/>
      <c r="E5" s="1339"/>
      <c r="F5" s="1339"/>
    </row>
    <row r="6" spans="1:25" ht="30" customHeight="1" thickBot="1">
      <c r="A6" s="1339" t="s">
        <v>198</v>
      </c>
      <c r="B6" s="1339"/>
      <c r="C6" s="1339"/>
      <c r="D6" s="1339"/>
      <c r="E6" s="1339"/>
      <c r="F6" s="1339"/>
    </row>
    <row r="7" spans="1:25" ht="30" customHeight="1" thickBot="1">
      <c r="A7" s="1346" t="s">
        <v>1</v>
      </c>
      <c r="B7" s="1347"/>
      <c r="C7" s="1347"/>
      <c r="D7" s="1347"/>
      <c r="E7" s="1347"/>
      <c r="F7" s="7" t="s">
        <v>2</v>
      </c>
    </row>
    <row r="8" spans="1:25" ht="18.600000000000001" customHeight="1">
      <c r="A8" s="8"/>
      <c r="B8" s="9"/>
      <c r="C8" s="9"/>
      <c r="D8" s="9"/>
      <c r="E8" s="10"/>
      <c r="F8" s="11"/>
      <c r="I8" s="12"/>
      <c r="J8" s="12"/>
    </row>
    <row r="9" spans="1:25" ht="18.600000000000001" customHeight="1">
      <c r="A9" s="1342" t="str">
        <f>+'Anexo 12 Planadas'!A9:D9</f>
        <v>TOTAL RENDIMIENTOS GENERADOS POR LOS RECURSOS DEL FONDO DE JULIO DE 2023</v>
      </c>
      <c r="B9" s="1343"/>
      <c r="C9" s="1343"/>
      <c r="D9" s="1343"/>
      <c r="E9" s="259"/>
      <c r="F9" s="260">
        <f>F43</f>
        <v>622261.48999999987</v>
      </c>
      <c r="I9" s="13"/>
      <c r="J9" s="12"/>
    </row>
    <row r="10" spans="1:25" ht="18.600000000000001" customHeight="1">
      <c r="A10" s="1333" t="s">
        <v>213</v>
      </c>
      <c r="B10" s="1334"/>
      <c r="C10" s="1334"/>
      <c r="D10" s="1334"/>
      <c r="E10" s="261">
        <v>13161.29</v>
      </c>
      <c r="F10" s="262"/>
    </row>
    <row r="11" spans="1:25" ht="18.600000000000001" customHeight="1">
      <c r="A11" s="1333" t="s">
        <v>212</v>
      </c>
      <c r="B11" s="1334"/>
      <c r="C11" s="1334"/>
      <c r="D11" s="1334"/>
      <c r="E11" s="261">
        <v>51001.11</v>
      </c>
      <c r="F11" s="262"/>
    </row>
    <row r="12" spans="1:25" ht="18.600000000000001" customHeight="1">
      <c r="A12" s="1333" t="s">
        <v>223</v>
      </c>
      <c r="B12" s="1334"/>
      <c r="C12" s="1334"/>
      <c r="D12" s="1334"/>
      <c r="E12" s="261">
        <v>46204.94</v>
      </c>
      <c r="F12" s="262"/>
    </row>
    <row r="13" spans="1:25" ht="18.600000000000001" customHeight="1">
      <c r="A13" s="1333" t="s">
        <v>231</v>
      </c>
      <c r="B13" s="1334"/>
      <c r="C13" s="1334"/>
      <c r="D13" s="1334"/>
      <c r="E13" s="261">
        <v>51009.38</v>
      </c>
      <c r="F13" s="262"/>
    </row>
    <row r="14" spans="1:25" ht="18.600000000000001" customHeight="1">
      <c r="A14" s="1333" t="s">
        <v>244</v>
      </c>
      <c r="B14" s="1334"/>
      <c r="C14" s="1334"/>
      <c r="D14" s="1334"/>
      <c r="E14" s="261">
        <v>49213.23</v>
      </c>
      <c r="F14" s="262"/>
    </row>
    <row r="15" spans="1:25" ht="15.75" customHeight="1">
      <c r="A15" s="1333" t="s">
        <v>272</v>
      </c>
      <c r="B15" s="1334"/>
      <c r="C15" s="1334"/>
      <c r="D15" s="1334"/>
      <c r="E15" s="261">
        <v>51017.9</v>
      </c>
      <c r="F15" s="262"/>
    </row>
    <row r="16" spans="1:25" ht="18.600000000000001" customHeight="1">
      <c r="A16" s="1333" t="s">
        <v>276</v>
      </c>
      <c r="B16" s="1334"/>
      <c r="C16" s="1334"/>
      <c r="D16" s="1334"/>
      <c r="E16" s="261">
        <v>49221.45</v>
      </c>
      <c r="F16" s="262"/>
    </row>
    <row r="17" spans="1:7" ht="18.600000000000001" customHeight="1">
      <c r="A17" s="1333" t="s">
        <v>294</v>
      </c>
      <c r="B17" s="1334"/>
      <c r="C17" s="1334"/>
      <c r="D17" s="1334"/>
      <c r="E17" s="261">
        <v>51026.42</v>
      </c>
      <c r="F17" s="262"/>
    </row>
    <row r="18" spans="1:7" ht="18.600000000000001" customHeight="1">
      <c r="A18" s="1333" t="s">
        <v>307</v>
      </c>
      <c r="B18" s="1334"/>
      <c r="C18" s="1334"/>
      <c r="D18" s="1334"/>
      <c r="E18" s="261">
        <v>51030.75</v>
      </c>
      <c r="F18" s="262"/>
    </row>
    <row r="19" spans="1:7" ht="18.600000000000001" customHeight="1">
      <c r="A19" s="543" t="s">
        <v>365</v>
      </c>
      <c r="B19" s="544"/>
      <c r="C19" s="544"/>
      <c r="D19" s="544"/>
      <c r="E19" s="261">
        <f>36175.79+1</f>
        <v>36176.79</v>
      </c>
      <c r="F19" s="262"/>
      <c r="G19" s="5" t="str">
        <f>+"+1"</f>
        <v>+1</v>
      </c>
    </row>
    <row r="20" spans="1:7" ht="18.600000000000001" customHeight="1">
      <c r="A20" s="574" t="s">
        <v>427</v>
      </c>
      <c r="B20" s="575"/>
      <c r="C20" s="575"/>
      <c r="D20" s="575"/>
      <c r="E20" s="261">
        <v>16758.900000000001</v>
      </c>
      <c r="F20" s="262"/>
    </row>
    <row r="21" spans="1:7" ht="18.600000000000001" customHeight="1">
      <c r="A21" s="651" t="s">
        <v>462</v>
      </c>
      <c r="B21" s="652"/>
      <c r="C21" s="652"/>
      <c r="D21" s="652"/>
      <c r="E21" s="261">
        <v>5159.42</v>
      </c>
      <c r="F21" s="262"/>
    </row>
    <row r="22" spans="1:7" ht="18.600000000000001" customHeight="1">
      <c r="A22" s="670" t="s">
        <v>494</v>
      </c>
      <c r="B22" s="671"/>
      <c r="C22" s="671"/>
      <c r="D22" s="671"/>
      <c r="E22" s="261">
        <v>5348.62</v>
      </c>
      <c r="F22" s="262"/>
    </row>
    <row r="23" spans="1:7" ht="18.600000000000001" customHeight="1">
      <c r="A23" s="689" t="s">
        <v>501</v>
      </c>
      <c r="B23" s="690"/>
      <c r="C23" s="690"/>
      <c r="D23" s="690"/>
      <c r="E23" s="261">
        <v>5349.07</v>
      </c>
      <c r="F23" s="262"/>
    </row>
    <row r="24" spans="1:7" ht="18.600000000000001" customHeight="1">
      <c r="A24" s="725" t="s">
        <v>515</v>
      </c>
      <c r="B24" s="726"/>
      <c r="C24" s="726"/>
      <c r="D24" s="726"/>
      <c r="E24" s="261">
        <v>4846.04</v>
      </c>
      <c r="F24" s="262"/>
    </row>
    <row r="25" spans="1:7" ht="18.600000000000001" customHeight="1">
      <c r="A25" s="743" t="s">
        <v>520</v>
      </c>
      <c r="B25" s="744"/>
      <c r="C25" s="744"/>
      <c r="D25" s="744"/>
      <c r="E25" s="261">
        <v>5349.94</v>
      </c>
      <c r="F25" s="262"/>
    </row>
    <row r="26" spans="1:7" ht="18.600000000000001" customHeight="1">
      <c r="A26" s="773" t="s">
        <v>537</v>
      </c>
      <c r="B26" s="774"/>
      <c r="C26" s="774"/>
      <c r="D26" s="774"/>
      <c r="E26" s="261">
        <f>5161.55-1</f>
        <v>5160.55</v>
      </c>
      <c r="F26" s="262"/>
      <c r="G26" s="785" t="str">
        <f>"-1"</f>
        <v>-1</v>
      </c>
    </row>
    <row r="27" spans="1:7" ht="18.600000000000001" customHeight="1">
      <c r="A27" s="793" t="s">
        <v>567</v>
      </c>
      <c r="B27" s="794"/>
      <c r="C27" s="794"/>
      <c r="D27" s="794"/>
      <c r="E27" s="261">
        <v>5350.83</v>
      </c>
      <c r="F27" s="262"/>
      <c r="G27" s="785"/>
    </row>
    <row r="28" spans="1:7" ht="18.600000000000001" customHeight="1">
      <c r="A28" s="811" t="s">
        <v>577</v>
      </c>
      <c r="B28" s="812"/>
      <c r="C28" s="812"/>
      <c r="D28" s="812"/>
      <c r="E28" s="261">
        <v>5162.42</v>
      </c>
      <c r="F28" s="262"/>
      <c r="G28" s="785"/>
    </row>
    <row r="29" spans="1:7" ht="18.600000000000001" customHeight="1">
      <c r="A29" s="874" t="s">
        <v>625</v>
      </c>
      <c r="B29" s="875"/>
      <c r="C29" s="875"/>
      <c r="D29" s="875"/>
      <c r="E29" s="261">
        <v>5351.72</v>
      </c>
      <c r="F29" s="262"/>
      <c r="G29" s="785"/>
    </row>
    <row r="30" spans="1:7" ht="18.600000000000001" customHeight="1">
      <c r="A30" s="895" t="s">
        <v>720</v>
      </c>
      <c r="B30" s="896"/>
      <c r="C30" s="896"/>
      <c r="D30" s="896"/>
      <c r="E30" s="261">
        <v>5352.18</v>
      </c>
      <c r="F30" s="262"/>
      <c r="G30" s="785"/>
    </row>
    <row r="31" spans="1:7" ht="18.600000000000001" customHeight="1">
      <c r="A31" s="904" t="s">
        <v>647</v>
      </c>
      <c r="B31" s="905"/>
      <c r="C31" s="905"/>
      <c r="D31" s="905"/>
      <c r="E31" s="261">
        <v>5163.72</v>
      </c>
      <c r="F31" s="262"/>
      <c r="G31" s="785"/>
    </row>
    <row r="32" spans="1:7" ht="18.600000000000001" customHeight="1">
      <c r="A32" s="924" t="s">
        <v>655</v>
      </c>
      <c r="B32" s="925"/>
      <c r="C32" s="925"/>
      <c r="D32" s="925"/>
      <c r="E32" s="261">
        <v>5353.07</v>
      </c>
      <c r="F32" s="262"/>
      <c r="G32" s="785"/>
    </row>
    <row r="33" spans="1:33" ht="18.600000000000001" customHeight="1">
      <c r="A33" s="948" t="s">
        <v>665</v>
      </c>
      <c r="B33" s="949"/>
      <c r="C33" s="949"/>
      <c r="D33" s="949"/>
      <c r="E33" s="261">
        <v>4997.2299999999996</v>
      </c>
      <c r="F33" s="262"/>
      <c r="G33" s="785"/>
    </row>
    <row r="34" spans="1:33" ht="18.600000000000001" customHeight="1">
      <c r="A34" s="966" t="s">
        <v>677</v>
      </c>
      <c r="B34" s="967"/>
      <c r="C34" s="967"/>
      <c r="D34" s="967"/>
      <c r="E34" s="261">
        <v>2751.81</v>
      </c>
      <c r="F34" s="262"/>
      <c r="G34" s="785"/>
    </row>
    <row r="35" spans="1:33" ht="18.600000000000001" customHeight="1">
      <c r="A35" s="989" t="s">
        <v>687</v>
      </c>
      <c r="B35" s="990"/>
      <c r="C35" s="990"/>
      <c r="D35" s="990"/>
      <c r="E35" s="261">
        <v>2752.05</v>
      </c>
      <c r="F35" s="262"/>
      <c r="G35" s="785"/>
    </row>
    <row r="36" spans="1:33" ht="18.600000000000001" customHeight="1">
      <c r="A36" s="1015" t="s">
        <v>720</v>
      </c>
      <c r="B36" s="1016"/>
      <c r="C36" s="1016"/>
      <c r="D36" s="1016"/>
      <c r="E36" s="261">
        <v>2493.2399999999998</v>
      </c>
      <c r="F36" s="262"/>
      <c r="G36" s="785"/>
    </row>
    <row r="37" spans="1:33" ht="18.600000000000001" customHeight="1">
      <c r="A37" s="1032" t="s">
        <v>729</v>
      </c>
      <c r="B37" s="1033"/>
      <c r="C37" s="1033"/>
      <c r="D37" s="1033"/>
      <c r="E37" s="261">
        <v>58605.82</v>
      </c>
      <c r="F37" s="262"/>
      <c r="G37" s="785"/>
    </row>
    <row r="38" spans="1:33" ht="18.600000000000001" customHeight="1">
      <c r="A38" s="1069" t="s">
        <v>748</v>
      </c>
      <c r="B38" s="1070"/>
      <c r="C38" s="1070"/>
      <c r="D38" s="1070"/>
      <c r="E38" s="261">
        <v>5331.17</v>
      </c>
      <c r="F38" s="262"/>
      <c r="G38" s="785"/>
    </row>
    <row r="39" spans="1:33" ht="18.600000000000001" customHeight="1">
      <c r="A39" s="1090" t="str">
        <f>+'Anexo 12 Planadas'!A39</f>
        <v>Rendimientos financieros AL 31 DE MAYO DE 2023</v>
      </c>
      <c r="B39" s="1091"/>
      <c r="C39" s="1091"/>
      <c r="D39" s="1091"/>
      <c r="E39" s="261">
        <v>5544.23</v>
      </c>
      <c r="F39" s="262"/>
      <c r="G39" s="785">
        <f>+SUM(E10:E39)</f>
        <v>611245.28999999992</v>
      </c>
    </row>
    <row r="40" spans="1:33" ht="18.600000000000001" customHeight="1">
      <c r="A40" s="1100" t="str">
        <f>+'Anexo 12 Planadas'!A40</f>
        <v>Rendimientos financieros AL 30 DE JUNIO DE 2023</v>
      </c>
      <c r="B40" s="1101"/>
      <c r="C40" s="1101"/>
      <c r="D40" s="1101"/>
      <c r="E40" s="261">
        <v>5400.19</v>
      </c>
      <c r="F40" s="262"/>
      <c r="G40" s="785"/>
    </row>
    <row r="41" spans="1:33" ht="18.600000000000001" customHeight="1">
      <c r="A41" s="1128" t="str">
        <f>+'Anexo 12 Planadas'!A41</f>
        <v>Rendimientos financieros AL 31 DE JULIO DE 2023</v>
      </c>
      <c r="B41" s="1129"/>
      <c r="C41" s="1129"/>
      <c r="D41" s="1129"/>
      <c r="E41" s="261">
        <v>5616.01</v>
      </c>
      <c r="F41" s="262"/>
      <c r="G41" s="785"/>
    </row>
    <row r="42" spans="1:33" s="5" customFormat="1" ht="18.600000000000001" customHeight="1">
      <c r="A42" s="226"/>
      <c r="B42" s="227"/>
      <c r="C42" s="227"/>
      <c r="D42" s="227"/>
      <c r="E42" s="263"/>
      <c r="F42" s="264"/>
      <c r="G42" s="776" t="s">
        <v>535</v>
      </c>
      <c r="H42" s="775" t="s">
        <v>536</v>
      </c>
      <c r="I42" s="775" t="s">
        <v>516</v>
      </c>
      <c r="J42" s="742" t="s">
        <v>65</v>
      </c>
      <c r="Z42" s="6"/>
      <c r="AA42" s="6"/>
      <c r="AB42" s="6"/>
      <c r="AC42" s="6"/>
      <c r="AD42" s="6"/>
      <c r="AE42" s="6"/>
      <c r="AF42" s="6"/>
      <c r="AG42" s="6"/>
    </row>
    <row r="43" spans="1:33" s="5" customFormat="1" ht="24.75" customHeight="1" thickBot="1">
      <c r="A43" s="14" t="str">
        <f>+'Anexo 12 Planadas'!A43</f>
        <v>TOTAL RENDIMIENTOS DISPONIBLES AL 31 DE JULIO DE 2023</v>
      </c>
      <c r="B43" s="15"/>
      <c r="C43" s="15"/>
      <c r="D43" s="15"/>
      <c r="E43" s="265"/>
      <c r="F43" s="266">
        <f>SUM(E9:E42)</f>
        <v>622261.48999999987</v>
      </c>
      <c r="G43" s="5">
        <f>+F43+Adhesiones!H68</f>
        <v>861975.48999999987</v>
      </c>
      <c r="H43" s="741">
        <f>+G43-F43</f>
        <v>239714</v>
      </c>
      <c r="I43" s="5">
        <f>-'Anexo 3-Porcion C-NC'!B24</f>
        <v>-239714</v>
      </c>
      <c r="J43" s="1018">
        <f>+H43+I43</f>
        <v>0</v>
      </c>
      <c r="Z43" s="6"/>
      <c r="AA43" s="6"/>
      <c r="AB43" s="6"/>
      <c r="AC43" s="6"/>
      <c r="AD43" s="6"/>
      <c r="AE43" s="6"/>
      <c r="AF43" s="6"/>
      <c r="AG43" s="6"/>
    </row>
    <row r="44" spans="1:33" s="20" customFormat="1" ht="15.75">
      <c r="A44" s="6"/>
      <c r="B44" s="6"/>
      <c r="C44" s="16"/>
      <c r="D44" s="17"/>
      <c r="E44" s="18"/>
      <c r="F44" s="19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</row>
    <row r="45" spans="1:33" s="20" customFormat="1" ht="15.75">
      <c r="A45" s="6"/>
      <c r="B45" s="6"/>
      <c r="C45" s="16"/>
      <c r="D45" s="17"/>
      <c r="E45" s="21"/>
      <c r="F45" s="19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</row>
    <row r="46" spans="1:33" s="20" customFormat="1" ht="15.75">
      <c r="A46" s="6"/>
      <c r="B46" s="6"/>
      <c r="C46" s="16"/>
      <c r="D46" s="17"/>
      <c r="E46" s="22"/>
      <c r="F46" s="19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</row>
    <row r="47" spans="1:33" s="20" customFormat="1" ht="15.75">
      <c r="A47" s="6"/>
      <c r="B47" s="6"/>
      <c r="C47" s="16"/>
      <c r="D47" s="17"/>
      <c r="E47" s="22"/>
      <c r="F47" s="19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</row>
    <row r="48" spans="1:33" s="5" customFormat="1" ht="16.5" thickBot="1">
      <c r="A48" s="23"/>
      <c r="B48" s="24"/>
      <c r="C48" s="25"/>
      <c r="D48" s="131"/>
      <c r="E48" s="132"/>
      <c r="F48" s="133"/>
    </row>
    <row r="49" spans="1:25" s="5" customFormat="1" ht="15" customHeight="1">
      <c r="A49" s="1336" t="s">
        <v>135</v>
      </c>
      <c r="B49" s="1336"/>
      <c r="C49" s="1"/>
      <c r="D49" s="1336" t="s">
        <v>517</v>
      </c>
      <c r="E49" s="1336"/>
      <c r="F49" s="224"/>
    </row>
    <row r="50" spans="1:25" s="5" customFormat="1" ht="14.45" customHeight="1">
      <c r="A50" s="1332" t="s">
        <v>145</v>
      </c>
      <c r="B50" s="1332"/>
      <c r="C50" s="2"/>
      <c r="D50" s="1332" t="s">
        <v>519</v>
      </c>
      <c r="E50" s="1332"/>
      <c r="F50" s="225"/>
    </row>
    <row r="51" spans="1:25" s="5" customFormat="1" ht="15.75" customHeight="1">
      <c r="A51" s="1332" t="s">
        <v>48</v>
      </c>
      <c r="B51" s="1332"/>
      <c r="C51" s="2"/>
      <c r="D51" s="1332" t="s">
        <v>48</v>
      </c>
      <c r="E51" s="1332"/>
      <c r="F51" s="225"/>
    </row>
    <row r="52" spans="1:25" s="20" customFormat="1" ht="15.75" customHeight="1">
      <c r="A52" s="6"/>
      <c r="B52" s="6"/>
      <c r="C52" s="16"/>
      <c r="D52" s="1335" t="s">
        <v>518</v>
      </c>
      <c r="E52" s="1335"/>
      <c r="F52" s="22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</row>
    <row r="53" spans="1:25" s="20" customFormat="1" ht="15.75">
      <c r="A53" s="6"/>
      <c r="B53" s="6"/>
      <c r="C53" s="16"/>
      <c r="D53" s="17"/>
      <c r="E53" s="22"/>
      <c r="F53" s="19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</row>
    <row r="54" spans="1:25" s="20" customFormat="1" ht="15.75">
      <c r="A54" s="6"/>
      <c r="B54" s="6"/>
      <c r="C54" s="16"/>
      <c r="D54" s="17"/>
      <c r="E54" s="22"/>
      <c r="F54" s="19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</row>
    <row r="55" spans="1:25" s="20" customFormat="1" ht="15.75">
      <c r="A55" s="27"/>
      <c r="B55" s="27"/>
      <c r="C55" s="27"/>
      <c r="D55" s="27"/>
      <c r="E55" s="27"/>
      <c r="F55" s="19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</row>
    <row r="56" spans="1:25" s="5" customFormat="1" ht="15.75">
      <c r="A56" s="27"/>
      <c r="B56" s="27"/>
      <c r="C56" s="27"/>
      <c r="D56" s="27"/>
      <c r="E56" s="27"/>
      <c r="F56" s="26"/>
    </row>
    <row r="57" spans="1:25" s="5" customFormat="1" ht="15" customHeight="1">
      <c r="A57" s="27"/>
      <c r="B57" s="27"/>
      <c r="C57" s="27"/>
      <c r="D57" s="27"/>
      <c r="E57" s="27"/>
      <c r="F57" s="26"/>
    </row>
    <row r="58" spans="1:25" s="5" customFormat="1" ht="14.45" customHeight="1">
      <c r="A58" s="27"/>
      <c r="B58" s="27"/>
      <c r="C58" s="27"/>
      <c r="D58" s="27"/>
      <c r="E58" s="27"/>
      <c r="F58" s="26"/>
    </row>
    <row r="59" spans="1:25" s="5" customFormat="1" ht="14.45" customHeight="1">
      <c r="A59" s="27"/>
      <c r="B59" s="27"/>
      <c r="C59" s="27"/>
      <c r="D59" s="27"/>
      <c r="E59" s="27"/>
      <c r="F59" s="26"/>
    </row>
    <row r="60" spans="1:25" s="20" customFormat="1" ht="15.75">
      <c r="A60" s="27"/>
      <c r="B60" s="27"/>
      <c r="C60" s="27"/>
      <c r="D60" s="27"/>
      <c r="E60" s="27"/>
      <c r="F60" s="19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</row>
    <row r="61" spans="1:25" s="20" customFormat="1" ht="15.75">
      <c r="A61" s="6"/>
      <c r="B61" s="6"/>
      <c r="C61" s="16"/>
      <c r="D61" s="17"/>
      <c r="E61" s="6"/>
      <c r="F61" s="19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</row>
    <row r="62" spans="1:25" s="20" customFormat="1" ht="15.75">
      <c r="A62" s="6"/>
      <c r="B62" s="6"/>
      <c r="C62" s="16"/>
      <c r="D62" s="17"/>
      <c r="E62" s="6"/>
      <c r="F62" s="19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</row>
    <row r="63" spans="1:25" s="20" customFormat="1" ht="15.75">
      <c r="A63" s="6"/>
      <c r="B63" s="6"/>
      <c r="C63" s="16"/>
      <c r="D63" s="17"/>
      <c r="E63" s="6"/>
      <c r="F63" s="19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</row>
    <row r="64" spans="1:25" s="20" customFormat="1" ht="15.75">
      <c r="A64" s="6"/>
      <c r="B64" s="6"/>
      <c r="C64" s="16"/>
      <c r="D64" s="17"/>
      <c r="E64" s="6"/>
      <c r="F64" s="19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</row>
    <row r="65" spans="1:25" s="20" customFormat="1" ht="15.75">
      <c r="A65" s="6"/>
      <c r="B65" s="6"/>
      <c r="C65" s="16"/>
      <c r="D65" s="17"/>
      <c r="E65" s="6"/>
      <c r="F65" s="19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</row>
    <row r="66" spans="1:25" s="20" customFormat="1" ht="15.75">
      <c r="A66" s="6"/>
      <c r="B66" s="6"/>
      <c r="C66" s="16"/>
      <c r="D66" s="17"/>
      <c r="E66" s="6"/>
      <c r="F66" s="19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</row>
    <row r="67" spans="1:25" s="20" customFormat="1" ht="15.75">
      <c r="A67" s="6"/>
      <c r="B67" s="6"/>
      <c r="C67" s="16"/>
      <c r="D67" s="17"/>
      <c r="E67" s="6"/>
      <c r="F67" s="19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</row>
    <row r="68" spans="1:25" s="20" customFormat="1" ht="15.75">
      <c r="A68" s="6"/>
      <c r="B68" s="6"/>
      <c r="C68" s="16"/>
      <c r="D68" s="17"/>
      <c r="E68" s="6"/>
      <c r="F68" s="19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</row>
    <row r="69" spans="1:25" s="20" customFormat="1" ht="15.75">
      <c r="A69" s="6"/>
      <c r="B69" s="6"/>
      <c r="C69" s="16"/>
      <c r="D69" s="17"/>
      <c r="E69" s="6"/>
      <c r="F69" s="19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</row>
    <row r="70" spans="1:25" s="20" customFormat="1" ht="15.75">
      <c r="A70" s="6"/>
      <c r="B70" s="6"/>
      <c r="C70" s="16"/>
      <c r="D70" s="17"/>
      <c r="E70" s="6"/>
      <c r="F70" s="19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</row>
    <row r="71" spans="1:25" s="20" customFormat="1" ht="15.75">
      <c r="A71" s="6"/>
      <c r="B71" s="6"/>
      <c r="C71" s="16"/>
      <c r="D71" s="17"/>
      <c r="E71" s="6"/>
      <c r="F71" s="19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</row>
    <row r="72" spans="1:25" s="20" customFormat="1" ht="15.75">
      <c r="A72" s="6"/>
      <c r="B72" s="6"/>
      <c r="C72" s="16"/>
      <c r="D72" s="17"/>
      <c r="E72" s="6"/>
      <c r="F72" s="19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</row>
    <row r="73" spans="1:25" s="20" customFormat="1" ht="15.75">
      <c r="A73" s="6"/>
      <c r="B73" s="6"/>
      <c r="C73" s="16"/>
      <c r="D73" s="17"/>
      <c r="E73" s="6"/>
      <c r="F73" s="19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</row>
    <row r="74" spans="1:25" s="20" customFormat="1" ht="15.75">
      <c r="A74" s="6"/>
      <c r="B74" s="6"/>
      <c r="C74" s="16"/>
      <c r="D74" s="17"/>
      <c r="E74" s="6"/>
      <c r="F74" s="19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</row>
    <row r="75" spans="1:25" s="20" customFormat="1" ht="15.75">
      <c r="A75" s="6"/>
      <c r="B75" s="6"/>
      <c r="C75" s="16"/>
      <c r="D75" s="17"/>
      <c r="E75" s="6"/>
      <c r="F75" s="19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</row>
    <row r="76" spans="1:25" s="20" customFormat="1" ht="15.75">
      <c r="A76" s="6"/>
      <c r="B76" s="6"/>
      <c r="C76" s="16"/>
      <c r="D76" s="17"/>
      <c r="E76" s="6"/>
      <c r="F76" s="19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</row>
    <row r="77" spans="1:25" s="20" customFormat="1" ht="15.75">
      <c r="A77" s="6"/>
      <c r="B77" s="6"/>
      <c r="C77" s="16"/>
      <c r="D77" s="17"/>
      <c r="E77" s="6"/>
      <c r="F77" s="19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</row>
    <row r="78" spans="1:25" s="20" customFormat="1" ht="15.75">
      <c r="A78" s="6"/>
      <c r="B78" s="6"/>
      <c r="C78" s="16"/>
      <c r="D78" s="17"/>
      <c r="E78" s="6"/>
      <c r="F78" s="19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</row>
    <row r="79" spans="1:25" s="20" customFormat="1" ht="15.75">
      <c r="A79" s="6"/>
      <c r="B79" s="6"/>
      <c r="C79" s="16"/>
      <c r="D79" s="17"/>
      <c r="E79" s="6"/>
      <c r="F79" s="19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</row>
    <row r="80" spans="1:25" s="20" customFormat="1" ht="89.25" customHeight="1">
      <c r="A80" s="6"/>
      <c r="B80" s="6"/>
      <c r="C80" s="16"/>
      <c r="D80" s="17"/>
      <c r="E80" s="6"/>
      <c r="F80" s="19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</row>
    <row r="81" spans="1:25" s="20" customFormat="1" ht="89.25" customHeight="1">
      <c r="A81" s="6"/>
      <c r="B81" s="6"/>
      <c r="C81" s="16"/>
      <c r="D81" s="17"/>
      <c r="E81" s="6"/>
      <c r="F81" s="19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</row>
    <row r="82" spans="1:25" s="20" customFormat="1" ht="89.25" customHeight="1">
      <c r="A82" s="6"/>
      <c r="B82" s="6"/>
      <c r="C82" s="16"/>
      <c r="D82" s="17"/>
      <c r="E82" s="6"/>
      <c r="F82" s="19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</row>
    <row r="83" spans="1:25" s="20" customFormat="1" ht="89.25" customHeight="1">
      <c r="A83" s="6"/>
      <c r="B83" s="6"/>
      <c r="C83" s="16"/>
      <c r="D83" s="17"/>
      <c r="E83" s="6"/>
      <c r="F83" s="19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</row>
    <row r="84" spans="1:25" s="20" customFormat="1" ht="89.25" customHeight="1">
      <c r="A84" s="6"/>
      <c r="B84" s="6"/>
      <c r="C84" s="16"/>
      <c r="D84" s="17"/>
      <c r="E84" s="6"/>
      <c r="F84" s="19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</row>
    <row r="85" spans="1:25" s="20" customFormat="1" ht="89.25" customHeight="1">
      <c r="A85" s="6"/>
      <c r="B85" s="6"/>
      <c r="C85" s="16"/>
      <c r="D85" s="17"/>
      <c r="E85" s="6"/>
      <c r="F85" s="19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</row>
    <row r="86" spans="1:25" s="20" customFormat="1" ht="89.25" customHeight="1">
      <c r="A86" s="6"/>
      <c r="B86" s="6"/>
      <c r="C86" s="16"/>
      <c r="D86" s="17"/>
      <c r="E86" s="6"/>
      <c r="F86" s="19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</row>
    <row r="87" spans="1:25" s="20" customFormat="1" ht="89.25" customHeight="1">
      <c r="A87" s="6"/>
      <c r="B87" s="6"/>
      <c r="C87" s="16"/>
      <c r="D87" s="17"/>
      <c r="E87" s="6"/>
      <c r="F87" s="19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</row>
    <row r="88" spans="1:25" s="20" customFormat="1" ht="89.25" customHeight="1">
      <c r="A88" s="6"/>
      <c r="B88" s="6"/>
      <c r="C88" s="16"/>
      <c r="D88" s="17"/>
      <c r="E88" s="6"/>
      <c r="F88" s="19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</row>
    <row r="89" spans="1:25" s="20" customFormat="1" ht="89.25" customHeight="1">
      <c r="A89" s="6"/>
      <c r="B89" s="6"/>
      <c r="C89" s="16"/>
      <c r="D89" s="17"/>
      <c r="E89" s="6"/>
      <c r="F89" s="19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</row>
    <row r="90" spans="1:25" s="20" customFormat="1" ht="89.25" customHeight="1">
      <c r="A90" s="6"/>
      <c r="B90" s="6"/>
      <c r="C90" s="16"/>
      <c r="D90" s="17"/>
      <c r="E90" s="6"/>
      <c r="F90" s="19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</row>
    <row r="91" spans="1:25" s="20" customFormat="1" ht="89.25" customHeight="1">
      <c r="A91" s="6"/>
      <c r="B91" s="6"/>
      <c r="C91" s="16"/>
      <c r="D91" s="17"/>
      <c r="E91" s="6"/>
      <c r="F91" s="19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</row>
    <row r="92" spans="1:25" s="20" customFormat="1" ht="89.25" customHeight="1">
      <c r="A92" s="6"/>
      <c r="B92" s="6"/>
      <c r="C92" s="16"/>
      <c r="D92" s="17"/>
      <c r="E92" s="6"/>
      <c r="F92" s="19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</row>
    <row r="93" spans="1:25" s="20" customFormat="1" ht="89.25" customHeight="1">
      <c r="A93" s="6"/>
      <c r="B93" s="6"/>
      <c r="C93" s="16"/>
      <c r="D93" s="17"/>
      <c r="E93" s="6"/>
      <c r="F93" s="19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</row>
    <row r="94" spans="1:25" s="20" customFormat="1" ht="89.25" customHeight="1">
      <c r="A94" s="6"/>
      <c r="B94" s="6"/>
      <c r="C94" s="16"/>
      <c r="D94" s="17"/>
      <c r="E94" s="6"/>
      <c r="F94" s="19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</row>
    <row r="95" spans="1:25" s="20" customFormat="1" ht="89.25" customHeight="1">
      <c r="A95" s="6"/>
      <c r="B95" s="6"/>
      <c r="C95" s="16"/>
      <c r="D95" s="17"/>
      <c r="E95" s="6"/>
      <c r="F95" s="19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</row>
    <row r="96" spans="1:25" s="20" customFormat="1" ht="89.25" customHeight="1">
      <c r="A96" s="6"/>
      <c r="B96" s="6"/>
      <c r="C96" s="16"/>
      <c r="D96" s="17"/>
      <c r="E96" s="6"/>
      <c r="F96" s="19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</row>
    <row r="97" spans="1:25" s="20" customFormat="1" ht="89.25" customHeight="1">
      <c r="A97" s="6"/>
      <c r="B97" s="6"/>
      <c r="C97" s="16"/>
      <c r="D97" s="17"/>
      <c r="E97" s="6"/>
      <c r="F97" s="19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</row>
    <row r="98" spans="1:25" s="20" customFormat="1" ht="89.25" customHeight="1">
      <c r="A98" s="6"/>
      <c r="B98" s="6"/>
      <c r="C98" s="16"/>
      <c r="D98" s="17"/>
      <c r="E98" s="6"/>
      <c r="F98" s="19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</row>
    <row r="99" spans="1:25" s="20" customFormat="1" ht="89.25" customHeight="1">
      <c r="A99" s="6"/>
      <c r="B99" s="6"/>
      <c r="C99" s="16"/>
      <c r="D99" s="17"/>
      <c r="E99" s="6"/>
      <c r="F99" s="19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</row>
    <row r="100" spans="1:25" s="20" customFormat="1" ht="89.25" customHeight="1">
      <c r="A100" s="6"/>
      <c r="B100" s="6"/>
      <c r="C100" s="16"/>
      <c r="D100" s="17"/>
      <c r="E100" s="6"/>
      <c r="F100" s="19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</row>
    <row r="101" spans="1:25" s="20" customFormat="1" ht="89.25" customHeight="1">
      <c r="A101" s="6"/>
      <c r="B101" s="6"/>
      <c r="C101" s="16"/>
      <c r="D101" s="17"/>
      <c r="E101" s="6"/>
      <c r="F101" s="19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</row>
    <row r="102" spans="1:25" s="20" customFormat="1" ht="89.25" customHeight="1">
      <c r="A102" s="6"/>
      <c r="B102" s="6"/>
      <c r="C102" s="16"/>
      <c r="D102" s="17"/>
      <c r="E102" s="6"/>
      <c r="F102" s="19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</row>
    <row r="103" spans="1:25" s="20" customFormat="1" ht="89.25" customHeight="1">
      <c r="A103" s="6"/>
      <c r="B103" s="6"/>
      <c r="C103" s="16"/>
      <c r="D103" s="17"/>
      <c r="E103" s="6"/>
      <c r="F103" s="19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</row>
    <row r="104" spans="1:25" s="20" customFormat="1" ht="89.25" customHeight="1">
      <c r="A104" s="6"/>
      <c r="B104" s="6"/>
      <c r="C104" s="16"/>
      <c r="D104" s="17"/>
      <c r="E104" s="6"/>
      <c r="F104" s="19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</row>
    <row r="105" spans="1:25" s="20" customFormat="1" ht="89.25" customHeight="1">
      <c r="A105" s="6"/>
      <c r="B105" s="6"/>
      <c r="C105" s="16"/>
      <c r="D105" s="17"/>
      <c r="E105" s="6"/>
      <c r="F105" s="19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</row>
    <row r="106" spans="1:25" s="20" customFormat="1" ht="89.25" customHeight="1">
      <c r="A106" s="6"/>
      <c r="B106" s="6"/>
      <c r="C106" s="16"/>
      <c r="D106" s="17"/>
      <c r="E106" s="6"/>
      <c r="F106" s="19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</row>
    <row r="107" spans="1:25" s="20" customFormat="1" ht="89.25" customHeight="1">
      <c r="A107" s="6"/>
      <c r="B107" s="6"/>
      <c r="C107" s="16"/>
      <c r="D107" s="17"/>
      <c r="E107" s="6"/>
      <c r="F107" s="19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</row>
    <row r="108" spans="1:25" s="20" customFormat="1" ht="89.25" customHeight="1">
      <c r="A108" s="6"/>
      <c r="B108" s="6"/>
      <c r="C108" s="16"/>
      <c r="D108" s="17"/>
      <c r="E108" s="6"/>
      <c r="F108" s="19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</row>
    <row r="109" spans="1:25" s="20" customFormat="1" ht="89.25" customHeight="1">
      <c r="A109" s="6"/>
      <c r="B109" s="6"/>
      <c r="C109" s="16"/>
      <c r="D109" s="17"/>
      <c r="E109" s="6"/>
      <c r="F109" s="19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</row>
    <row r="110" spans="1:25" s="20" customFormat="1" ht="89.25" customHeight="1">
      <c r="A110" s="6"/>
      <c r="B110" s="6"/>
      <c r="C110" s="16"/>
      <c r="D110" s="17"/>
      <c r="E110" s="6"/>
      <c r="F110" s="19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</row>
    <row r="111" spans="1:25" s="20" customFormat="1" ht="89.25" customHeight="1">
      <c r="A111" s="6"/>
      <c r="B111" s="6"/>
      <c r="C111" s="16"/>
      <c r="D111" s="17"/>
      <c r="E111" s="6"/>
      <c r="F111" s="19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</row>
    <row r="112" spans="1:25" s="20" customFormat="1" ht="89.25" customHeight="1">
      <c r="A112" s="6"/>
      <c r="B112" s="6"/>
      <c r="C112" s="16"/>
      <c r="D112" s="17"/>
      <c r="E112" s="6"/>
      <c r="F112" s="19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</row>
    <row r="113" spans="1:25" s="20" customFormat="1" ht="89.25" customHeight="1">
      <c r="A113" s="6"/>
      <c r="B113" s="6"/>
      <c r="C113" s="16"/>
      <c r="D113" s="17"/>
      <c r="E113" s="6"/>
      <c r="F113" s="19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</row>
    <row r="114" spans="1:25" s="20" customFormat="1" ht="89.25" customHeight="1">
      <c r="A114" s="6"/>
      <c r="B114" s="6"/>
      <c r="C114" s="16"/>
      <c r="D114" s="17"/>
      <c r="E114" s="6"/>
      <c r="F114" s="19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</row>
    <row r="115" spans="1:25" s="20" customFormat="1" ht="89.25" customHeight="1">
      <c r="A115" s="6"/>
      <c r="B115" s="6"/>
      <c r="C115" s="16"/>
      <c r="D115" s="17"/>
      <c r="E115" s="6"/>
      <c r="F115" s="19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</row>
    <row r="116" spans="1:25" s="20" customFormat="1" ht="89.25" customHeight="1">
      <c r="A116" s="6"/>
      <c r="B116" s="6"/>
      <c r="C116" s="16"/>
      <c r="D116" s="17"/>
      <c r="E116" s="6"/>
      <c r="F116" s="19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</row>
    <row r="117" spans="1:25" s="20" customFormat="1" ht="89.25" customHeight="1">
      <c r="A117" s="6"/>
      <c r="B117" s="6"/>
      <c r="C117" s="16"/>
      <c r="D117" s="17"/>
      <c r="E117" s="6"/>
      <c r="F117" s="19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</row>
    <row r="118" spans="1:25" s="20" customFormat="1" ht="89.25" customHeight="1">
      <c r="A118" s="6"/>
      <c r="B118" s="6"/>
      <c r="C118" s="16"/>
      <c r="D118" s="17"/>
      <c r="E118" s="6"/>
      <c r="F118" s="19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</row>
    <row r="119" spans="1:25" s="20" customFormat="1" ht="89.25" customHeight="1">
      <c r="A119" s="6"/>
      <c r="B119" s="6"/>
      <c r="C119" s="16"/>
      <c r="D119" s="17"/>
      <c r="E119" s="6"/>
      <c r="F119" s="19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</row>
    <row r="120" spans="1:25" s="20" customFormat="1" ht="89.25" customHeight="1">
      <c r="A120" s="6"/>
      <c r="B120" s="6"/>
      <c r="C120" s="16"/>
      <c r="D120" s="17"/>
      <c r="E120" s="6"/>
      <c r="F120" s="19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</row>
    <row r="121" spans="1:25" s="20" customFormat="1" ht="89.25" customHeight="1">
      <c r="A121" s="6"/>
      <c r="B121" s="6"/>
      <c r="C121" s="16"/>
      <c r="D121" s="17"/>
      <c r="E121" s="6"/>
      <c r="F121" s="19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</row>
    <row r="122" spans="1:25" s="20" customFormat="1" ht="89.25" customHeight="1">
      <c r="A122" s="6"/>
      <c r="B122" s="6"/>
      <c r="C122" s="16"/>
      <c r="D122" s="17"/>
      <c r="E122" s="6"/>
      <c r="F122" s="19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</row>
    <row r="123" spans="1:25" s="20" customFormat="1" ht="89.25" customHeight="1">
      <c r="A123" s="6"/>
      <c r="B123" s="6"/>
      <c r="C123" s="16"/>
      <c r="D123" s="17"/>
      <c r="E123" s="6"/>
      <c r="F123" s="19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</row>
    <row r="124" spans="1:25" s="20" customFormat="1" ht="89.25" customHeight="1">
      <c r="A124" s="6"/>
      <c r="B124" s="6"/>
      <c r="C124" s="16"/>
      <c r="D124" s="17"/>
      <c r="E124" s="6"/>
      <c r="F124" s="19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</row>
    <row r="125" spans="1:25" s="20" customFormat="1" ht="89.25" customHeight="1">
      <c r="A125" s="6"/>
      <c r="B125" s="6"/>
      <c r="C125" s="16"/>
      <c r="D125" s="17"/>
      <c r="E125" s="6"/>
      <c r="F125" s="19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</row>
    <row r="126" spans="1:25" s="20" customFormat="1" ht="89.25" customHeight="1">
      <c r="A126" s="6"/>
      <c r="B126" s="6"/>
      <c r="C126" s="16"/>
      <c r="D126" s="17"/>
      <c r="E126" s="6"/>
      <c r="F126" s="19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</row>
    <row r="127" spans="1:25" s="20" customFormat="1" ht="89.25" customHeight="1">
      <c r="A127" s="6"/>
      <c r="B127" s="6"/>
      <c r="C127" s="16"/>
      <c r="D127" s="17"/>
      <c r="E127" s="6"/>
      <c r="F127" s="19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</row>
    <row r="128" spans="1:25" s="20" customFormat="1" ht="89.25" customHeight="1">
      <c r="A128" s="6"/>
      <c r="B128" s="6"/>
      <c r="C128" s="16"/>
      <c r="D128" s="17"/>
      <c r="E128" s="6"/>
      <c r="F128" s="19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</row>
    <row r="129" spans="1:25" s="20" customFormat="1" ht="89.25" customHeight="1">
      <c r="A129" s="6"/>
      <c r="B129" s="6"/>
      <c r="C129" s="16"/>
      <c r="D129" s="17"/>
      <c r="E129" s="6"/>
      <c r="F129" s="19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</row>
    <row r="130" spans="1:25" s="20" customFormat="1" ht="89.25" customHeight="1">
      <c r="A130" s="6"/>
      <c r="B130" s="6"/>
      <c r="C130" s="16"/>
      <c r="D130" s="17"/>
      <c r="E130" s="6"/>
      <c r="F130" s="19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</row>
    <row r="131" spans="1:25" s="20" customFormat="1" ht="89.25" customHeight="1">
      <c r="A131" s="6"/>
      <c r="B131" s="6"/>
      <c r="C131" s="16"/>
      <c r="D131" s="17"/>
      <c r="E131" s="6"/>
      <c r="F131" s="19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</row>
    <row r="132" spans="1:25" s="20" customFormat="1" ht="89.25" customHeight="1">
      <c r="A132" s="6"/>
      <c r="B132" s="6"/>
      <c r="C132" s="16"/>
      <c r="D132" s="17"/>
      <c r="E132" s="6"/>
      <c r="F132" s="19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</row>
    <row r="133" spans="1:25" s="20" customFormat="1" ht="89.25" customHeight="1">
      <c r="A133" s="6"/>
      <c r="B133" s="6"/>
      <c r="C133" s="16"/>
      <c r="D133" s="17"/>
      <c r="E133" s="6"/>
      <c r="F133" s="19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</row>
    <row r="134" spans="1:25" s="20" customFormat="1" ht="89.25" customHeight="1">
      <c r="A134" s="6"/>
      <c r="B134" s="6"/>
      <c r="C134" s="16"/>
      <c r="D134" s="17"/>
      <c r="E134" s="6"/>
      <c r="F134" s="19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</row>
    <row r="135" spans="1:25" s="20" customFormat="1" ht="89.25" customHeight="1">
      <c r="A135" s="6"/>
      <c r="B135" s="6"/>
      <c r="C135" s="16"/>
      <c r="D135" s="17"/>
      <c r="E135" s="6"/>
      <c r="F135" s="19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</row>
    <row r="136" spans="1:25" s="20" customFormat="1" ht="89.25" customHeight="1">
      <c r="A136" s="6"/>
      <c r="B136" s="6"/>
      <c r="C136" s="16"/>
      <c r="D136" s="17"/>
      <c r="E136" s="6"/>
      <c r="F136" s="19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</row>
    <row r="137" spans="1:25" s="20" customFormat="1" ht="89.25" customHeight="1">
      <c r="A137" s="6"/>
      <c r="B137" s="6"/>
      <c r="C137" s="16"/>
      <c r="D137" s="17"/>
      <c r="E137" s="6"/>
      <c r="F137" s="19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</row>
    <row r="138" spans="1:25" s="20" customFormat="1" ht="89.25" customHeight="1">
      <c r="A138" s="6"/>
      <c r="B138" s="6"/>
      <c r="C138" s="16"/>
      <c r="D138" s="17"/>
      <c r="E138" s="6"/>
      <c r="F138" s="19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</row>
    <row r="139" spans="1:25" s="20" customFormat="1" ht="89.25" customHeight="1">
      <c r="A139" s="6"/>
      <c r="B139" s="6"/>
      <c r="C139" s="16"/>
      <c r="D139" s="17"/>
      <c r="E139" s="6"/>
      <c r="F139" s="19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</row>
    <row r="140" spans="1:25" s="20" customFormat="1" ht="89.25" customHeight="1">
      <c r="A140" s="6"/>
      <c r="B140" s="6"/>
      <c r="C140" s="16"/>
      <c r="D140" s="17"/>
      <c r="E140" s="6"/>
      <c r="F140" s="19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</row>
    <row r="141" spans="1:25" s="20" customFormat="1" ht="89.25" customHeight="1">
      <c r="A141" s="6"/>
      <c r="B141" s="6"/>
      <c r="C141" s="16"/>
      <c r="D141" s="17"/>
      <c r="E141" s="6"/>
      <c r="F141" s="19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</row>
    <row r="142" spans="1:25" s="20" customFormat="1" ht="89.25" customHeight="1">
      <c r="A142" s="6"/>
      <c r="B142" s="6"/>
      <c r="C142" s="16"/>
      <c r="D142" s="17"/>
      <c r="E142" s="6"/>
      <c r="F142" s="19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</row>
    <row r="143" spans="1:25" s="20" customFormat="1" ht="89.25" customHeight="1">
      <c r="A143" s="6"/>
      <c r="B143" s="6"/>
      <c r="C143" s="16"/>
      <c r="D143" s="17"/>
      <c r="E143" s="6"/>
      <c r="F143" s="19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</row>
    <row r="144" spans="1:25" s="20" customFormat="1" ht="89.25" customHeight="1">
      <c r="A144" s="6"/>
      <c r="B144" s="6"/>
      <c r="C144" s="16"/>
      <c r="D144" s="17"/>
      <c r="E144" s="6"/>
      <c r="F144" s="19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</row>
    <row r="145" spans="1:25" s="20" customFormat="1" ht="89.25" customHeight="1">
      <c r="A145" s="6"/>
      <c r="B145" s="6"/>
      <c r="C145" s="16"/>
      <c r="D145" s="17"/>
      <c r="E145" s="6"/>
      <c r="F145" s="19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</row>
    <row r="146" spans="1:25" s="20" customFormat="1" ht="89.25" customHeight="1">
      <c r="A146" s="6"/>
      <c r="B146" s="6"/>
      <c r="C146" s="16"/>
      <c r="D146" s="17"/>
      <c r="E146" s="6"/>
      <c r="F146" s="19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</row>
    <row r="147" spans="1:25" s="20" customFormat="1" ht="89.25" customHeight="1">
      <c r="A147" s="6"/>
      <c r="B147" s="6"/>
      <c r="C147" s="16"/>
      <c r="D147" s="17"/>
      <c r="E147" s="6"/>
      <c r="F147" s="19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</row>
    <row r="148" spans="1:25" s="20" customFormat="1" ht="89.25" customHeight="1">
      <c r="A148" s="6"/>
      <c r="B148" s="6"/>
      <c r="C148" s="16"/>
      <c r="D148" s="17"/>
      <c r="E148" s="6"/>
      <c r="F148" s="19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</row>
    <row r="149" spans="1:25" s="20" customFormat="1" ht="89.25" customHeight="1">
      <c r="A149" s="6"/>
      <c r="B149" s="6"/>
      <c r="C149" s="16"/>
      <c r="D149" s="17"/>
      <c r="E149" s="6"/>
      <c r="F149" s="19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</row>
    <row r="150" spans="1:25" s="20" customFormat="1" ht="89.25" customHeight="1">
      <c r="A150" s="6"/>
      <c r="B150" s="6"/>
      <c r="C150" s="16"/>
      <c r="D150" s="17"/>
      <c r="E150" s="6"/>
      <c r="F150" s="19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</row>
    <row r="151" spans="1:25" s="20" customFormat="1" ht="89.25" customHeight="1">
      <c r="A151" s="6"/>
      <c r="B151" s="6"/>
      <c r="C151" s="16"/>
      <c r="D151" s="17"/>
      <c r="E151" s="6"/>
      <c r="F151" s="19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</row>
    <row r="152" spans="1:25" s="20" customFormat="1" ht="89.25" customHeight="1">
      <c r="A152" s="6"/>
      <c r="B152" s="6"/>
      <c r="C152" s="16"/>
      <c r="D152" s="17"/>
      <c r="E152" s="6"/>
      <c r="F152" s="19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</row>
    <row r="153" spans="1:25" s="20" customFormat="1" ht="89.25" customHeight="1">
      <c r="A153" s="6"/>
      <c r="B153" s="6"/>
      <c r="C153" s="16"/>
      <c r="D153" s="17"/>
      <c r="E153" s="6"/>
      <c r="F153" s="19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</row>
    <row r="154" spans="1:25" s="20" customFormat="1" ht="89.25" customHeight="1">
      <c r="A154" s="6"/>
      <c r="B154" s="6"/>
      <c r="C154" s="16"/>
      <c r="D154" s="17"/>
      <c r="E154" s="6"/>
      <c r="F154" s="19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</row>
    <row r="155" spans="1:25" s="20" customFormat="1" ht="89.25" customHeight="1">
      <c r="A155" s="6"/>
      <c r="B155" s="6"/>
      <c r="C155" s="16"/>
      <c r="D155" s="17"/>
      <c r="E155" s="6"/>
      <c r="F155" s="19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</row>
    <row r="156" spans="1:25" s="20" customFormat="1" ht="89.25" customHeight="1">
      <c r="A156" s="6"/>
      <c r="B156" s="6"/>
      <c r="C156" s="16"/>
      <c r="D156" s="17"/>
      <c r="E156" s="6"/>
      <c r="F156" s="19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</row>
    <row r="157" spans="1:25" s="20" customFormat="1" ht="89.25" customHeight="1">
      <c r="A157" s="6"/>
      <c r="B157" s="6"/>
      <c r="C157" s="16"/>
      <c r="D157" s="17"/>
      <c r="E157" s="6"/>
      <c r="F157" s="19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</row>
    <row r="158" spans="1:25" s="20" customFormat="1" ht="89.25" customHeight="1">
      <c r="A158" s="6"/>
      <c r="B158" s="6"/>
      <c r="C158" s="16"/>
      <c r="D158" s="17"/>
      <c r="E158" s="6"/>
      <c r="F158" s="19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</row>
    <row r="159" spans="1:25" s="20" customFormat="1" ht="89.25" customHeight="1">
      <c r="A159" s="6"/>
      <c r="B159" s="6"/>
      <c r="C159" s="16"/>
      <c r="D159" s="17"/>
      <c r="E159" s="6"/>
      <c r="F159" s="19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</row>
    <row r="160" spans="1:25" s="20" customFormat="1" ht="89.25" customHeight="1">
      <c r="A160" s="6"/>
      <c r="B160" s="6"/>
      <c r="C160" s="16"/>
      <c r="D160" s="17"/>
      <c r="E160" s="6"/>
      <c r="F160" s="19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</row>
    <row r="161" spans="1:25" s="20" customFormat="1" ht="89.25" customHeight="1">
      <c r="A161" s="6"/>
      <c r="B161" s="6"/>
      <c r="C161" s="16"/>
      <c r="D161" s="17"/>
      <c r="E161" s="6"/>
      <c r="F161" s="19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</row>
    <row r="162" spans="1:25" s="20" customFormat="1" ht="89.25" customHeight="1">
      <c r="A162" s="6"/>
      <c r="B162" s="6"/>
      <c r="C162" s="16"/>
      <c r="D162" s="17"/>
      <c r="E162" s="6"/>
      <c r="F162" s="19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</row>
    <row r="163" spans="1:25" s="20" customFormat="1" ht="89.25" customHeight="1">
      <c r="A163" s="6"/>
      <c r="B163" s="6"/>
      <c r="C163" s="16"/>
      <c r="D163" s="17"/>
      <c r="E163" s="6"/>
      <c r="F163" s="19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</row>
    <row r="164" spans="1:25" s="20" customFormat="1" ht="89.25" customHeight="1">
      <c r="A164" s="6"/>
      <c r="B164" s="6"/>
      <c r="C164" s="16"/>
      <c r="D164" s="17"/>
      <c r="E164" s="6"/>
      <c r="F164" s="19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</row>
    <row r="165" spans="1:25" s="20" customFormat="1" ht="89.25" customHeight="1">
      <c r="A165" s="6"/>
      <c r="B165" s="6"/>
      <c r="C165" s="16"/>
      <c r="D165" s="17"/>
      <c r="E165" s="6"/>
      <c r="F165" s="19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</row>
    <row r="166" spans="1:25" s="20" customFormat="1" ht="89.25" customHeight="1">
      <c r="A166" s="6"/>
      <c r="B166" s="6"/>
      <c r="C166" s="16"/>
      <c r="D166" s="17"/>
      <c r="E166" s="6"/>
      <c r="F166" s="19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</row>
    <row r="167" spans="1:25" s="20" customFormat="1" ht="89.25" customHeight="1">
      <c r="A167" s="6"/>
      <c r="B167" s="6"/>
      <c r="C167" s="16"/>
      <c r="D167" s="17"/>
      <c r="E167" s="6"/>
      <c r="F167" s="19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</row>
    <row r="168" spans="1:25" s="20" customFormat="1" ht="89.25" customHeight="1">
      <c r="A168" s="6"/>
      <c r="B168" s="6"/>
      <c r="C168" s="16"/>
      <c r="D168" s="17"/>
      <c r="E168" s="6"/>
      <c r="F168" s="19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</row>
    <row r="169" spans="1:25" s="20" customFormat="1" ht="89.25" customHeight="1">
      <c r="A169" s="6"/>
      <c r="B169" s="6"/>
      <c r="C169" s="16"/>
      <c r="D169" s="17"/>
      <c r="E169" s="6"/>
      <c r="F169" s="19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</row>
    <row r="170" spans="1:25" s="20" customFormat="1" ht="89.25" customHeight="1">
      <c r="A170" s="6"/>
      <c r="B170" s="6"/>
      <c r="C170" s="16"/>
      <c r="D170" s="17"/>
      <c r="E170" s="6"/>
      <c r="F170" s="19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</row>
    <row r="171" spans="1:25" s="20" customFormat="1" ht="89.25" customHeight="1">
      <c r="A171" s="6"/>
      <c r="B171" s="6"/>
      <c r="C171" s="16"/>
      <c r="D171" s="17"/>
      <c r="E171" s="6"/>
      <c r="F171" s="19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</row>
    <row r="172" spans="1:25" s="20" customFormat="1" ht="89.25" customHeight="1">
      <c r="A172" s="6"/>
      <c r="B172" s="6"/>
      <c r="C172" s="16"/>
      <c r="D172" s="17"/>
      <c r="E172" s="6"/>
      <c r="F172" s="19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</row>
    <row r="173" spans="1:25" s="20" customFormat="1" ht="89.25" customHeight="1">
      <c r="A173" s="6"/>
      <c r="B173" s="6"/>
      <c r="C173" s="16"/>
      <c r="D173" s="17"/>
      <c r="E173" s="6"/>
      <c r="F173" s="19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</row>
    <row r="174" spans="1:25" s="20" customFormat="1" ht="89.25" customHeight="1">
      <c r="A174" s="6"/>
      <c r="B174" s="6"/>
      <c r="C174" s="16"/>
      <c r="D174" s="17"/>
      <c r="E174" s="6"/>
      <c r="F174" s="19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</row>
    <row r="175" spans="1:25" s="20" customFormat="1" ht="89.25" customHeight="1">
      <c r="A175" s="6"/>
      <c r="B175" s="6"/>
      <c r="C175" s="16"/>
      <c r="D175" s="17"/>
      <c r="E175" s="6"/>
      <c r="F175" s="19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</row>
    <row r="176" spans="1:25" s="20" customFormat="1" ht="89.25" customHeight="1">
      <c r="A176" s="6"/>
      <c r="B176" s="6"/>
      <c r="C176" s="16"/>
      <c r="D176" s="17"/>
      <c r="E176" s="6"/>
      <c r="F176" s="19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</row>
    <row r="177" spans="1:25" s="20" customFormat="1" ht="89.25" customHeight="1">
      <c r="A177" s="6"/>
      <c r="B177" s="6"/>
      <c r="C177" s="16"/>
      <c r="D177" s="17"/>
      <c r="E177" s="6"/>
      <c r="F177" s="19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</row>
    <row r="178" spans="1:25" s="20" customFormat="1" ht="89.25" customHeight="1">
      <c r="A178" s="6"/>
      <c r="B178" s="6"/>
      <c r="C178" s="16"/>
      <c r="D178" s="17"/>
      <c r="E178" s="6"/>
      <c r="F178" s="19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</row>
    <row r="179" spans="1:25" s="20" customFormat="1" ht="89.25" customHeight="1">
      <c r="A179" s="6"/>
      <c r="B179" s="6"/>
      <c r="C179" s="16"/>
      <c r="D179" s="17"/>
      <c r="E179" s="6"/>
      <c r="F179" s="19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</row>
    <row r="180" spans="1:25" s="20" customFormat="1" ht="89.25" customHeight="1">
      <c r="A180" s="6"/>
      <c r="B180" s="6"/>
      <c r="C180" s="16"/>
      <c r="D180" s="17"/>
      <c r="E180" s="6"/>
      <c r="F180" s="19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</row>
    <row r="181" spans="1:25" s="20" customFormat="1" ht="89.25" customHeight="1">
      <c r="A181" s="6"/>
      <c r="B181" s="6"/>
      <c r="C181" s="16"/>
      <c r="D181" s="17"/>
      <c r="E181" s="6"/>
      <c r="F181" s="19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</row>
    <row r="182" spans="1:25" s="20" customFormat="1" ht="89.25" customHeight="1">
      <c r="A182" s="6"/>
      <c r="B182" s="6"/>
      <c r="C182" s="16"/>
      <c r="D182" s="17"/>
      <c r="E182" s="6"/>
      <c r="F182" s="19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</row>
    <row r="183" spans="1:25" s="20" customFormat="1" ht="89.25" customHeight="1">
      <c r="A183" s="6"/>
      <c r="B183" s="6"/>
      <c r="C183" s="16"/>
      <c r="D183" s="17"/>
      <c r="E183" s="6"/>
      <c r="F183" s="19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</row>
    <row r="184" spans="1:25" s="20" customFormat="1" ht="89.25" customHeight="1">
      <c r="A184" s="6"/>
      <c r="B184" s="6"/>
      <c r="C184" s="16"/>
      <c r="D184" s="17"/>
      <c r="E184" s="6"/>
      <c r="F184" s="19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</row>
    <row r="185" spans="1:25" s="20" customFormat="1" ht="89.25" customHeight="1">
      <c r="A185" s="6"/>
      <c r="B185" s="6"/>
      <c r="C185" s="16"/>
      <c r="D185" s="17"/>
      <c r="E185" s="6"/>
      <c r="F185" s="19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</row>
    <row r="186" spans="1:25" s="20" customFormat="1" ht="89.25" customHeight="1">
      <c r="A186" s="6"/>
      <c r="B186" s="6"/>
      <c r="C186" s="16"/>
      <c r="D186" s="17"/>
      <c r="E186" s="6"/>
      <c r="F186" s="19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</row>
    <row r="187" spans="1:25" s="20" customFormat="1" ht="89.25" customHeight="1">
      <c r="A187" s="6"/>
      <c r="B187" s="6"/>
      <c r="C187" s="16"/>
      <c r="D187" s="17"/>
      <c r="E187" s="6"/>
      <c r="F187" s="19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</row>
    <row r="188" spans="1:25" s="20" customFormat="1" ht="89.25" customHeight="1">
      <c r="A188" s="6"/>
      <c r="B188" s="6"/>
      <c r="C188" s="16"/>
      <c r="D188" s="17"/>
      <c r="E188" s="6"/>
      <c r="F188" s="19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</row>
    <row r="189" spans="1:25" s="20" customFormat="1" ht="89.25" customHeight="1">
      <c r="A189" s="6"/>
      <c r="B189" s="6"/>
      <c r="C189" s="16"/>
      <c r="D189" s="17"/>
      <c r="E189" s="6"/>
      <c r="F189" s="19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</row>
    <row r="190" spans="1:25" s="20" customFormat="1" ht="89.25" customHeight="1">
      <c r="A190" s="6"/>
      <c r="B190" s="6"/>
      <c r="C190" s="16"/>
      <c r="D190" s="17"/>
      <c r="E190" s="6"/>
      <c r="F190" s="19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</row>
    <row r="191" spans="1:25" s="20" customFormat="1" ht="89.25" customHeight="1">
      <c r="A191" s="6"/>
      <c r="B191" s="6"/>
      <c r="C191" s="16"/>
      <c r="D191" s="17"/>
      <c r="E191" s="6"/>
      <c r="F191" s="19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</row>
    <row r="192" spans="1:25" s="20" customFormat="1" ht="89.25" customHeight="1">
      <c r="A192" s="6"/>
      <c r="B192" s="6"/>
      <c r="C192" s="16"/>
      <c r="D192" s="17"/>
      <c r="E192" s="6"/>
      <c r="F192" s="19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</row>
    <row r="193" spans="1:25" s="20" customFormat="1" ht="89.25" customHeight="1">
      <c r="A193" s="6"/>
      <c r="B193" s="6"/>
      <c r="C193" s="16"/>
      <c r="D193" s="17"/>
      <c r="E193" s="6"/>
      <c r="F193" s="19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</row>
    <row r="194" spans="1:25" s="20" customFormat="1" ht="89.25" customHeight="1">
      <c r="A194" s="6"/>
      <c r="B194" s="6"/>
      <c r="C194" s="16"/>
      <c r="D194" s="17"/>
      <c r="E194" s="6"/>
      <c r="F194" s="19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</row>
    <row r="195" spans="1:25" s="20" customFormat="1" ht="89.25" customHeight="1">
      <c r="A195" s="6"/>
      <c r="B195" s="6"/>
      <c r="C195" s="16"/>
      <c r="D195" s="17"/>
      <c r="E195" s="6"/>
      <c r="F195" s="19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</row>
    <row r="196" spans="1:25" s="20" customFormat="1" ht="89.25" customHeight="1">
      <c r="A196" s="6"/>
      <c r="B196" s="6"/>
      <c r="C196" s="16"/>
      <c r="D196" s="17"/>
      <c r="E196" s="6"/>
      <c r="F196" s="19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</row>
    <row r="197" spans="1:25" s="20" customFormat="1" ht="89.25" customHeight="1">
      <c r="A197" s="6"/>
      <c r="B197" s="6"/>
      <c r="C197" s="16"/>
      <c r="D197" s="17"/>
      <c r="E197" s="6"/>
      <c r="F197" s="19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</row>
    <row r="198" spans="1:25" s="20" customFormat="1" ht="89.25" customHeight="1">
      <c r="A198" s="6"/>
      <c r="B198" s="6"/>
      <c r="C198" s="16"/>
      <c r="D198" s="17"/>
      <c r="E198" s="6"/>
      <c r="F198" s="19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</row>
    <row r="199" spans="1:25" s="20" customFormat="1" ht="89.25" customHeight="1">
      <c r="A199" s="6"/>
      <c r="B199" s="6"/>
      <c r="C199" s="16"/>
      <c r="D199" s="17"/>
      <c r="E199" s="6"/>
      <c r="F199" s="19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</row>
    <row r="200" spans="1:25" s="20" customFormat="1" ht="89.25" customHeight="1">
      <c r="A200" s="6"/>
      <c r="B200" s="6"/>
      <c r="C200" s="16"/>
      <c r="D200" s="17"/>
      <c r="E200" s="6"/>
      <c r="F200" s="19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</row>
    <row r="201" spans="1:25" s="20" customFormat="1" ht="89.25" customHeight="1">
      <c r="A201" s="6"/>
      <c r="B201" s="6"/>
      <c r="C201" s="16"/>
      <c r="D201" s="17"/>
      <c r="E201" s="6"/>
      <c r="F201" s="19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</row>
    <row r="202" spans="1:25" s="20" customFormat="1" ht="89.25" customHeight="1">
      <c r="A202" s="6"/>
      <c r="B202" s="6"/>
      <c r="C202" s="16"/>
      <c r="D202" s="17"/>
      <c r="E202" s="6"/>
      <c r="F202" s="19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</row>
    <row r="203" spans="1:25" s="20" customFormat="1" ht="89.25" customHeight="1">
      <c r="A203" s="6"/>
      <c r="B203" s="6"/>
      <c r="C203" s="16"/>
      <c r="D203" s="17"/>
      <c r="E203" s="6"/>
      <c r="F203" s="19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</row>
    <row r="204" spans="1:25" s="20" customFormat="1" ht="89.25" customHeight="1">
      <c r="A204" s="6"/>
      <c r="B204" s="6"/>
      <c r="C204" s="16"/>
      <c r="D204" s="17"/>
      <c r="E204" s="6"/>
      <c r="F204" s="19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</row>
    <row r="205" spans="1:25" s="20" customFormat="1" ht="89.25" customHeight="1">
      <c r="A205" s="6"/>
      <c r="B205" s="6"/>
      <c r="C205" s="16"/>
      <c r="D205" s="17"/>
      <c r="E205" s="6"/>
      <c r="F205" s="19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</row>
    <row r="206" spans="1:25" s="20" customFormat="1" ht="89.25" customHeight="1">
      <c r="A206" s="6"/>
      <c r="B206" s="6"/>
      <c r="C206" s="16"/>
      <c r="D206" s="17"/>
      <c r="E206" s="6"/>
      <c r="F206" s="19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</row>
    <row r="207" spans="1:25" s="20" customFormat="1" ht="89.25" customHeight="1">
      <c r="A207" s="6"/>
      <c r="B207" s="6"/>
      <c r="C207" s="16"/>
      <c r="D207" s="17"/>
      <c r="E207" s="6"/>
      <c r="F207" s="19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</row>
    <row r="208" spans="1:25" s="20" customFormat="1" ht="89.25" customHeight="1">
      <c r="A208" s="6"/>
      <c r="B208" s="6"/>
      <c r="C208" s="16"/>
      <c r="D208" s="17"/>
      <c r="E208" s="6"/>
      <c r="F208" s="19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</row>
    <row r="209" spans="1:25" s="20" customFormat="1" ht="89.25" customHeight="1">
      <c r="A209" s="6"/>
      <c r="B209" s="6"/>
      <c r="C209" s="16"/>
      <c r="D209" s="17"/>
      <c r="E209" s="6"/>
      <c r="F209" s="19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</row>
    <row r="210" spans="1:25" s="20" customFormat="1" ht="89.25" customHeight="1">
      <c r="A210" s="6"/>
      <c r="B210" s="6"/>
      <c r="C210" s="16"/>
      <c r="D210" s="17"/>
      <c r="E210" s="6"/>
      <c r="F210" s="19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</row>
    <row r="211" spans="1:25" s="20" customFormat="1" ht="89.25" customHeight="1">
      <c r="A211" s="6"/>
      <c r="B211" s="6"/>
      <c r="C211" s="16"/>
      <c r="D211" s="17"/>
      <c r="E211" s="6"/>
      <c r="F211" s="19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</row>
    <row r="212" spans="1:25" s="20" customFormat="1" ht="89.25" customHeight="1">
      <c r="A212" s="6"/>
      <c r="B212" s="6"/>
      <c r="C212" s="16"/>
      <c r="D212" s="17"/>
      <c r="E212" s="6"/>
      <c r="F212" s="19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</row>
    <row r="213" spans="1:25" s="20" customFormat="1" ht="89.25" customHeight="1">
      <c r="A213" s="6"/>
      <c r="B213" s="6"/>
      <c r="C213" s="16"/>
      <c r="D213" s="17"/>
      <c r="E213" s="6"/>
      <c r="F213" s="19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</row>
    <row r="214" spans="1:25" s="20" customFormat="1" ht="89.25" customHeight="1">
      <c r="A214" s="6"/>
      <c r="B214" s="6"/>
      <c r="C214" s="16"/>
      <c r="D214" s="17"/>
      <c r="E214" s="6"/>
      <c r="F214" s="19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</row>
    <row r="215" spans="1:25" s="20" customFormat="1" ht="89.25" customHeight="1">
      <c r="A215" s="6"/>
      <c r="B215" s="6"/>
      <c r="C215" s="16"/>
      <c r="D215" s="17"/>
      <c r="E215" s="6"/>
      <c r="F215" s="19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</row>
    <row r="216" spans="1:25" s="20" customFormat="1" ht="89.25" customHeight="1">
      <c r="A216" s="6"/>
      <c r="B216" s="6"/>
      <c r="C216" s="16"/>
      <c r="D216" s="17"/>
      <c r="E216" s="6"/>
      <c r="F216" s="19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</row>
    <row r="217" spans="1:25" s="20" customFormat="1" ht="89.25" customHeight="1">
      <c r="A217" s="6"/>
      <c r="B217" s="6"/>
      <c r="C217" s="16"/>
      <c r="D217" s="17"/>
      <c r="E217" s="6"/>
      <c r="F217" s="19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</row>
    <row r="218" spans="1:25" s="20" customFormat="1" ht="89.25" customHeight="1">
      <c r="A218" s="6"/>
      <c r="B218" s="6"/>
      <c r="C218" s="16"/>
      <c r="D218" s="17"/>
      <c r="E218" s="6"/>
      <c r="F218" s="19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</row>
    <row r="219" spans="1:25" s="20" customFormat="1" ht="89.25" customHeight="1">
      <c r="A219" s="6"/>
      <c r="B219" s="6"/>
      <c r="C219" s="16"/>
      <c r="D219" s="17"/>
      <c r="E219" s="6"/>
      <c r="F219" s="19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</row>
    <row r="220" spans="1:25" s="20" customFormat="1" ht="89.25" customHeight="1">
      <c r="A220" s="6"/>
      <c r="B220" s="6"/>
      <c r="C220" s="16"/>
      <c r="D220" s="17"/>
      <c r="E220" s="6"/>
      <c r="F220" s="19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</row>
    <row r="221" spans="1:25" s="20" customFormat="1" ht="89.25" customHeight="1">
      <c r="A221" s="6"/>
      <c r="B221" s="6"/>
      <c r="C221" s="16"/>
      <c r="D221" s="17"/>
      <c r="E221" s="6"/>
      <c r="F221" s="19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</row>
    <row r="222" spans="1:25" s="20" customFormat="1" ht="89.25" customHeight="1">
      <c r="A222" s="6"/>
      <c r="B222" s="6"/>
      <c r="C222" s="16"/>
      <c r="D222" s="17"/>
      <c r="E222" s="6"/>
      <c r="F222" s="19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</row>
    <row r="223" spans="1:25" s="20" customFormat="1" ht="89.25" customHeight="1">
      <c r="A223" s="6"/>
      <c r="B223" s="6"/>
      <c r="C223" s="16"/>
      <c r="D223" s="17"/>
      <c r="E223" s="6"/>
      <c r="F223" s="19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</row>
    <row r="224" spans="1:25" s="20" customFormat="1" ht="89.25" customHeight="1">
      <c r="A224" s="6"/>
      <c r="B224" s="6"/>
      <c r="C224" s="16"/>
      <c r="D224" s="17"/>
      <c r="E224" s="6"/>
      <c r="F224" s="19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</row>
    <row r="225" spans="1:25" s="20" customFormat="1" ht="89.25" customHeight="1">
      <c r="A225" s="6"/>
      <c r="B225" s="6"/>
      <c r="C225" s="16"/>
      <c r="D225" s="17"/>
      <c r="E225" s="6"/>
      <c r="F225" s="19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</row>
    <row r="226" spans="1:25" s="20" customFormat="1" ht="89.25" customHeight="1">
      <c r="A226" s="6"/>
      <c r="B226" s="6"/>
      <c r="C226" s="16"/>
      <c r="D226" s="17"/>
      <c r="E226" s="6"/>
      <c r="F226" s="19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</row>
    <row r="227" spans="1:25" s="20" customFormat="1" ht="89.25" customHeight="1">
      <c r="A227" s="6"/>
      <c r="B227" s="6"/>
      <c r="C227" s="16"/>
      <c r="D227" s="17"/>
      <c r="E227" s="6"/>
      <c r="F227" s="19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</row>
    <row r="228" spans="1:25" s="20" customFormat="1" ht="89.25" customHeight="1">
      <c r="A228" s="6"/>
      <c r="B228" s="6"/>
      <c r="C228" s="16"/>
      <c r="D228" s="17"/>
      <c r="E228" s="6"/>
      <c r="F228" s="19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</row>
    <row r="229" spans="1:25" s="20" customFormat="1" ht="89.25" customHeight="1">
      <c r="A229" s="6"/>
      <c r="B229" s="6"/>
      <c r="C229" s="16"/>
      <c r="D229" s="17"/>
      <c r="E229" s="6"/>
      <c r="F229" s="19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</row>
    <row r="230" spans="1:25" s="20" customFormat="1" ht="89.25" customHeight="1">
      <c r="A230" s="6"/>
      <c r="B230" s="6"/>
      <c r="C230" s="16"/>
      <c r="D230" s="17"/>
      <c r="E230" s="6"/>
      <c r="F230" s="19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</row>
    <row r="231" spans="1:25" s="20" customFormat="1" ht="89.25" customHeight="1">
      <c r="A231" s="6"/>
      <c r="B231" s="6"/>
      <c r="C231" s="16"/>
      <c r="D231" s="17"/>
      <c r="E231" s="6"/>
      <c r="F231" s="19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</row>
    <row r="232" spans="1:25" s="20" customFormat="1" ht="89.25" customHeight="1">
      <c r="A232" s="6"/>
      <c r="B232" s="6"/>
      <c r="C232" s="16"/>
      <c r="D232" s="17"/>
      <c r="E232" s="6"/>
      <c r="F232" s="19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</row>
    <row r="233" spans="1:25" s="20" customFormat="1" ht="89.25" customHeight="1">
      <c r="A233" s="6"/>
      <c r="B233" s="6"/>
      <c r="C233" s="16"/>
      <c r="D233" s="17"/>
      <c r="E233" s="6"/>
      <c r="F233" s="19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</row>
    <row r="234" spans="1:25" s="20" customFormat="1" ht="89.25" customHeight="1">
      <c r="A234" s="6"/>
      <c r="B234" s="6"/>
      <c r="C234" s="16"/>
      <c r="D234" s="17"/>
      <c r="E234" s="6"/>
      <c r="F234" s="19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</row>
    <row r="235" spans="1:25" s="20" customFormat="1" ht="89.25" customHeight="1">
      <c r="A235" s="6"/>
      <c r="B235" s="6"/>
      <c r="C235" s="16"/>
      <c r="D235" s="17"/>
      <c r="E235" s="6"/>
      <c r="F235" s="19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</row>
    <row r="236" spans="1:25" s="20" customFormat="1" ht="89.25" customHeight="1">
      <c r="A236" s="6"/>
      <c r="B236" s="6"/>
      <c r="C236" s="16"/>
      <c r="D236" s="17"/>
      <c r="E236" s="6"/>
      <c r="F236" s="19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</row>
    <row r="237" spans="1:25" s="20" customFormat="1" ht="89.25" customHeight="1">
      <c r="A237" s="6"/>
      <c r="B237" s="6"/>
      <c r="C237" s="16"/>
      <c r="D237" s="17"/>
      <c r="E237" s="6"/>
      <c r="F237" s="19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</row>
  </sheetData>
  <mergeCells count="22">
    <mergeCell ref="D52:E52"/>
    <mergeCell ref="A49:B49"/>
    <mergeCell ref="A14:D14"/>
    <mergeCell ref="A18:D18"/>
    <mergeCell ref="A16:D16"/>
    <mergeCell ref="A17:D17"/>
    <mergeCell ref="A51:B51"/>
    <mergeCell ref="A50:B50"/>
    <mergeCell ref="D51:E51"/>
    <mergeCell ref="D50:E50"/>
    <mergeCell ref="A1:F3"/>
    <mergeCell ref="A5:F5"/>
    <mergeCell ref="A6:F6"/>
    <mergeCell ref="A7:E7"/>
    <mergeCell ref="A9:D9"/>
    <mergeCell ref="A4:F4"/>
    <mergeCell ref="A10:D10"/>
    <mergeCell ref="A13:D13"/>
    <mergeCell ref="A12:D12"/>
    <mergeCell ref="A11:D11"/>
    <mergeCell ref="D49:E49"/>
    <mergeCell ref="A15:D15"/>
  </mergeCells>
  <printOptions horizontalCentered="1" verticalCentered="1"/>
  <pageMargins left="0.59055118110236227" right="0.59055118110236227" top="0.59055118110236227" bottom="0.59055118110236227" header="0.31496062992125984" footer="0.31496062992125984"/>
  <pageSetup paperSize="9" scale="47" orientation="landscape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Hoja25">
    <tabColor rgb="FF00B0F0"/>
    <pageSetUpPr fitToPage="1"/>
  </sheetPr>
  <dimension ref="A1:AG237"/>
  <sheetViews>
    <sheetView showGridLines="0" topLeftCell="A22" zoomScale="80" zoomScaleNormal="80" workbookViewId="0">
      <selection activeCell="F43" sqref="F43"/>
    </sheetView>
  </sheetViews>
  <sheetFormatPr baseColWidth="10" defaultRowHeight="89.25" customHeight="1"/>
  <cols>
    <col min="1" max="2" width="25.28515625" style="6" customWidth="1"/>
    <col min="3" max="3" width="25.28515625" style="16" customWidth="1"/>
    <col min="4" max="4" width="25.28515625" style="17" customWidth="1"/>
    <col min="5" max="5" width="15.28515625" style="6" bestFit="1" customWidth="1"/>
    <col min="6" max="6" width="21.7109375" style="19" bestFit="1" customWidth="1"/>
    <col min="7" max="7" width="19.140625" style="5" bestFit="1" customWidth="1"/>
    <col min="8" max="8" width="18.7109375" style="5" bestFit="1" customWidth="1"/>
    <col min="9" max="10" width="18.7109375" style="5" customWidth="1"/>
    <col min="11" max="25" width="11.42578125" style="5"/>
    <col min="26" max="16384" width="11.42578125" style="6"/>
  </cols>
  <sheetData>
    <row r="1" spans="1:25" s="4" customFormat="1" ht="33.75" customHeight="1">
      <c r="A1" s="1339" t="s">
        <v>758</v>
      </c>
      <c r="B1" s="1339"/>
      <c r="C1" s="1339"/>
      <c r="D1" s="1339"/>
      <c r="E1" s="1339"/>
      <c r="F1" s="1339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spans="1:25" s="4" customFormat="1" ht="33.75" customHeight="1">
      <c r="A2" s="1339"/>
      <c r="B2" s="1339"/>
      <c r="C2" s="1339"/>
      <c r="D2" s="1339"/>
      <c r="E2" s="1339"/>
      <c r="F2" s="1339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 s="4" customFormat="1" ht="15.75">
      <c r="A3" s="1339"/>
      <c r="B3" s="1339"/>
      <c r="C3" s="1339"/>
      <c r="D3" s="1339"/>
      <c r="E3" s="1339"/>
      <c r="F3" s="1339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</row>
    <row r="4" spans="1:25" s="4" customFormat="1" ht="15.75">
      <c r="A4" s="1345" t="str">
        <f>+'Anexo 13 Caldas'!A4:F4</f>
        <v>AL 31 DE JULIO DE 2023</v>
      </c>
      <c r="B4" s="1345"/>
      <c r="C4" s="1345"/>
      <c r="D4" s="1345"/>
      <c r="E4" s="1345"/>
      <c r="F4" s="1345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</row>
    <row r="5" spans="1:25" ht="30" customHeight="1">
      <c r="A5" s="1339" t="s">
        <v>205</v>
      </c>
      <c r="B5" s="1339"/>
      <c r="C5" s="1339"/>
      <c r="D5" s="1339"/>
      <c r="E5" s="1339"/>
      <c r="F5" s="1339"/>
    </row>
    <row r="6" spans="1:25" ht="30" customHeight="1" thickBot="1">
      <c r="A6" s="1339" t="s">
        <v>199</v>
      </c>
      <c r="B6" s="1339"/>
      <c r="C6" s="1339"/>
      <c r="D6" s="1339"/>
      <c r="E6" s="1339"/>
      <c r="F6" s="1339"/>
    </row>
    <row r="7" spans="1:25" ht="30" customHeight="1" thickBot="1">
      <c r="A7" s="1346" t="s">
        <v>1</v>
      </c>
      <c r="B7" s="1347"/>
      <c r="C7" s="1347"/>
      <c r="D7" s="1347"/>
      <c r="E7" s="1347"/>
      <c r="F7" s="7" t="s">
        <v>2</v>
      </c>
    </row>
    <row r="8" spans="1:25" ht="18.600000000000001" customHeight="1">
      <c r="A8" s="8"/>
      <c r="B8" s="9"/>
      <c r="C8" s="9"/>
      <c r="D8" s="9"/>
      <c r="E8" s="10"/>
      <c r="F8" s="11"/>
      <c r="I8" s="12"/>
      <c r="J8" s="12"/>
    </row>
    <row r="9" spans="1:25" ht="18.600000000000001" customHeight="1">
      <c r="A9" s="1342" t="str">
        <f>+'Anexo 13 Caldas'!A9:D9</f>
        <v>TOTAL RENDIMIENTOS GENERADOS POR LOS RECURSOS DEL FONDO DE JULIO DE 2023</v>
      </c>
      <c r="B9" s="1343"/>
      <c r="C9" s="1343"/>
      <c r="D9" s="1343"/>
      <c r="E9" s="259"/>
      <c r="F9" s="260">
        <f>F43</f>
        <v>238818.10999999993</v>
      </c>
      <c r="I9" s="13"/>
      <c r="J9" s="12"/>
    </row>
    <row r="10" spans="1:25" ht="18.600000000000001" customHeight="1">
      <c r="A10" s="1333" t="s">
        <v>213</v>
      </c>
      <c r="B10" s="1334"/>
      <c r="C10" s="1334"/>
      <c r="D10" s="1334"/>
      <c r="E10" s="261">
        <v>9596.77</v>
      </c>
      <c r="F10" s="262"/>
    </row>
    <row r="11" spans="1:25" ht="18.600000000000001" customHeight="1">
      <c r="A11" s="1333" t="s">
        <v>212</v>
      </c>
      <c r="B11" s="1334"/>
      <c r="C11" s="1334"/>
      <c r="D11" s="1334"/>
      <c r="E11" s="261">
        <v>29750.81</v>
      </c>
      <c r="F11" s="262"/>
    </row>
    <row r="12" spans="1:25" ht="18.600000000000001" customHeight="1">
      <c r="A12" s="1333" t="s">
        <v>223</v>
      </c>
      <c r="B12" s="1334"/>
      <c r="C12" s="1334"/>
      <c r="D12" s="1334"/>
      <c r="E12" s="261">
        <v>26953.02</v>
      </c>
      <c r="F12" s="262"/>
    </row>
    <row r="13" spans="1:25" ht="18.600000000000001" customHeight="1">
      <c r="A13" s="1333" t="s">
        <v>231</v>
      </c>
      <c r="B13" s="1334"/>
      <c r="C13" s="1334"/>
      <c r="D13" s="1334"/>
      <c r="E13" s="261">
        <v>29755.63</v>
      </c>
      <c r="F13" s="262"/>
    </row>
    <row r="14" spans="1:25" ht="18.600000000000001" customHeight="1">
      <c r="A14" s="1333" t="s">
        <v>244</v>
      </c>
      <c r="B14" s="1334"/>
      <c r="C14" s="1334"/>
      <c r="D14" s="1334"/>
      <c r="E14" s="261">
        <v>28707.87</v>
      </c>
      <c r="F14" s="262"/>
    </row>
    <row r="15" spans="1:25" ht="15.75" customHeight="1">
      <c r="A15" s="1333" t="s">
        <v>272</v>
      </c>
      <c r="B15" s="1334"/>
      <c r="C15" s="1334"/>
      <c r="D15" s="1334"/>
      <c r="E15" s="261">
        <v>29760.6</v>
      </c>
      <c r="F15" s="262"/>
    </row>
    <row r="16" spans="1:25" ht="18.600000000000001" customHeight="1">
      <c r="A16" s="1333" t="s">
        <v>276</v>
      </c>
      <c r="B16" s="1334"/>
      <c r="C16" s="1334"/>
      <c r="D16" s="1334"/>
      <c r="E16" s="261">
        <v>28712.67</v>
      </c>
      <c r="F16" s="262"/>
    </row>
    <row r="17" spans="1:7" ht="18.600000000000001" customHeight="1">
      <c r="A17" s="1333" t="s">
        <v>294</v>
      </c>
      <c r="B17" s="1334"/>
      <c r="C17" s="1334"/>
      <c r="D17" s="1334"/>
      <c r="E17" s="261">
        <f>19757.54+1</f>
        <v>19758.54</v>
      </c>
      <c r="F17" s="262"/>
      <c r="G17" s="5" t="str">
        <f>+"+1"</f>
        <v>+1</v>
      </c>
    </row>
    <row r="18" spans="1:7" ht="18.600000000000001" customHeight="1">
      <c r="A18" s="1333" t="s">
        <v>307</v>
      </c>
      <c r="B18" s="1334"/>
      <c r="C18" s="1334"/>
      <c r="D18" s="1334"/>
      <c r="E18" s="261">
        <v>1562.8</v>
      </c>
      <c r="F18" s="262"/>
    </row>
    <row r="19" spans="1:7" ht="18.600000000000001" customHeight="1">
      <c r="A19" s="543" t="s">
        <v>365</v>
      </c>
      <c r="B19" s="544"/>
      <c r="C19" s="544"/>
      <c r="D19" s="544"/>
      <c r="E19" s="261">
        <v>1507.77</v>
      </c>
      <c r="F19" s="262"/>
    </row>
    <row r="20" spans="1:7" ht="18.600000000000001" customHeight="1">
      <c r="A20" s="574" t="s">
        <v>427</v>
      </c>
      <c r="B20" s="575"/>
      <c r="C20" s="575"/>
      <c r="D20" s="575"/>
      <c r="E20" s="261">
        <v>1563.06</v>
      </c>
      <c r="F20" s="262"/>
    </row>
    <row r="21" spans="1:7" ht="18.600000000000001" customHeight="1">
      <c r="A21" s="651" t="s">
        <v>462</v>
      </c>
      <c r="B21" s="652"/>
      <c r="C21" s="652"/>
      <c r="D21" s="652"/>
      <c r="E21" s="261">
        <v>1508.02</v>
      </c>
      <c r="F21" s="262"/>
    </row>
    <row r="22" spans="1:7" ht="18.600000000000001" customHeight="1">
      <c r="A22" s="670" t="s">
        <v>494</v>
      </c>
      <c r="B22" s="671"/>
      <c r="C22" s="671"/>
      <c r="D22" s="671"/>
      <c r="E22" s="261">
        <v>1563.32</v>
      </c>
      <c r="F22" s="262"/>
    </row>
    <row r="23" spans="1:7" ht="18.600000000000001" customHeight="1">
      <c r="A23" s="689" t="s">
        <v>501</v>
      </c>
      <c r="B23" s="690"/>
      <c r="C23" s="690"/>
      <c r="D23" s="690"/>
      <c r="E23" s="261">
        <v>1563.46</v>
      </c>
      <c r="F23" s="262"/>
    </row>
    <row r="24" spans="1:7" ht="18.600000000000001" customHeight="1">
      <c r="A24" s="725" t="s">
        <v>515</v>
      </c>
      <c r="B24" s="726"/>
      <c r="C24" s="726"/>
      <c r="D24" s="726"/>
      <c r="E24" s="261">
        <v>1416.43</v>
      </c>
      <c r="F24" s="262"/>
    </row>
    <row r="25" spans="1:7" ht="18.600000000000001" customHeight="1">
      <c r="A25" s="743" t="s">
        <v>520</v>
      </c>
      <c r="B25" s="744"/>
      <c r="C25" s="744"/>
      <c r="D25" s="744"/>
      <c r="E25" s="261">
        <v>1563.71</v>
      </c>
      <c r="F25" s="262"/>
    </row>
    <row r="26" spans="1:7" ht="18.600000000000001" customHeight="1">
      <c r="A26" s="773" t="s">
        <v>537</v>
      </c>
      <c r="B26" s="774"/>
      <c r="C26" s="774"/>
      <c r="D26" s="774"/>
      <c r="E26" s="261">
        <f>1508.65-1</f>
        <v>1507.65</v>
      </c>
      <c r="F26" s="262"/>
      <c r="G26" s="785" t="str">
        <f>"-1"</f>
        <v>-1</v>
      </c>
    </row>
    <row r="27" spans="1:7" ht="18.600000000000001" customHeight="1">
      <c r="A27" s="793" t="s">
        <v>567</v>
      </c>
      <c r="B27" s="794"/>
      <c r="C27" s="794"/>
      <c r="D27" s="794"/>
      <c r="E27" s="261">
        <v>1563.97</v>
      </c>
      <c r="F27" s="262"/>
      <c r="G27" s="785"/>
    </row>
    <row r="28" spans="1:7" ht="18.600000000000001" customHeight="1">
      <c r="A28" s="811" t="s">
        <v>577</v>
      </c>
      <c r="B28" s="812"/>
      <c r="C28" s="812"/>
      <c r="D28" s="812"/>
      <c r="E28" s="261">
        <v>1508.9</v>
      </c>
      <c r="F28" s="262"/>
      <c r="G28" s="785"/>
    </row>
    <row r="29" spans="1:7" ht="18.600000000000001" customHeight="1">
      <c r="A29" s="874" t="s">
        <v>625</v>
      </c>
      <c r="B29" s="875"/>
      <c r="C29" s="875"/>
      <c r="D29" s="875"/>
      <c r="E29" s="261">
        <v>1564.23</v>
      </c>
      <c r="F29" s="262"/>
      <c r="G29" s="785"/>
    </row>
    <row r="30" spans="1:7" ht="18.600000000000001" customHeight="1">
      <c r="A30" s="895" t="s">
        <v>720</v>
      </c>
      <c r="B30" s="896"/>
      <c r="C30" s="896"/>
      <c r="D30" s="896"/>
      <c r="E30" s="261">
        <v>1564.36</v>
      </c>
      <c r="F30" s="262"/>
      <c r="G30" s="785"/>
    </row>
    <row r="31" spans="1:7" ht="18.600000000000001" customHeight="1">
      <c r="A31" s="904" t="s">
        <v>647</v>
      </c>
      <c r="B31" s="905"/>
      <c r="C31" s="905"/>
      <c r="D31" s="905"/>
      <c r="E31" s="261">
        <v>1509.28</v>
      </c>
      <c r="F31" s="262"/>
      <c r="G31" s="785"/>
    </row>
    <row r="32" spans="1:7" ht="18.600000000000001" customHeight="1">
      <c r="A32" s="924" t="s">
        <v>655</v>
      </c>
      <c r="B32" s="925"/>
      <c r="C32" s="925"/>
      <c r="D32" s="925"/>
      <c r="E32" s="261">
        <v>1564.63</v>
      </c>
      <c r="F32" s="262"/>
      <c r="G32" s="785"/>
    </row>
    <row r="33" spans="1:33" ht="18.600000000000001" customHeight="1">
      <c r="A33" s="948" t="s">
        <v>665</v>
      </c>
      <c r="B33" s="949"/>
      <c r="C33" s="949"/>
      <c r="D33" s="949"/>
      <c r="E33" s="261">
        <v>2328.73</v>
      </c>
      <c r="F33" s="262"/>
      <c r="G33" s="785"/>
    </row>
    <row r="34" spans="1:33" ht="18.600000000000001" customHeight="1">
      <c r="A34" s="966" t="s">
        <v>677</v>
      </c>
      <c r="B34" s="967"/>
      <c r="C34" s="967"/>
      <c r="D34" s="967"/>
      <c r="E34" s="261">
        <v>2842.71</v>
      </c>
      <c r="F34" s="262"/>
      <c r="G34" s="785"/>
    </row>
    <row r="35" spans="1:33" ht="18.600000000000001" customHeight="1">
      <c r="A35" s="989" t="s">
        <v>687</v>
      </c>
      <c r="B35" s="990"/>
      <c r="C35" s="990"/>
      <c r="D35" s="990"/>
      <c r="E35" s="261">
        <v>19.649999999999999</v>
      </c>
      <c r="F35" s="262"/>
      <c r="G35" s="785"/>
    </row>
    <row r="36" spans="1:33" ht="18.600000000000001" customHeight="1">
      <c r="A36" s="1000" t="s">
        <v>720</v>
      </c>
      <c r="B36" s="1001"/>
      <c r="C36" s="1001"/>
      <c r="D36" s="1001"/>
      <c r="E36" s="261">
        <v>17.8</v>
      </c>
      <c r="F36" s="262"/>
      <c r="G36" s="785"/>
    </row>
    <row r="37" spans="1:33" ht="18.600000000000001" customHeight="1">
      <c r="A37" s="1032" t="s">
        <v>729</v>
      </c>
      <c r="B37" s="1033"/>
      <c r="C37" s="1033"/>
      <c r="D37" s="1033"/>
      <c r="E37" s="261">
        <v>1516.45</v>
      </c>
      <c r="F37" s="262"/>
      <c r="G37" s="785"/>
    </row>
    <row r="38" spans="1:33" ht="18.600000000000001" customHeight="1">
      <c r="A38" s="1069" t="s">
        <v>748</v>
      </c>
      <c r="B38" s="1070"/>
      <c r="C38" s="1070"/>
      <c r="D38" s="1070"/>
      <c r="E38" s="261">
        <v>1477.05</v>
      </c>
      <c r="F38" s="262"/>
      <c r="G38" s="785"/>
    </row>
    <row r="39" spans="1:33" ht="18.600000000000001" customHeight="1">
      <c r="A39" s="1090" t="str">
        <f>+'Anexo 13 Caldas'!A39</f>
        <v>Rendimientos financieros AL 31 DE MAYO DE 2023</v>
      </c>
      <c r="B39" s="1091"/>
      <c r="C39" s="1091"/>
      <c r="D39" s="1091"/>
      <c r="E39" s="261">
        <v>1536.08</v>
      </c>
      <c r="F39" s="262"/>
      <c r="G39" s="785">
        <f>+SUM(E10:E39)</f>
        <v>235765.96999999991</v>
      </c>
    </row>
    <row r="40" spans="1:33" ht="18.600000000000001" customHeight="1">
      <c r="A40" s="1100" t="str">
        <f>+'Anexo 13 Caldas'!A40</f>
        <v>Rendimientos financieros AL 30 DE JUNIO DE 2023</v>
      </c>
      <c r="B40" s="1101"/>
      <c r="C40" s="1101"/>
      <c r="D40" s="1101"/>
      <c r="E40" s="261">
        <v>1496.17</v>
      </c>
      <c r="F40" s="262"/>
      <c r="G40" s="785"/>
    </row>
    <row r="41" spans="1:33" ht="18.600000000000001" customHeight="1">
      <c r="A41" s="1128" t="str">
        <f>+'Anexo 13 Caldas'!A41</f>
        <v>Rendimientos financieros AL 31 DE JULIO DE 2023</v>
      </c>
      <c r="B41" s="1129"/>
      <c r="C41" s="1129"/>
      <c r="D41" s="1129"/>
      <c r="E41" s="261">
        <v>1555.97</v>
      </c>
      <c r="F41" s="262"/>
      <c r="G41" s="785"/>
    </row>
    <row r="42" spans="1:33" s="5" customFormat="1" ht="18.600000000000001" customHeight="1">
      <c r="A42" s="226"/>
      <c r="B42" s="227"/>
      <c r="C42" s="227"/>
      <c r="D42" s="227"/>
      <c r="E42" s="263"/>
      <c r="F42" s="264"/>
      <c r="G42" s="776" t="s">
        <v>535</v>
      </c>
      <c r="H42" s="775" t="s">
        <v>536</v>
      </c>
      <c r="I42" s="775" t="s">
        <v>516</v>
      </c>
      <c r="J42" s="742" t="s">
        <v>65</v>
      </c>
      <c r="Z42" s="6"/>
      <c r="AA42" s="6"/>
      <c r="AB42" s="6"/>
      <c r="AC42" s="6"/>
      <c r="AD42" s="6"/>
      <c r="AE42" s="6"/>
      <c r="AF42" s="6"/>
      <c r="AG42" s="6"/>
    </row>
    <row r="43" spans="1:33" s="5" customFormat="1" ht="24.75" customHeight="1" thickBot="1">
      <c r="A43" s="14" t="str">
        <f>+'Anexo 13 Caldas'!A43</f>
        <v>TOTAL RENDIMIENTOS DISPONIBLES AL 31 DE JULIO DE 2023</v>
      </c>
      <c r="B43" s="15"/>
      <c r="C43" s="15"/>
      <c r="D43" s="15"/>
      <c r="E43" s="265"/>
      <c r="F43" s="266">
        <f>SUM(E9:E42)</f>
        <v>238818.10999999993</v>
      </c>
      <c r="G43" s="5">
        <f>+F43+Adhesiones!H69</f>
        <v>238818.10999999993</v>
      </c>
      <c r="H43" s="741">
        <f>+G43-F43</f>
        <v>0</v>
      </c>
      <c r="I43" s="5">
        <v>-0.37</v>
      </c>
      <c r="J43" s="5">
        <f>+H43+I43</f>
        <v>-0.37</v>
      </c>
      <c r="Z43" s="6"/>
      <c r="AA43" s="6"/>
      <c r="AB43" s="6"/>
      <c r="AC43" s="6"/>
      <c r="AD43" s="6"/>
      <c r="AE43" s="6"/>
      <c r="AF43" s="6"/>
      <c r="AG43" s="6"/>
    </row>
    <row r="44" spans="1:33" s="20" customFormat="1" ht="15.75">
      <c r="A44" s="6"/>
      <c r="B44" s="6"/>
      <c r="C44" s="16"/>
      <c r="D44" s="17"/>
      <c r="E44" s="18"/>
      <c r="F44" s="19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</row>
    <row r="45" spans="1:33" s="20" customFormat="1" ht="15.75">
      <c r="A45" s="6"/>
      <c r="B45" s="6"/>
      <c r="C45" s="16"/>
      <c r="D45" s="17"/>
      <c r="E45" s="21"/>
      <c r="F45" s="19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</row>
    <row r="46" spans="1:33" s="20" customFormat="1" ht="15.75">
      <c r="A46" s="6"/>
      <c r="B46" s="6"/>
      <c r="C46" s="16"/>
      <c r="D46" s="17"/>
      <c r="E46" s="22"/>
      <c r="F46" s="19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</row>
    <row r="47" spans="1:33" s="20" customFormat="1" ht="15.75">
      <c r="A47" s="6"/>
      <c r="B47" s="6"/>
      <c r="C47" s="16"/>
      <c r="D47" s="17"/>
      <c r="E47" s="22"/>
      <c r="F47" s="19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</row>
    <row r="48" spans="1:33" s="5" customFormat="1" ht="16.5" thickBot="1">
      <c r="A48" s="23"/>
      <c r="B48" s="24"/>
      <c r="C48" s="25"/>
      <c r="D48" s="131"/>
      <c r="E48" s="132"/>
      <c r="F48" s="133"/>
    </row>
    <row r="49" spans="1:25" s="5" customFormat="1" ht="15" customHeight="1">
      <c r="A49" s="1336" t="s">
        <v>135</v>
      </c>
      <c r="B49" s="1336"/>
      <c r="C49" s="1"/>
      <c r="D49" s="1336" t="s">
        <v>517</v>
      </c>
      <c r="E49" s="1336"/>
      <c r="F49" s="224"/>
    </row>
    <row r="50" spans="1:25" s="5" customFormat="1" ht="14.45" customHeight="1">
      <c r="A50" s="1332" t="s">
        <v>145</v>
      </c>
      <c r="B50" s="1332"/>
      <c r="C50" s="2"/>
      <c r="D50" s="1332" t="s">
        <v>519</v>
      </c>
      <c r="E50" s="1332"/>
      <c r="F50" s="225"/>
    </row>
    <row r="51" spans="1:25" s="5" customFormat="1" ht="15.75" customHeight="1">
      <c r="A51" s="1332" t="s">
        <v>48</v>
      </c>
      <c r="B51" s="1332"/>
      <c r="C51" s="2"/>
      <c r="D51" s="1332" t="s">
        <v>48</v>
      </c>
      <c r="E51" s="1332"/>
      <c r="F51" s="225"/>
    </row>
    <row r="52" spans="1:25" s="20" customFormat="1" ht="15.75" customHeight="1">
      <c r="A52" s="6"/>
      <c r="B52" s="6"/>
      <c r="C52" s="16"/>
      <c r="D52" s="1335" t="s">
        <v>518</v>
      </c>
      <c r="E52" s="1335"/>
      <c r="F52" s="22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</row>
    <row r="53" spans="1:25" s="20" customFormat="1" ht="15.75">
      <c r="A53" s="6"/>
      <c r="B53" s="6"/>
      <c r="C53" s="16"/>
      <c r="D53" s="17"/>
      <c r="E53" s="22"/>
      <c r="F53" s="19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</row>
    <row r="54" spans="1:25" s="20" customFormat="1" ht="15.75">
      <c r="A54" s="6"/>
      <c r="B54" s="6"/>
      <c r="C54" s="16"/>
      <c r="D54" s="17"/>
      <c r="E54" s="22"/>
      <c r="F54" s="19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</row>
    <row r="55" spans="1:25" s="20" customFormat="1" ht="15.75">
      <c r="A55" s="27"/>
      <c r="B55" s="27"/>
      <c r="C55" s="27"/>
      <c r="D55" s="27"/>
      <c r="E55" s="27"/>
      <c r="F55" s="19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</row>
    <row r="56" spans="1:25" s="5" customFormat="1" ht="15.75">
      <c r="A56" s="27"/>
      <c r="B56" s="27"/>
      <c r="C56" s="27"/>
      <c r="D56" s="27"/>
      <c r="E56" s="27"/>
      <c r="F56" s="26"/>
    </row>
    <row r="57" spans="1:25" s="5" customFormat="1" ht="15" customHeight="1">
      <c r="A57" s="27"/>
      <c r="B57" s="27"/>
      <c r="C57" s="27"/>
      <c r="D57" s="27"/>
      <c r="E57" s="27"/>
      <c r="F57" s="26"/>
    </row>
    <row r="58" spans="1:25" s="5" customFormat="1" ht="14.45" customHeight="1">
      <c r="A58" s="27"/>
      <c r="B58" s="27"/>
      <c r="C58" s="27"/>
      <c r="D58" s="27"/>
      <c r="E58" s="27"/>
      <c r="F58" s="26"/>
    </row>
    <row r="59" spans="1:25" s="5" customFormat="1" ht="14.45" customHeight="1">
      <c r="A59" s="27"/>
      <c r="B59" s="27"/>
      <c r="C59" s="27"/>
      <c r="D59" s="27"/>
      <c r="E59" s="27"/>
      <c r="F59" s="26"/>
    </row>
    <row r="60" spans="1:25" s="20" customFormat="1" ht="15.75">
      <c r="A60" s="27"/>
      <c r="B60" s="27"/>
      <c r="C60" s="27"/>
      <c r="D60" s="27"/>
      <c r="E60" s="27"/>
      <c r="F60" s="19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</row>
    <row r="61" spans="1:25" s="20" customFormat="1" ht="15.75">
      <c r="A61" s="6"/>
      <c r="B61" s="6"/>
      <c r="C61" s="16"/>
      <c r="D61" s="17"/>
      <c r="E61" s="6"/>
      <c r="F61" s="19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</row>
    <row r="62" spans="1:25" s="20" customFormat="1" ht="15.75">
      <c r="A62" s="6"/>
      <c r="B62" s="6"/>
      <c r="C62" s="16"/>
      <c r="D62" s="17"/>
      <c r="E62" s="6"/>
      <c r="F62" s="19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</row>
    <row r="63" spans="1:25" s="20" customFormat="1" ht="15.75">
      <c r="A63" s="6"/>
      <c r="B63" s="6"/>
      <c r="C63" s="16"/>
      <c r="D63" s="17"/>
      <c r="E63" s="6"/>
      <c r="F63" s="19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</row>
    <row r="64" spans="1:25" s="20" customFormat="1" ht="15.75">
      <c r="A64" s="6"/>
      <c r="B64" s="6"/>
      <c r="C64" s="16"/>
      <c r="D64" s="17"/>
      <c r="E64" s="6"/>
      <c r="F64" s="19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</row>
    <row r="65" spans="1:25" s="20" customFormat="1" ht="15.75">
      <c r="A65" s="6"/>
      <c r="B65" s="6"/>
      <c r="C65" s="16"/>
      <c r="D65" s="17"/>
      <c r="E65" s="6"/>
      <c r="F65" s="19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</row>
    <row r="66" spans="1:25" s="20" customFormat="1" ht="15.75">
      <c r="A66" s="6"/>
      <c r="B66" s="6"/>
      <c r="C66" s="16"/>
      <c r="D66" s="17"/>
      <c r="E66" s="6"/>
      <c r="F66" s="19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</row>
    <row r="67" spans="1:25" s="20" customFormat="1" ht="15.75">
      <c r="A67" s="6"/>
      <c r="B67" s="6"/>
      <c r="C67" s="16"/>
      <c r="D67" s="17"/>
      <c r="E67" s="6"/>
      <c r="F67" s="19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</row>
    <row r="68" spans="1:25" s="20" customFormat="1" ht="15.75">
      <c r="A68" s="6"/>
      <c r="B68" s="6"/>
      <c r="C68" s="16"/>
      <c r="D68" s="17"/>
      <c r="E68" s="6"/>
      <c r="F68" s="19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</row>
    <row r="69" spans="1:25" s="20" customFormat="1" ht="15.75">
      <c r="A69" s="6"/>
      <c r="B69" s="6"/>
      <c r="C69" s="16"/>
      <c r="D69" s="17"/>
      <c r="E69" s="6"/>
      <c r="F69" s="19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</row>
    <row r="70" spans="1:25" s="20" customFormat="1" ht="15.75">
      <c r="A70" s="6"/>
      <c r="B70" s="6"/>
      <c r="C70" s="16"/>
      <c r="D70" s="17"/>
      <c r="E70" s="6"/>
      <c r="F70" s="19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</row>
    <row r="71" spans="1:25" s="20" customFormat="1" ht="15.75">
      <c r="A71" s="6"/>
      <c r="B71" s="6"/>
      <c r="C71" s="16"/>
      <c r="D71" s="17"/>
      <c r="E71" s="6"/>
      <c r="F71" s="19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</row>
    <row r="72" spans="1:25" s="20" customFormat="1" ht="15.75">
      <c r="A72" s="6"/>
      <c r="B72" s="6"/>
      <c r="C72" s="16"/>
      <c r="D72" s="17"/>
      <c r="E72" s="6"/>
      <c r="F72" s="19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</row>
    <row r="73" spans="1:25" s="20" customFormat="1" ht="15.75">
      <c r="A73" s="6"/>
      <c r="B73" s="6"/>
      <c r="C73" s="16"/>
      <c r="D73" s="17"/>
      <c r="E73" s="6"/>
      <c r="F73" s="19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</row>
    <row r="74" spans="1:25" s="20" customFormat="1" ht="15.75">
      <c r="A74" s="6"/>
      <c r="B74" s="6"/>
      <c r="C74" s="16"/>
      <c r="D74" s="17"/>
      <c r="E74" s="6"/>
      <c r="F74" s="19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</row>
    <row r="75" spans="1:25" s="20" customFormat="1" ht="15.75">
      <c r="A75" s="6"/>
      <c r="B75" s="6"/>
      <c r="C75" s="16"/>
      <c r="D75" s="17"/>
      <c r="E75" s="6"/>
      <c r="F75" s="19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</row>
    <row r="76" spans="1:25" s="20" customFormat="1" ht="15.75">
      <c r="A76" s="6"/>
      <c r="B76" s="6"/>
      <c r="C76" s="16"/>
      <c r="D76" s="17"/>
      <c r="E76" s="6"/>
      <c r="F76" s="19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</row>
    <row r="77" spans="1:25" s="20" customFormat="1" ht="15.75">
      <c r="A77" s="6"/>
      <c r="B77" s="6"/>
      <c r="C77" s="16"/>
      <c r="D77" s="17"/>
      <c r="E77" s="6"/>
      <c r="F77" s="19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</row>
    <row r="78" spans="1:25" s="20" customFormat="1" ht="15.75">
      <c r="A78" s="6"/>
      <c r="B78" s="6"/>
      <c r="C78" s="16"/>
      <c r="D78" s="17"/>
      <c r="E78" s="6"/>
      <c r="F78" s="19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</row>
    <row r="79" spans="1:25" s="20" customFormat="1" ht="15.75">
      <c r="A79" s="6"/>
      <c r="B79" s="6"/>
      <c r="C79" s="16"/>
      <c r="D79" s="17"/>
      <c r="E79" s="6"/>
      <c r="F79" s="19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</row>
    <row r="80" spans="1:25" s="20" customFormat="1" ht="89.25" customHeight="1">
      <c r="A80" s="6"/>
      <c r="B80" s="6"/>
      <c r="C80" s="16"/>
      <c r="D80" s="17"/>
      <c r="E80" s="6"/>
      <c r="F80" s="19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</row>
    <row r="81" spans="1:25" s="20" customFormat="1" ht="89.25" customHeight="1">
      <c r="A81" s="6"/>
      <c r="B81" s="6"/>
      <c r="C81" s="16"/>
      <c r="D81" s="17"/>
      <c r="E81" s="6"/>
      <c r="F81" s="19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</row>
    <row r="82" spans="1:25" s="20" customFormat="1" ht="89.25" customHeight="1">
      <c r="A82" s="6"/>
      <c r="B82" s="6"/>
      <c r="C82" s="16"/>
      <c r="D82" s="17"/>
      <c r="E82" s="6"/>
      <c r="F82" s="19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</row>
    <row r="83" spans="1:25" s="20" customFormat="1" ht="89.25" customHeight="1">
      <c r="A83" s="6"/>
      <c r="B83" s="6"/>
      <c r="C83" s="16"/>
      <c r="D83" s="17"/>
      <c r="E83" s="6"/>
      <c r="F83" s="19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</row>
    <row r="84" spans="1:25" s="20" customFormat="1" ht="89.25" customHeight="1">
      <c r="A84" s="6"/>
      <c r="B84" s="6"/>
      <c r="C84" s="16"/>
      <c r="D84" s="17"/>
      <c r="E84" s="6"/>
      <c r="F84" s="19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</row>
    <row r="85" spans="1:25" s="20" customFormat="1" ht="89.25" customHeight="1">
      <c r="A85" s="6"/>
      <c r="B85" s="6"/>
      <c r="C85" s="16"/>
      <c r="D85" s="17"/>
      <c r="E85" s="6"/>
      <c r="F85" s="19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</row>
    <row r="86" spans="1:25" s="20" customFormat="1" ht="89.25" customHeight="1">
      <c r="A86" s="6"/>
      <c r="B86" s="6"/>
      <c r="C86" s="16"/>
      <c r="D86" s="17"/>
      <c r="E86" s="6"/>
      <c r="F86" s="19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</row>
    <row r="87" spans="1:25" s="20" customFormat="1" ht="89.25" customHeight="1">
      <c r="A87" s="6"/>
      <c r="B87" s="6"/>
      <c r="C87" s="16"/>
      <c r="D87" s="17"/>
      <c r="E87" s="6"/>
      <c r="F87" s="19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</row>
    <row r="88" spans="1:25" s="20" customFormat="1" ht="89.25" customHeight="1">
      <c r="A88" s="6"/>
      <c r="B88" s="6"/>
      <c r="C88" s="16"/>
      <c r="D88" s="17"/>
      <c r="E88" s="6"/>
      <c r="F88" s="19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</row>
    <row r="89" spans="1:25" s="20" customFormat="1" ht="89.25" customHeight="1">
      <c r="A89" s="6"/>
      <c r="B89" s="6"/>
      <c r="C89" s="16"/>
      <c r="D89" s="17"/>
      <c r="E89" s="6"/>
      <c r="F89" s="19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</row>
    <row r="90" spans="1:25" s="20" customFormat="1" ht="89.25" customHeight="1">
      <c r="A90" s="6"/>
      <c r="B90" s="6"/>
      <c r="C90" s="16"/>
      <c r="D90" s="17"/>
      <c r="E90" s="6"/>
      <c r="F90" s="19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</row>
    <row r="91" spans="1:25" s="20" customFormat="1" ht="89.25" customHeight="1">
      <c r="A91" s="6"/>
      <c r="B91" s="6"/>
      <c r="C91" s="16"/>
      <c r="D91" s="17"/>
      <c r="E91" s="6"/>
      <c r="F91" s="19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</row>
    <row r="92" spans="1:25" s="20" customFormat="1" ht="89.25" customHeight="1">
      <c r="A92" s="6"/>
      <c r="B92" s="6"/>
      <c r="C92" s="16"/>
      <c r="D92" s="17"/>
      <c r="E92" s="6"/>
      <c r="F92" s="19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</row>
    <row r="93" spans="1:25" s="20" customFormat="1" ht="89.25" customHeight="1">
      <c r="A93" s="6"/>
      <c r="B93" s="6"/>
      <c r="C93" s="16"/>
      <c r="D93" s="17"/>
      <c r="E93" s="6"/>
      <c r="F93" s="19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</row>
    <row r="94" spans="1:25" s="20" customFormat="1" ht="89.25" customHeight="1">
      <c r="A94" s="6"/>
      <c r="B94" s="6"/>
      <c r="C94" s="16"/>
      <c r="D94" s="17"/>
      <c r="E94" s="6"/>
      <c r="F94" s="19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</row>
    <row r="95" spans="1:25" s="20" customFormat="1" ht="89.25" customHeight="1">
      <c r="A95" s="6"/>
      <c r="B95" s="6"/>
      <c r="C95" s="16"/>
      <c r="D95" s="17"/>
      <c r="E95" s="6"/>
      <c r="F95" s="19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</row>
    <row r="96" spans="1:25" s="20" customFormat="1" ht="89.25" customHeight="1">
      <c r="A96" s="6"/>
      <c r="B96" s="6"/>
      <c r="C96" s="16"/>
      <c r="D96" s="17"/>
      <c r="E96" s="6"/>
      <c r="F96" s="19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</row>
    <row r="97" spans="1:25" s="20" customFormat="1" ht="89.25" customHeight="1">
      <c r="A97" s="6"/>
      <c r="B97" s="6"/>
      <c r="C97" s="16"/>
      <c r="D97" s="17"/>
      <c r="E97" s="6"/>
      <c r="F97" s="19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</row>
    <row r="98" spans="1:25" s="20" customFormat="1" ht="89.25" customHeight="1">
      <c r="A98" s="6"/>
      <c r="B98" s="6"/>
      <c r="C98" s="16"/>
      <c r="D98" s="17"/>
      <c r="E98" s="6"/>
      <c r="F98" s="19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</row>
    <row r="99" spans="1:25" s="20" customFormat="1" ht="89.25" customHeight="1">
      <c r="A99" s="6"/>
      <c r="B99" s="6"/>
      <c r="C99" s="16"/>
      <c r="D99" s="17"/>
      <c r="E99" s="6"/>
      <c r="F99" s="19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</row>
    <row r="100" spans="1:25" s="20" customFormat="1" ht="89.25" customHeight="1">
      <c r="A100" s="6"/>
      <c r="B100" s="6"/>
      <c r="C100" s="16"/>
      <c r="D100" s="17"/>
      <c r="E100" s="6"/>
      <c r="F100" s="19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</row>
    <row r="101" spans="1:25" s="20" customFormat="1" ht="89.25" customHeight="1">
      <c r="A101" s="6"/>
      <c r="B101" s="6"/>
      <c r="C101" s="16"/>
      <c r="D101" s="17"/>
      <c r="E101" s="6"/>
      <c r="F101" s="19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</row>
    <row r="102" spans="1:25" s="20" customFormat="1" ht="89.25" customHeight="1">
      <c r="A102" s="6"/>
      <c r="B102" s="6"/>
      <c r="C102" s="16"/>
      <c r="D102" s="17"/>
      <c r="E102" s="6"/>
      <c r="F102" s="19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</row>
    <row r="103" spans="1:25" s="20" customFormat="1" ht="89.25" customHeight="1">
      <c r="A103" s="6"/>
      <c r="B103" s="6"/>
      <c r="C103" s="16"/>
      <c r="D103" s="17"/>
      <c r="E103" s="6"/>
      <c r="F103" s="19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</row>
    <row r="104" spans="1:25" s="20" customFormat="1" ht="89.25" customHeight="1">
      <c r="A104" s="6"/>
      <c r="B104" s="6"/>
      <c r="C104" s="16"/>
      <c r="D104" s="17"/>
      <c r="E104" s="6"/>
      <c r="F104" s="19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</row>
    <row r="105" spans="1:25" s="20" customFormat="1" ht="89.25" customHeight="1">
      <c r="A105" s="6"/>
      <c r="B105" s="6"/>
      <c r="C105" s="16"/>
      <c r="D105" s="17"/>
      <c r="E105" s="6"/>
      <c r="F105" s="19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</row>
    <row r="106" spans="1:25" s="20" customFormat="1" ht="89.25" customHeight="1">
      <c r="A106" s="6"/>
      <c r="B106" s="6"/>
      <c r="C106" s="16"/>
      <c r="D106" s="17"/>
      <c r="E106" s="6"/>
      <c r="F106" s="19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</row>
    <row r="107" spans="1:25" s="20" customFormat="1" ht="89.25" customHeight="1">
      <c r="A107" s="6"/>
      <c r="B107" s="6"/>
      <c r="C107" s="16"/>
      <c r="D107" s="17"/>
      <c r="E107" s="6"/>
      <c r="F107" s="19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</row>
    <row r="108" spans="1:25" s="20" customFormat="1" ht="89.25" customHeight="1">
      <c r="A108" s="6"/>
      <c r="B108" s="6"/>
      <c r="C108" s="16"/>
      <c r="D108" s="17"/>
      <c r="E108" s="6"/>
      <c r="F108" s="19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</row>
    <row r="109" spans="1:25" s="20" customFormat="1" ht="89.25" customHeight="1">
      <c r="A109" s="6"/>
      <c r="B109" s="6"/>
      <c r="C109" s="16"/>
      <c r="D109" s="17"/>
      <c r="E109" s="6"/>
      <c r="F109" s="19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</row>
    <row r="110" spans="1:25" s="20" customFormat="1" ht="89.25" customHeight="1">
      <c r="A110" s="6"/>
      <c r="B110" s="6"/>
      <c r="C110" s="16"/>
      <c r="D110" s="17"/>
      <c r="E110" s="6"/>
      <c r="F110" s="19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</row>
    <row r="111" spans="1:25" s="20" customFormat="1" ht="89.25" customHeight="1">
      <c r="A111" s="6"/>
      <c r="B111" s="6"/>
      <c r="C111" s="16"/>
      <c r="D111" s="17"/>
      <c r="E111" s="6"/>
      <c r="F111" s="19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</row>
    <row r="112" spans="1:25" s="20" customFormat="1" ht="89.25" customHeight="1">
      <c r="A112" s="6"/>
      <c r="B112" s="6"/>
      <c r="C112" s="16"/>
      <c r="D112" s="17"/>
      <c r="E112" s="6"/>
      <c r="F112" s="19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</row>
    <row r="113" spans="1:25" s="20" customFormat="1" ht="89.25" customHeight="1">
      <c r="A113" s="6"/>
      <c r="B113" s="6"/>
      <c r="C113" s="16"/>
      <c r="D113" s="17"/>
      <c r="E113" s="6"/>
      <c r="F113" s="19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</row>
    <row r="114" spans="1:25" s="20" customFormat="1" ht="89.25" customHeight="1">
      <c r="A114" s="6"/>
      <c r="B114" s="6"/>
      <c r="C114" s="16"/>
      <c r="D114" s="17"/>
      <c r="E114" s="6"/>
      <c r="F114" s="19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</row>
    <row r="115" spans="1:25" s="20" customFormat="1" ht="89.25" customHeight="1">
      <c r="A115" s="6"/>
      <c r="B115" s="6"/>
      <c r="C115" s="16"/>
      <c r="D115" s="17"/>
      <c r="E115" s="6"/>
      <c r="F115" s="19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</row>
    <row r="116" spans="1:25" s="20" customFormat="1" ht="89.25" customHeight="1">
      <c r="A116" s="6"/>
      <c r="B116" s="6"/>
      <c r="C116" s="16"/>
      <c r="D116" s="17"/>
      <c r="E116" s="6"/>
      <c r="F116" s="19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</row>
    <row r="117" spans="1:25" s="20" customFormat="1" ht="89.25" customHeight="1">
      <c r="A117" s="6"/>
      <c r="B117" s="6"/>
      <c r="C117" s="16"/>
      <c r="D117" s="17"/>
      <c r="E117" s="6"/>
      <c r="F117" s="19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</row>
    <row r="118" spans="1:25" s="20" customFormat="1" ht="89.25" customHeight="1">
      <c r="A118" s="6"/>
      <c r="B118" s="6"/>
      <c r="C118" s="16"/>
      <c r="D118" s="17"/>
      <c r="E118" s="6"/>
      <c r="F118" s="19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</row>
    <row r="119" spans="1:25" s="20" customFormat="1" ht="89.25" customHeight="1">
      <c r="A119" s="6"/>
      <c r="B119" s="6"/>
      <c r="C119" s="16"/>
      <c r="D119" s="17"/>
      <c r="E119" s="6"/>
      <c r="F119" s="19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</row>
    <row r="120" spans="1:25" s="20" customFormat="1" ht="89.25" customHeight="1">
      <c r="A120" s="6"/>
      <c r="B120" s="6"/>
      <c r="C120" s="16"/>
      <c r="D120" s="17"/>
      <c r="E120" s="6"/>
      <c r="F120" s="19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</row>
    <row r="121" spans="1:25" s="20" customFormat="1" ht="89.25" customHeight="1">
      <c r="A121" s="6"/>
      <c r="B121" s="6"/>
      <c r="C121" s="16"/>
      <c r="D121" s="17"/>
      <c r="E121" s="6"/>
      <c r="F121" s="19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</row>
    <row r="122" spans="1:25" s="20" customFormat="1" ht="89.25" customHeight="1">
      <c r="A122" s="6"/>
      <c r="B122" s="6"/>
      <c r="C122" s="16"/>
      <c r="D122" s="17"/>
      <c r="E122" s="6"/>
      <c r="F122" s="19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</row>
    <row r="123" spans="1:25" s="20" customFormat="1" ht="89.25" customHeight="1">
      <c r="A123" s="6"/>
      <c r="B123" s="6"/>
      <c r="C123" s="16"/>
      <c r="D123" s="17"/>
      <c r="E123" s="6"/>
      <c r="F123" s="19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</row>
    <row r="124" spans="1:25" s="20" customFormat="1" ht="89.25" customHeight="1">
      <c r="A124" s="6"/>
      <c r="B124" s="6"/>
      <c r="C124" s="16"/>
      <c r="D124" s="17"/>
      <c r="E124" s="6"/>
      <c r="F124" s="19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</row>
    <row r="125" spans="1:25" s="20" customFormat="1" ht="89.25" customHeight="1">
      <c r="A125" s="6"/>
      <c r="B125" s="6"/>
      <c r="C125" s="16"/>
      <c r="D125" s="17"/>
      <c r="E125" s="6"/>
      <c r="F125" s="19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</row>
    <row r="126" spans="1:25" s="20" customFormat="1" ht="89.25" customHeight="1">
      <c r="A126" s="6"/>
      <c r="B126" s="6"/>
      <c r="C126" s="16"/>
      <c r="D126" s="17"/>
      <c r="E126" s="6"/>
      <c r="F126" s="19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</row>
    <row r="127" spans="1:25" s="20" customFormat="1" ht="89.25" customHeight="1">
      <c r="A127" s="6"/>
      <c r="B127" s="6"/>
      <c r="C127" s="16"/>
      <c r="D127" s="17"/>
      <c r="E127" s="6"/>
      <c r="F127" s="19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</row>
    <row r="128" spans="1:25" s="20" customFormat="1" ht="89.25" customHeight="1">
      <c r="A128" s="6"/>
      <c r="B128" s="6"/>
      <c r="C128" s="16"/>
      <c r="D128" s="17"/>
      <c r="E128" s="6"/>
      <c r="F128" s="19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</row>
    <row r="129" spans="1:25" s="20" customFormat="1" ht="89.25" customHeight="1">
      <c r="A129" s="6"/>
      <c r="B129" s="6"/>
      <c r="C129" s="16"/>
      <c r="D129" s="17"/>
      <c r="E129" s="6"/>
      <c r="F129" s="19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</row>
    <row r="130" spans="1:25" s="20" customFormat="1" ht="89.25" customHeight="1">
      <c r="A130" s="6"/>
      <c r="B130" s="6"/>
      <c r="C130" s="16"/>
      <c r="D130" s="17"/>
      <c r="E130" s="6"/>
      <c r="F130" s="19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</row>
    <row r="131" spans="1:25" s="20" customFormat="1" ht="89.25" customHeight="1">
      <c r="A131" s="6"/>
      <c r="B131" s="6"/>
      <c r="C131" s="16"/>
      <c r="D131" s="17"/>
      <c r="E131" s="6"/>
      <c r="F131" s="19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</row>
    <row r="132" spans="1:25" s="20" customFormat="1" ht="89.25" customHeight="1">
      <c r="A132" s="6"/>
      <c r="B132" s="6"/>
      <c r="C132" s="16"/>
      <c r="D132" s="17"/>
      <c r="E132" s="6"/>
      <c r="F132" s="19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</row>
    <row r="133" spans="1:25" s="20" customFormat="1" ht="89.25" customHeight="1">
      <c r="A133" s="6"/>
      <c r="B133" s="6"/>
      <c r="C133" s="16"/>
      <c r="D133" s="17"/>
      <c r="E133" s="6"/>
      <c r="F133" s="19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</row>
    <row r="134" spans="1:25" s="20" customFormat="1" ht="89.25" customHeight="1">
      <c r="A134" s="6"/>
      <c r="B134" s="6"/>
      <c r="C134" s="16"/>
      <c r="D134" s="17"/>
      <c r="E134" s="6"/>
      <c r="F134" s="19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</row>
    <row r="135" spans="1:25" s="20" customFormat="1" ht="89.25" customHeight="1">
      <c r="A135" s="6"/>
      <c r="B135" s="6"/>
      <c r="C135" s="16"/>
      <c r="D135" s="17"/>
      <c r="E135" s="6"/>
      <c r="F135" s="19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</row>
    <row r="136" spans="1:25" s="20" customFormat="1" ht="89.25" customHeight="1">
      <c r="A136" s="6"/>
      <c r="B136" s="6"/>
      <c r="C136" s="16"/>
      <c r="D136" s="17"/>
      <c r="E136" s="6"/>
      <c r="F136" s="19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</row>
    <row r="137" spans="1:25" s="20" customFormat="1" ht="89.25" customHeight="1">
      <c r="A137" s="6"/>
      <c r="B137" s="6"/>
      <c r="C137" s="16"/>
      <c r="D137" s="17"/>
      <c r="E137" s="6"/>
      <c r="F137" s="19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</row>
    <row r="138" spans="1:25" s="20" customFormat="1" ht="89.25" customHeight="1">
      <c r="A138" s="6"/>
      <c r="B138" s="6"/>
      <c r="C138" s="16"/>
      <c r="D138" s="17"/>
      <c r="E138" s="6"/>
      <c r="F138" s="19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</row>
    <row r="139" spans="1:25" s="20" customFormat="1" ht="89.25" customHeight="1">
      <c r="A139" s="6"/>
      <c r="B139" s="6"/>
      <c r="C139" s="16"/>
      <c r="D139" s="17"/>
      <c r="E139" s="6"/>
      <c r="F139" s="19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</row>
    <row r="140" spans="1:25" s="20" customFormat="1" ht="89.25" customHeight="1">
      <c r="A140" s="6"/>
      <c r="B140" s="6"/>
      <c r="C140" s="16"/>
      <c r="D140" s="17"/>
      <c r="E140" s="6"/>
      <c r="F140" s="19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</row>
    <row r="141" spans="1:25" s="20" customFormat="1" ht="89.25" customHeight="1">
      <c r="A141" s="6"/>
      <c r="B141" s="6"/>
      <c r="C141" s="16"/>
      <c r="D141" s="17"/>
      <c r="E141" s="6"/>
      <c r="F141" s="19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</row>
    <row r="142" spans="1:25" s="20" customFormat="1" ht="89.25" customHeight="1">
      <c r="A142" s="6"/>
      <c r="B142" s="6"/>
      <c r="C142" s="16"/>
      <c r="D142" s="17"/>
      <c r="E142" s="6"/>
      <c r="F142" s="19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</row>
    <row r="143" spans="1:25" s="20" customFormat="1" ht="89.25" customHeight="1">
      <c r="A143" s="6"/>
      <c r="B143" s="6"/>
      <c r="C143" s="16"/>
      <c r="D143" s="17"/>
      <c r="E143" s="6"/>
      <c r="F143" s="19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</row>
    <row r="144" spans="1:25" s="20" customFormat="1" ht="89.25" customHeight="1">
      <c r="A144" s="6"/>
      <c r="B144" s="6"/>
      <c r="C144" s="16"/>
      <c r="D144" s="17"/>
      <c r="E144" s="6"/>
      <c r="F144" s="19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</row>
    <row r="145" spans="1:25" s="20" customFormat="1" ht="89.25" customHeight="1">
      <c r="A145" s="6"/>
      <c r="B145" s="6"/>
      <c r="C145" s="16"/>
      <c r="D145" s="17"/>
      <c r="E145" s="6"/>
      <c r="F145" s="19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</row>
    <row r="146" spans="1:25" s="20" customFormat="1" ht="89.25" customHeight="1">
      <c r="A146" s="6"/>
      <c r="B146" s="6"/>
      <c r="C146" s="16"/>
      <c r="D146" s="17"/>
      <c r="E146" s="6"/>
      <c r="F146" s="19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</row>
    <row r="147" spans="1:25" s="20" customFormat="1" ht="89.25" customHeight="1">
      <c r="A147" s="6"/>
      <c r="B147" s="6"/>
      <c r="C147" s="16"/>
      <c r="D147" s="17"/>
      <c r="E147" s="6"/>
      <c r="F147" s="19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</row>
    <row r="148" spans="1:25" s="20" customFormat="1" ht="89.25" customHeight="1">
      <c r="A148" s="6"/>
      <c r="B148" s="6"/>
      <c r="C148" s="16"/>
      <c r="D148" s="17"/>
      <c r="E148" s="6"/>
      <c r="F148" s="19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</row>
    <row r="149" spans="1:25" s="20" customFormat="1" ht="89.25" customHeight="1">
      <c r="A149" s="6"/>
      <c r="B149" s="6"/>
      <c r="C149" s="16"/>
      <c r="D149" s="17"/>
      <c r="E149" s="6"/>
      <c r="F149" s="19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</row>
    <row r="150" spans="1:25" s="20" customFormat="1" ht="89.25" customHeight="1">
      <c r="A150" s="6"/>
      <c r="B150" s="6"/>
      <c r="C150" s="16"/>
      <c r="D150" s="17"/>
      <c r="E150" s="6"/>
      <c r="F150" s="19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</row>
    <row r="151" spans="1:25" s="20" customFormat="1" ht="89.25" customHeight="1">
      <c r="A151" s="6"/>
      <c r="B151" s="6"/>
      <c r="C151" s="16"/>
      <c r="D151" s="17"/>
      <c r="E151" s="6"/>
      <c r="F151" s="19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</row>
    <row r="152" spans="1:25" s="20" customFormat="1" ht="89.25" customHeight="1">
      <c r="A152" s="6"/>
      <c r="B152" s="6"/>
      <c r="C152" s="16"/>
      <c r="D152" s="17"/>
      <c r="E152" s="6"/>
      <c r="F152" s="19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</row>
    <row r="153" spans="1:25" s="20" customFormat="1" ht="89.25" customHeight="1">
      <c r="A153" s="6"/>
      <c r="B153" s="6"/>
      <c r="C153" s="16"/>
      <c r="D153" s="17"/>
      <c r="E153" s="6"/>
      <c r="F153" s="19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</row>
    <row r="154" spans="1:25" s="20" customFormat="1" ht="89.25" customHeight="1">
      <c r="A154" s="6"/>
      <c r="B154" s="6"/>
      <c r="C154" s="16"/>
      <c r="D154" s="17"/>
      <c r="E154" s="6"/>
      <c r="F154" s="19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</row>
    <row r="155" spans="1:25" s="20" customFormat="1" ht="89.25" customHeight="1">
      <c r="A155" s="6"/>
      <c r="B155" s="6"/>
      <c r="C155" s="16"/>
      <c r="D155" s="17"/>
      <c r="E155" s="6"/>
      <c r="F155" s="19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</row>
    <row r="156" spans="1:25" s="20" customFormat="1" ht="89.25" customHeight="1">
      <c r="A156" s="6"/>
      <c r="B156" s="6"/>
      <c r="C156" s="16"/>
      <c r="D156" s="17"/>
      <c r="E156" s="6"/>
      <c r="F156" s="19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</row>
    <row r="157" spans="1:25" s="20" customFormat="1" ht="89.25" customHeight="1">
      <c r="A157" s="6"/>
      <c r="B157" s="6"/>
      <c r="C157" s="16"/>
      <c r="D157" s="17"/>
      <c r="E157" s="6"/>
      <c r="F157" s="19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</row>
    <row r="158" spans="1:25" s="20" customFormat="1" ht="89.25" customHeight="1">
      <c r="A158" s="6"/>
      <c r="B158" s="6"/>
      <c r="C158" s="16"/>
      <c r="D158" s="17"/>
      <c r="E158" s="6"/>
      <c r="F158" s="19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</row>
    <row r="159" spans="1:25" s="20" customFormat="1" ht="89.25" customHeight="1">
      <c r="A159" s="6"/>
      <c r="B159" s="6"/>
      <c r="C159" s="16"/>
      <c r="D159" s="17"/>
      <c r="E159" s="6"/>
      <c r="F159" s="19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</row>
    <row r="160" spans="1:25" s="20" customFormat="1" ht="89.25" customHeight="1">
      <c r="A160" s="6"/>
      <c r="B160" s="6"/>
      <c r="C160" s="16"/>
      <c r="D160" s="17"/>
      <c r="E160" s="6"/>
      <c r="F160" s="19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</row>
    <row r="161" spans="1:25" s="20" customFormat="1" ht="89.25" customHeight="1">
      <c r="A161" s="6"/>
      <c r="B161" s="6"/>
      <c r="C161" s="16"/>
      <c r="D161" s="17"/>
      <c r="E161" s="6"/>
      <c r="F161" s="19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</row>
    <row r="162" spans="1:25" s="20" customFormat="1" ht="89.25" customHeight="1">
      <c r="A162" s="6"/>
      <c r="B162" s="6"/>
      <c r="C162" s="16"/>
      <c r="D162" s="17"/>
      <c r="E162" s="6"/>
      <c r="F162" s="19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</row>
    <row r="163" spans="1:25" s="20" customFormat="1" ht="89.25" customHeight="1">
      <c r="A163" s="6"/>
      <c r="B163" s="6"/>
      <c r="C163" s="16"/>
      <c r="D163" s="17"/>
      <c r="E163" s="6"/>
      <c r="F163" s="19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</row>
    <row r="164" spans="1:25" s="20" customFormat="1" ht="89.25" customHeight="1">
      <c r="A164" s="6"/>
      <c r="B164" s="6"/>
      <c r="C164" s="16"/>
      <c r="D164" s="17"/>
      <c r="E164" s="6"/>
      <c r="F164" s="19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</row>
    <row r="165" spans="1:25" s="20" customFormat="1" ht="89.25" customHeight="1">
      <c r="A165" s="6"/>
      <c r="B165" s="6"/>
      <c r="C165" s="16"/>
      <c r="D165" s="17"/>
      <c r="E165" s="6"/>
      <c r="F165" s="19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</row>
    <row r="166" spans="1:25" s="20" customFormat="1" ht="89.25" customHeight="1">
      <c r="A166" s="6"/>
      <c r="B166" s="6"/>
      <c r="C166" s="16"/>
      <c r="D166" s="17"/>
      <c r="E166" s="6"/>
      <c r="F166" s="19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</row>
    <row r="167" spans="1:25" s="20" customFormat="1" ht="89.25" customHeight="1">
      <c r="A167" s="6"/>
      <c r="B167" s="6"/>
      <c r="C167" s="16"/>
      <c r="D167" s="17"/>
      <c r="E167" s="6"/>
      <c r="F167" s="19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</row>
    <row r="168" spans="1:25" s="20" customFormat="1" ht="89.25" customHeight="1">
      <c r="A168" s="6"/>
      <c r="B168" s="6"/>
      <c r="C168" s="16"/>
      <c r="D168" s="17"/>
      <c r="E168" s="6"/>
      <c r="F168" s="19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</row>
    <row r="169" spans="1:25" s="20" customFormat="1" ht="89.25" customHeight="1">
      <c r="A169" s="6"/>
      <c r="B169" s="6"/>
      <c r="C169" s="16"/>
      <c r="D169" s="17"/>
      <c r="E169" s="6"/>
      <c r="F169" s="19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</row>
    <row r="170" spans="1:25" s="20" customFormat="1" ht="89.25" customHeight="1">
      <c r="A170" s="6"/>
      <c r="B170" s="6"/>
      <c r="C170" s="16"/>
      <c r="D170" s="17"/>
      <c r="E170" s="6"/>
      <c r="F170" s="19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</row>
    <row r="171" spans="1:25" s="20" customFormat="1" ht="89.25" customHeight="1">
      <c r="A171" s="6"/>
      <c r="B171" s="6"/>
      <c r="C171" s="16"/>
      <c r="D171" s="17"/>
      <c r="E171" s="6"/>
      <c r="F171" s="19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</row>
    <row r="172" spans="1:25" s="20" customFormat="1" ht="89.25" customHeight="1">
      <c r="A172" s="6"/>
      <c r="B172" s="6"/>
      <c r="C172" s="16"/>
      <c r="D172" s="17"/>
      <c r="E172" s="6"/>
      <c r="F172" s="19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</row>
    <row r="173" spans="1:25" s="20" customFormat="1" ht="89.25" customHeight="1">
      <c r="A173" s="6"/>
      <c r="B173" s="6"/>
      <c r="C173" s="16"/>
      <c r="D173" s="17"/>
      <c r="E173" s="6"/>
      <c r="F173" s="19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</row>
    <row r="174" spans="1:25" s="20" customFormat="1" ht="89.25" customHeight="1">
      <c r="A174" s="6"/>
      <c r="B174" s="6"/>
      <c r="C174" s="16"/>
      <c r="D174" s="17"/>
      <c r="E174" s="6"/>
      <c r="F174" s="19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</row>
    <row r="175" spans="1:25" s="20" customFormat="1" ht="89.25" customHeight="1">
      <c r="A175" s="6"/>
      <c r="B175" s="6"/>
      <c r="C175" s="16"/>
      <c r="D175" s="17"/>
      <c r="E175" s="6"/>
      <c r="F175" s="19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</row>
    <row r="176" spans="1:25" s="20" customFormat="1" ht="89.25" customHeight="1">
      <c r="A176" s="6"/>
      <c r="B176" s="6"/>
      <c r="C176" s="16"/>
      <c r="D176" s="17"/>
      <c r="E176" s="6"/>
      <c r="F176" s="19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</row>
    <row r="177" spans="1:25" s="20" customFormat="1" ht="89.25" customHeight="1">
      <c r="A177" s="6"/>
      <c r="B177" s="6"/>
      <c r="C177" s="16"/>
      <c r="D177" s="17"/>
      <c r="E177" s="6"/>
      <c r="F177" s="19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</row>
    <row r="178" spans="1:25" s="20" customFormat="1" ht="89.25" customHeight="1">
      <c r="A178" s="6"/>
      <c r="B178" s="6"/>
      <c r="C178" s="16"/>
      <c r="D178" s="17"/>
      <c r="E178" s="6"/>
      <c r="F178" s="19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</row>
    <row r="179" spans="1:25" s="20" customFormat="1" ht="89.25" customHeight="1">
      <c r="A179" s="6"/>
      <c r="B179" s="6"/>
      <c r="C179" s="16"/>
      <c r="D179" s="17"/>
      <c r="E179" s="6"/>
      <c r="F179" s="19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</row>
    <row r="180" spans="1:25" s="20" customFormat="1" ht="89.25" customHeight="1">
      <c r="A180" s="6"/>
      <c r="B180" s="6"/>
      <c r="C180" s="16"/>
      <c r="D180" s="17"/>
      <c r="E180" s="6"/>
      <c r="F180" s="19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</row>
    <row r="181" spans="1:25" s="20" customFormat="1" ht="89.25" customHeight="1">
      <c r="A181" s="6"/>
      <c r="B181" s="6"/>
      <c r="C181" s="16"/>
      <c r="D181" s="17"/>
      <c r="E181" s="6"/>
      <c r="F181" s="19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</row>
    <row r="182" spans="1:25" s="20" customFormat="1" ht="89.25" customHeight="1">
      <c r="A182" s="6"/>
      <c r="B182" s="6"/>
      <c r="C182" s="16"/>
      <c r="D182" s="17"/>
      <c r="E182" s="6"/>
      <c r="F182" s="19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</row>
    <row r="183" spans="1:25" s="20" customFormat="1" ht="89.25" customHeight="1">
      <c r="A183" s="6"/>
      <c r="B183" s="6"/>
      <c r="C183" s="16"/>
      <c r="D183" s="17"/>
      <c r="E183" s="6"/>
      <c r="F183" s="19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</row>
    <row r="184" spans="1:25" s="20" customFormat="1" ht="89.25" customHeight="1">
      <c r="A184" s="6"/>
      <c r="B184" s="6"/>
      <c r="C184" s="16"/>
      <c r="D184" s="17"/>
      <c r="E184" s="6"/>
      <c r="F184" s="19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</row>
    <row r="185" spans="1:25" s="20" customFormat="1" ht="89.25" customHeight="1">
      <c r="A185" s="6"/>
      <c r="B185" s="6"/>
      <c r="C185" s="16"/>
      <c r="D185" s="17"/>
      <c r="E185" s="6"/>
      <c r="F185" s="19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</row>
    <row r="186" spans="1:25" s="20" customFormat="1" ht="89.25" customHeight="1">
      <c r="A186" s="6"/>
      <c r="B186" s="6"/>
      <c r="C186" s="16"/>
      <c r="D186" s="17"/>
      <c r="E186" s="6"/>
      <c r="F186" s="19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</row>
    <row r="187" spans="1:25" s="20" customFormat="1" ht="89.25" customHeight="1">
      <c r="A187" s="6"/>
      <c r="B187" s="6"/>
      <c r="C187" s="16"/>
      <c r="D187" s="17"/>
      <c r="E187" s="6"/>
      <c r="F187" s="19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</row>
    <row r="188" spans="1:25" s="20" customFormat="1" ht="89.25" customHeight="1">
      <c r="A188" s="6"/>
      <c r="B188" s="6"/>
      <c r="C188" s="16"/>
      <c r="D188" s="17"/>
      <c r="E188" s="6"/>
      <c r="F188" s="19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</row>
    <row r="189" spans="1:25" s="20" customFormat="1" ht="89.25" customHeight="1">
      <c r="A189" s="6"/>
      <c r="B189" s="6"/>
      <c r="C189" s="16"/>
      <c r="D189" s="17"/>
      <c r="E189" s="6"/>
      <c r="F189" s="19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</row>
    <row r="190" spans="1:25" s="20" customFormat="1" ht="89.25" customHeight="1">
      <c r="A190" s="6"/>
      <c r="B190" s="6"/>
      <c r="C190" s="16"/>
      <c r="D190" s="17"/>
      <c r="E190" s="6"/>
      <c r="F190" s="19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</row>
    <row r="191" spans="1:25" s="20" customFormat="1" ht="89.25" customHeight="1">
      <c r="A191" s="6"/>
      <c r="B191" s="6"/>
      <c r="C191" s="16"/>
      <c r="D191" s="17"/>
      <c r="E191" s="6"/>
      <c r="F191" s="19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</row>
    <row r="192" spans="1:25" s="20" customFormat="1" ht="89.25" customHeight="1">
      <c r="A192" s="6"/>
      <c r="B192" s="6"/>
      <c r="C192" s="16"/>
      <c r="D192" s="17"/>
      <c r="E192" s="6"/>
      <c r="F192" s="19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</row>
    <row r="193" spans="1:25" s="20" customFormat="1" ht="89.25" customHeight="1">
      <c r="A193" s="6"/>
      <c r="B193" s="6"/>
      <c r="C193" s="16"/>
      <c r="D193" s="17"/>
      <c r="E193" s="6"/>
      <c r="F193" s="19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</row>
    <row r="194" spans="1:25" s="20" customFormat="1" ht="89.25" customHeight="1">
      <c r="A194" s="6"/>
      <c r="B194" s="6"/>
      <c r="C194" s="16"/>
      <c r="D194" s="17"/>
      <c r="E194" s="6"/>
      <c r="F194" s="19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</row>
    <row r="195" spans="1:25" s="20" customFormat="1" ht="89.25" customHeight="1">
      <c r="A195" s="6"/>
      <c r="B195" s="6"/>
      <c r="C195" s="16"/>
      <c r="D195" s="17"/>
      <c r="E195" s="6"/>
      <c r="F195" s="19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</row>
    <row r="196" spans="1:25" s="20" customFormat="1" ht="89.25" customHeight="1">
      <c r="A196" s="6"/>
      <c r="B196" s="6"/>
      <c r="C196" s="16"/>
      <c r="D196" s="17"/>
      <c r="E196" s="6"/>
      <c r="F196" s="19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</row>
    <row r="197" spans="1:25" s="20" customFormat="1" ht="89.25" customHeight="1">
      <c r="A197" s="6"/>
      <c r="B197" s="6"/>
      <c r="C197" s="16"/>
      <c r="D197" s="17"/>
      <c r="E197" s="6"/>
      <c r="F197" s="19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</row>
    <row r="198" spans="1:25" s="20" customFormat="1" ht="89.25" customHeight="1">
      <c r="A198" s="6"/>
      <c r="B198" s="6"/>
      <c r="C198" s="16"/>
      <c r="D198" s="17"/>
      <c r="E198" s="6"/>
      <c r="F198" s="19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</row>
    <row r="199" spans="1:25" s="20" customFormat="1" ht="89.25" customHeight="1">
      <c r="A199" s="6"/>
      <c r="B199" s="6"/>
      <c r="C199" s="16"/>
      <c r="D199" s="17"/>
      <c r="E199" s="6"/>
      <c r="F199" s="19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</row>
    <row r="200" spans="1:25" s="20" customFormat="1" ht="89.25" customHeight="1">
      <c r="A200" s="6"/>
      <c r="B200" s="6"/>
      <c r="C200" s="16"/>
      <c r="D200" s="17"/>
      <c r="E200" s="6"/>
      <c r="F200" s="19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</row>
    <row r="201" spans="1:25" s="20" customFormat="1" ht="89.25" customHeight="1">
      <c r="A201" s="6"/>
      <c r="B201" s="6"/>
      <c r="C201" s="16"/>
      <c r="D201" s="17"/>
      <c r="E201" s="6"/>
      <c r="F201" s="19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</row>
    <row r="202" spans="1:25" s="20" customFormat="1" ht="89.25" customHeight="1">
      <c r="A202" s="6"/>
      <c r="B202" s="6"/>
      <c r="C202" s="16"/>
      <c r="D202" s="17"/>
      <c r="E202" s="6"/>
      <c r="F202" s="19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</row>
    <row r="203" spans="1:25" s="20" customFormat="1" ht="89.25" customHeight="1">
      <c r="A203" s="6"/>
      <c r="B203" s="6"/>
      <c r="C203" s="16"/>
      <c r="D203" s="17"/>
      <c r="E203" s="6"/>
      <c r="F203" s="19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</row>
    <row r="204" spans="1:25" s="20" customFormat="1" ht="89.25" customHeight="1">
      <c r="A204" s="6"/>
      <c r="B204" s="6"/>
      <c r="C204" s="16"/>
      <c r="D204" s="17"/>
      <c r="E204" s="6"/>
      <c r="F204" s="19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</row>
    <row r="205" spans="1:25" s="20" customFormat="1" ht="89.25" customHeight="1">
      <c r="A205" s="6"/>
      <c r="B205" s="6"/>
      <c r="C205" s="16"/>
      <c r="D205" s="17"/>
      <c r="E205" s="6"/>
      <c r="F205" s="19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</row>
    <row r="206" spans="1:25" s="20" customFormat="1" ht="89.25" customHeight="1">
      <c r="A206" s="6"/>
      <c r="B206" s="6"/>
      <c r="C206" s="16"/>
      <c r="D206" s="17"/>
      <c r="E206" s="6"/>
      <c r="F206" s="19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</row>
    <row r="207" spans="1:25" s="20" customFormat="1" ht="89.25" customHeight="1">
      <c r="A207" s="6"/>
      <c r="B207" s="6"/>
      <c r="C207" s="16"/>
      <c r="D207" s="17"/>
      <c r="E207" s="6"/>
      <c r="F207" s="19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</row>
    <row r="208" spans="1:25" s="20" customFormat="1" ht="89.25" customHeight="1">
      <c r="A208" s="6"/>
      <c r="B208" s="6"/>
      <c r="C208" s="16"/>
      <c r="D208" s="17"/>
      <c r="E208" s="6"/>
      <c r="F208" s="19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</row>
    <row r="209" spans="1:25" s="20" customFormat="1" ht="89.25" customHeight="1">
      <c r="A209" s="6"/>
      <c r="B209" s="6"/>
      <c r="C209" s="16"/>
      <c r="D209" s="17"/>
      <c r="E209" s="6"/>
      <c r="F209" s="19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</row>
    <row r="210" spans="1:25" s="20" customFormat="1" ht="89.25" customHeight="1">
      <c r="A210" s="6"/>
      <c r="B210" s="6"/>
      <c r="C210" s="16"/>
      <c r="D210" s="17"/>
      <c r="E210" s="6"/>
      <c r="F210" s="19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</row>
    <row r="211" spans="1:25" s="20" customFormat="1" ht="89.25" customHeight="1">
      <c r="A211" s="6"/>
      <c r="B211" s="6"/>
      <c r="C211" s="16"/>
      <c r="D211" s="17"/>
      <c r="E211" s="6"/>
      <c r="F211" s="19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</row>
    <row r="212" spans="1:25" s="20" customFormat="1" ht="89.25" customHeight="1">
      <c r="A212" s="6"/>
      <c r="B212" s="6"/>
      <c r="C212" s="16"/>
      <c r="D212" s="17"/>
      <c r="E212" s="6"/>
      <c r="F212" s="19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</row>
    <row r="213" spans="1:25" s="20" customFormat="1" ht="89.25" customHeight="1">
      <c r="A213" s="6"/>
      <c r="B213" s="6"/>
      <c r="C213" s="16"/>
      <c r="D213" s="17"/>
      <c r="E213" s="6"/>
      <c r="F213" s="19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</row>
    <row r="214" spans="1:25" s="20" customFormat="1" ht="89.25" customHeight="1">
      <c r="A214" s="6"/>
      <c r="B214" s="6"/>
      <c r="C214" s="16"/>
      <c r="D214" s="17"/>
      <c r="E214" s="6"/>
      <c r="F214" s="19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</row>
    <row r="215" spans="1:25" s="20" customFormat="1" ht="89.25" customHeight="1">
      <c r="A215" s="6"/>
      <c r="B215" s="6"/>
      <c r="C215" s="16"/>
      <c r="D215" s="17"/>
      <c r="E215" s="6"/>
      <c r="F215" s="19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</row>
    <row r="216" spans="1:25" s="20" customFormat="1" ht="89.25" customHeight="1">
      <c r="A216" s="6"/>
      <c r="B216" s="6"/>
      <c r="C216" s="16"/>
      <c r="D216" s="17"/>
      <c r="E216" s="6"/>
      <c r="F216" s="19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</row>
    <row r="217" spans="1:25" s="20" customFormat="1" ht="89.25" customHeight="1">
      <c r="A217" s="6"/>
      <c r="B217" s="6"/>
      <c r="C217" s="16"/>
      <c r="D217" s="17"/>
      <c r="E217" s="6"/>
      <c r="F217" s="19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</row>
    <row r="218" spans="1:25" s="20" customFormat="1" ht="89.25" customHeight="1">
      <c r="A218" s="6"/>
      <c r="B218" s="6"/>
      <c r="C218" s="16"/>
      <c r="D218" s="17"/>
      <c r="E218" s="6"/>
      <c r="F218" s="19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</row>
    <row r="219" spans="1:25" s="20" customFormat="1" ht="89.25" customHeight="1">
      <c r="A219" s="6"/>
      <c r="B219" s="6"/>
      <c r="C219" s="16"/>
      <c r="D219" s="17"/>
      <c r="E219" s="6"/>
      <c r="F219" s="19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</row>
    <row r="220" spans="1:25" s="20" customFormat="1" ht="89.25" customHeight="1">
      <c r="A220" s="6"/>
      <c r="B220" s="6"/>
      <c r="C220" s="16"/>
      <c r="D220" s="17"/>
      <c r="E220" s="6"/>
      <c r="F220" s="19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</row>
    <row r="221" spans="1:25" s="20" customFormat="1" ht="89.25" customHeight="1">
      <c r="A221" s="6"/>
      <c r="B221" s="6"/>
      <c r="C221" s="16"/>
      <c r="D221" s="17"/>
      <c r="E221" s="6"/>
      <c r="F221" s="19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</row>
    <row r="222" spans="1:25" s="20" customFormat="1" ht="89.25" customHeight="1">
      <c r="A222" s="6"/>
      <c r="B222" s="6"/>
      <c r="C222" s="16"/>
      <c r="D222" s="17"/>
      <c r="E222" s="6"/>
      <c r="F222" s="19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</row>
    <row r="223" spans="1:25" s="20" customFormat="1" ht="89.25" customHeight="1">
      <c r="A223" s="6"/>
      <c r="B223" s="6"/>
      <c r="C223" s="16"/>
      <c r="D223" s="17"/>
      <c r="E223" s="6"/>
      <c r="F223" s="19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</row>
    <row r="224" spans="1:25" s="20" customFormat="1" ht="89.25" customHeight="1">
      <c r="A224" s="6"/>
      <c r="B224" s="6"/>
      <c r="C224" s="16"/>
      <c r="D224" s="17"/>
      <c r="E224" s="6"/>
      <c r="F224" s="19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</row>
    <row r="225" spans="1:25" s="20" customFormat="1" ht="89.25" customHeight="1">
      <c r="A225" s="6"/>
      <c r="B225" s="6"/>
      <c r="C225" s="16"/>
      <c r="D225" s="17"/>
      <c r="E225" s="6"/>
      <c r="F225" s="19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</row>
    <row r="226" spans="1:25" s="20" customFormat="1" ht="89.25" customHeight="1">
      <c r="A226" s="6"/>
      <c r="B226" s="6"/>
      <c r="C226" s="16"/>
      <c r="D226" s="17"/>
      <c r="E226" s="6"/>
      <c r="F226" s="19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</row>
    <row r="227" spans="1:25" s="20" customFormat="1" ht="89.25" customHeight="1">
      <c r="A227" s="6"/>
      <c r="B227" s="6"/>
      <c r="C227" s="16"/>
      <c r="D227" s="17"/>
      <c r="E227" s="6"/>
      <c r="F227" s="19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</row>
    <row r="228" spans="1:25" s="20" customFormat="1" ht="89.25" customHeight="1">
      <c r="A228" s="6"/>
      <c r="B228" s="6"/>
      <c r="C228" s="16"/>
      <c r="D228" s="17"/>
      <c r="E228" s="6"/>
      <c r="F228" s="19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</row>
    <row r="229" spans="1:25" s="20" customFormat="1" ht="89.25" customHeight="1">
      <c r="A229" s="6"/>
      <c r="B229" s="6"/>
      <c r="C229" s="16"/>
      <c r="D229" s="17"/>
      <c r="E229" s="6"/>
      <c r="F229" s="19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</row>
    <row r="230" spans="1:25" s="20" customFormat="1" ht="89.25" customHeight="1">
      <c r="A230" s="6"/>
      <c r="B230" s="6"/>
      <c r="C230" s="16"/>
      <c r="D230" s="17"/>
      <c r="E230" s="6"/>
      <c r="F230" s="19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</row>
    <row r="231" spans="1:25" s="20" customFormat="1" ht="89.25" customHeight="1">
      <c r="A231" s="6"/>
      <c r="B231" s="6"/>
      <c r="C231" s="16"/>
      <c r="D231" s="17"/>
      <c r="E231" s="6"/>
      <c r="F231" s="19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</row>
    <row r="232" spans="1:25" s="20" customFormat="1" ht="89.25" customHeight="1">
      <c r="A232" s="6"/>
      <c r="B232" s="6"/>
      <c r="C232" s="16"/>
      <c r="D232" s="17"/>
      <c r="E232" s="6"/>
      <c r="F232" s="19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</row>
    <row r="233" spans="1:25" s="20" customFormat="1" ht="89.25" customHeight="1">
      <c r="A233" s="6"/>
      <c r="B233" s="6"/>
      <c r="C233" s="16"/>
      <c r="D233" s="17"/>
      <c r="E233" s="6"/>
      <c r="F233" s="19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</row>
    <row r="234" spans="1:25" s="20" customFormat="1" ht="89.25" customHeight="1">
      <c r="A234" s="6"/>
      <c r="B234" s="6"/>
      <c r="C234" s="16"/>
      <c r="D234" s="17"/>
      <c r="E234" s="6"/>
      <c r="F234" s="19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</row>
    <row r="235" spans="1:25" s="20" customFormat="1" ht="89.25" customHeight="1">
      <c r="A235" s="6"/>
      <c r="B235" s="6"/>
      <c r="C235" s="16"/>
      <c r="D235" s="17"/>
      <c r="E235" s="6"/>
      <c r="F235" s="19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</row>
    <row r="236" spans="1:25" s="20" customFormat="1" ht="89.25" customHeight="1">
      <c r="A236" s="6"/>
      <c r="B236" s="6"/>
      <c r="C236" s="16"/>
      <c r="D236" s="17"/>
      <c r="E236" s="6"/>
      <c r="F236" s="19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</row>
    <row r="237" spans="1:25" s="20" customFormat="1" ht="89.25" customHeight="1">
      <c r="A237" s="6"/>
      <c r="B237" s="6"/>
      <c r="C237" s="16"/>
      <c r="D237" s="17"/>
      <c r="E237" s="6"/>
      <c r="F237" s="19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</row>
  </sheetData>
  <mergeCells count="22">
    <mergeCell ref="D52:E52"/>
    <mergeCell ref="A49:B49"/>
    <mergeCell ref="A14:D14"/>
    <mergeCell ref="A18:D18"/>
    <mergeCell ref="A16:D16"/>
    <mergeCell ref="A17:D17"/>
    <mergeCell ref="A51:B51"/>
    <mergeCell ref="A50:B50"/>
    <mergeCell ref="D51:E51"/>
    <mergeCell ref="D50:E50"/>
    <mergeCell ref="A1:F3"/>
    <mergeCell ref="A5:F5"/>
    <mergeCell ref="A6:F6"/>
    <mergeCell ref="A7:E7"/>
    <mergeCell ref="A9:D9"/>
    <mergeCell ref="A4:F4"/>
    <mergeCell ref="A10:D10"/>
    <mergeCell ref="A13:D13"/>
    <mergeCell ref="A12:D12"/>
    <mergeCell ref="A11:D11"/>
    <mergeCell ref="D49:E49"/>
    <mergeCell ref="A15:D15"/>
  </mergeCells>
  <printOptions horizontalCentered="1" verticalCentered="1"/>
  <pageMargins left="0.59055118110236227" right="0.59055118110236227" top="0.59055118110236227" bottom="0.59055118110236227" header="0.31496062992125984" footer="0.31496062992125984"/>
  <pageSetup paperSize="9" scale="47" orientation="landscape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Hoja26">
    <tabColor rgb="FF00B0F0"/>
    <pageSetUpPr fitToPage="1"/>
  </sheetPr>
  <dimension ref="A1:AG237"/>
  <sheetViews>
    <sheetView showGridLines="0" topLeftCell="A19" zoomScale="70" zoomScaleNormal="70" workbookViewId="0">
      <selection activeCell="F43" sqref="F43"/>
    </sheetView>
  </sheetViews>
  <sheetFormatPr baseColWidth="10" defaultRowHeight="89.25" customHeight="1"/>
  <cols>
    <col min="1" max="1" width="25.28515625" style="6" customWidth="1"/>
    <col min="2" max="2" width="30.7109375" style="6" customWidth="1"/>
    <col min="3" max="3" width="25.28515625" style="16" customWidth="1"/>
    <col min="4" max="4" width="25.28515625" style="17" customWidth="1"/>
    <col min="5" max="5" width="15.28515625" style="6" bestFit="1" customWidth="1"/>
    <col min="6" max="6" width="21.7109375" style="19" bestFit="1" customWidth="1"/>
    <col min="7" max="7" width="19.140625" style="5" bestFit="1" customWidth="1"/>
    <col min="8" max="8" width="18.28515625" style="5" bestFit="1" customWidth="1"/>
    <col min="9" max="10" width="18.7109375" style="5" customWidth="1"/>
    <col min="11" max="25" width="11.42578125" style="5"/>
    <col min="26" max="16384" width="11.42578125" style="6"/>
  </cols>
  <sheetData>
    <row r="1" spans="1:25" s="4" customFormat="1" ht="33.75" customHeight="1">
      <c r="A1" s="1339" t="s">
        <v>759</v>
      </c>
      <c r="B1" s="1339"/>
      <c r="C1" s="1339"/>
      <c r="D1" s="1339"/>
      <c r="E1" s="1339"/>
      <c r="F1" s="1339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spans="1:25" s="4" customFormat="1" ht="33.75" customHeight="1">
      <c r="A2" s="1339"/>
      <c r="B2" s="1339"/>
      <c r="C2" s="1339"/>
      <c r="D2" s="1339"/>
      <c r="E2" s="1339"/>
      <c r="F2" s="1339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 s="4" customFormat="1" ht="15.75">
      <c r="A3" s="1339"/>
      <c r="B3" s="1339"/>
      <c r="C3" s="1339"/>
      <c r="D3" s="1339"/>
      <c r="E3" s="1339"/>
      <c r="F3" s="1339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</row>
    <row r="4" spans="1:25" s="4" customFormat="1" ht="15.75">
      <c r="A4" s="1345" t="str">
        <f>+'Anexo 14 Bugalagrande'!A4:F4</f>
        <v>AL 31 DE JULIO DE 2023</v>
      </c>
      <c r="B4" s="1345"/>
      <c r="C4" s="1345"/>
      <c r="D4" s="1345"/>
      <c r="E4" s="1345"/>
      <c r="F4" s="1345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</row>
    <row r="5" spans="1:25" ht="30" customHeight="1">
      <c r="A5" s="1339" t="s">
        <v>205</v>
      </c>
      <c r="B5" s="1339"/>
      <c r="C5" s="1339"/>
      <c r="D5" s="1339"/>
      <c r="E5" s="1339"/>
      <c r="F5" s="1339"/>
    </row>
    <row r="6" spans="1:25" ht="30" customHeight="1" thickBot="1">
      <c r="A6" s="1339" t="s">
        <v>200</v>
      </c>
      <c r="B6" s="1339"/>
      <c r="C6" s="1339"/>
      <c r="D6" s="1339"/>
      <c r="E6" s="1339"/>
      <c r="F6" s="1339"/>
    </row>
    <row r="7" spans="1:25" ht="30" customHeight="1" thickBot="1">
      <c r="A7" s="1346" t="s">
        <v>1</v>
      </c>
      <c r="B7" s="1347"/>
      <c r="C7" s="1347"/>
      <c r="D7" s="1347"/>
      <c r="E7" s="1347"/>
      <c r="F7" s="7" t="s">
        <v>2</v>
      </c>
    </row>
    <row r="8" spans="1:25" ht="18.600000000000001" customHeight="1">
      <c r="A8" s="8"/>
      <c r="B8" s="9"/>
      <c r="C8" s="9"/>
      <c r="D8" s="9"/>
      <c r="E8" s="10"/>
      <c r="F8" s="11"/>
      <c r="I8" s="12"/>
      <c r="J8" s="12"/>
    </row>
    <row r="9" spans="1:25" ht="18.600000000000001" customHeight="1">
      <c r="A9" s="1342" t="str">
        <f>+'Anexo 14 Bugalagrande'!A9:D9</f>
        <v>TOTAL RENDIMIENTOS GENERADOS POR LOS RECURSOS DEL FONDO DE JULIO DE 2023</v>
      </c>
      <c r="B9" s="1343"/>
      <c r="C9" s="1343"/>
      <c r="D9" s="1343"/>
      <c r="E9" s="259"/>
      <c r="F9" s="260">
        <f>F43</f>
        <v>687463.52</v>
      </c>
      <c r="I9" s="13"/>
      <c r="J9" s="12"/>
    </row>
    <row r="10" spans="1:25" ht="18.600000000000001" customHeight="1">
      <c r="A10" s="1333" t="s">
        <v>213</v>
      </c>
      <c r="B10" s="1334"/>
      <c r="C10" s="1334"/>
      <c r="D10" s="1334"/>
      <c r="E10" s="261">
        <v>6580.64</v>
      </c>
      <c r="F10" s="262"/>
    </row>
    <row r="11" spans="1:25" ht="18.600000000000001" customHeight="1">
      <c r="A11" s="1333" t="s">
        <v>212</v>
      </c>
      <c r="B11" s="1334"/>
      <c r="C11" s="1334"/>
      <c r="D11" s="1334"/>
      <c r="E11" s="261">
        <v>51000.55</v>
      </c>
      <c r="F11" s="262"/>
    </row>
    <row r="12" spans="1:25" ht="18.600000000000001" customHeight="1">
      <c r="A12" s="1333" t="s">
        <v>223</v>
      </c>
      <c r="B12" s="1334"/>
      <c r="C12" s="1334"/>
      <c r="D12" s="1334"/>
      <c r="E12" s="261">
        <v>46204.43</v>
      </c>
      <c r="F12" s="262"/>
    </row>
    <row r="13" spans="1:25" ht="18.600000000000001" customHeight="1">
      <c r="A13" s="1333" t="s">
        <v>231</v>
      </c>
      <c r="B13" s="1334"/>
      <c r="C13" s="1334"/>
      <c r="D13" s="1334"/>
      <c r="E13" s="261">
        <v>51008.82</v>
      </c>
      <c r="F13" s="262"/>
    </row>
    <row r="14" spans="1:25" ht="18.600000000000001" customHeight="1">
      <c r="A14" s="1333" t="s">
        <v>244</v>
      </c>
      <c r="B14" s="1334"/>
      <c r="C14" s="1334"/>
      <c r="D14" s="1334"/>
      <c r="E14" s="261">
        <v>49212.69</v>
      </c>
      <c r="F14" s="262"/>
    </row>
    <row r="15" spans="1:25" ht="15.75" customHeight="1">
      <c r="A15" s="1333" t="s">
        <v>272</v>
      </c>
      <c r="B15" s="1334"/>
      <c r="C15" s="1334"/>
      <c r="D15" s="1334"/>
      <c r="E15" s="261">
        <v>51017.34</v>
      </c>
      <c r="F15" s="262"/>
    </row>
    <row r="16" spans="1:25" ht="18.600000000000001" customHeight="1">
      <c r="A16" s="1333" t="s">
        <v>276</v>
      </c>
      <c r="B16" s="1334"/>
      <c r="C16" s="1334"/>
      <c r="D16" s="1334"/>
      <c r="E16" s="261">
        <v>49220.91</v>
      </c>
      <c r="F16" s="262"/>
    </row>
    <row r="17" spans="1:7" ht="18.600000000000001" customHeight="1">
      <c r="A17" s="1333" t="s">
        <v>294</v>
      </c>
      <c r="B17" s="1334"/>
      <c r="C17" s="1334"/>
      <c r="D17" s="1334"/>
      <c r="E17" s="261">
        <f>47074.73+1</f>
        <v>47075.73</v>
      </c>
      <c r="F17" s="262"/>
      <c r="G17" s="5" t="str">
        <f>+"+1"</f>
        <v>+1</v>
      </c>
    </row>
    <row r="18" spans="1:7" ht="18.600000000000001" customHeight="1">
      <c r="A18" s="1333" t="s">
        <v>307</v>
      </c>
      <c r="B18" s="1334"/>
      <c r="C18" s="1334"/>
      <c r="D18" s="1334"/>
      <c r="E18" s="261">
        <v>39894.879999999997</v>
      </c>
      <c r="F18" s="262"/>
    </row>
    <row r="19" spans="1:7" ht="18.600000000000001" customHeight="1">
      <c r="A19" s="543" t="s">
        <v>365</v>
      </c>
      <c r="B19" s="544"/>
      <c r="C19" s="544"/>
      <c r="D19" s="544"/>
      <c r="E19" s="261">
        <f>28003.16+1</f>
        <v>28004.16</v>
      </c>
      <c r="F19" s="262"/>
      <c r="G19" s="5" t="str">
        <f>+"+1"</f>
        <v>+1</v>
      </c>
    </row>
    <row r="20" spans="1:7" ht="18.600000000000001" customHeight="1">
      <c r="A20" s="574" t="s">
        <v>427</v>
      </c>
      <c r="B20" s="575"/>
      <c r="C20" s="575"/>
      <c r="D20" s="575"/>
      <c r="E20" s="261">
        <v>11919.7</v>
      </c>
      <c r="F20" s="262"/>
    </row>
    <row r="21" spans="1:7" ht="18.600000000000001" customHeight="1">
      <c r="A21" s="651" t="s">
        <v>462</v>
      </c>
      <c r="B21" s="652"/>
      <c r="C21" s="652"/>
      <c r="D21" s="652"/>
      <c r="E21" s="261">
        <v>1969.08</v>
      </c>
      <c r="F21" s="262"/>
    </row>
    <row r="22" spans="1:7" ht="18.600000000000001" customHeight="1">
      <c r="A22" s="670" t="s">
        <v>494</v>
      </c>
      <c r="B22" s="671"/>
      <c r="C22" s="671"/>
      <c r="D22" s="671"/>
      <c r="E22" s="261">
        <v>2041.29</v>
      </c>
      <c r="F22" s="262"/>
    </row>
    <row r="23" spans="1:7" ht="18.600000000000001" customHeight="1">
      <c r="A23" s="689" t="s">
        <v>501</v>
      </c>
      <c r="B23" s="690"/>
      <c r="C23" s="690"/>
      <c r="D23" s="690"/>
      <c r="E23" s="261">
        <v>2041.46</v>
      </c>
      <c r="F23" s="262"/>
    </row>
    <row r="24" spans="1:7" ht="18.600000000000001" customHeight="1">
      <c r="A24" s="725" t="s">
        <v>515</v>
      </c>
      <c r="B24" s="726"/>
      <c r="C24" s="726"/>
      <c r="D24" s="726"/>
      <c r="E24" s="261">
        <v>1849.48</v>
      </c>
      <c r="F24" s="262"/>
    </row>
    <row r="25" spans="1:7" ht="18.600000000000001" customHeight="1">
      <c r="A25" s="743" t="s">
        <v>520</v>
      </c>
      <c r="B25" s="744"/>
      <c r="C25" s="744"/>
      <c r="D25" s="744"/>
      <c r="E25" s="261">
        <v>2041.79</v>
      </c>
      <c r="F25" s="262"/>
    </row>
    <row r="26" spans="1:7" ht="18.600000000000001" customHeight="1">
      <c r="A26" s="773" t="s">
        <v>537</v>
      </c>
      <c r="B26" s="774"/>
      <c r="C26" s="774"/>
      <c r="D26" s="774"/>
      <c r="E26" s="261">
        <f>1969.89-2</f>
        <v>1967.89</v>
      </c>
      <c r="F26" s="262"/>
      <c r="G26" s="785" t="str">
        <f>"-2"</f>
        <v>-2</v>
      </c>
    </row>
    <row r="27" spans="1:7" ht="18.600000000000001" customHeight="1">
      <c r="A27" s="793" t="s">
        <v>567</v>
      </c>
      <c r="B27" s="794"/>
      <c r="C27" s="794"/>
      <c r="D27" s="794"/>
      <c r="E27" s="261">
        <v>2042.13</v>
      </c>
      <c r="F27" s="262"/>
      <c r="G27" s="785"/>
    </row>
    <row r="28" spans="1:7" ht="18.600000000000001" customHeight="1">
      <c r="A28" s="811" t="s">
        <v>577</v>
      </c>
      <c r="B28" s="812"/>
      <c r="C28" s="812"/>
      <c r="D28" s="812"/>
      <c r="E28" s="261">
        <v>1970.22</v>
      </c>
      <c r="F28" s="262"/>
      <c r="G28" s="785"/>
    </row>
    <row r="29" spans="1:7" ht="18.600000000000001" customHeight="1">
      <c r="A29" s="874" t="s">
        <v>625</v>
      </c>
      <c r="B29" s="875"/>
      <c r="C29" s="875"/>
      <c r="D29" s="875"/>
      <c r="E29" s="261">
        <v>2042.47</v>
      </c>
      <c r="F29" s="262"/>
      <c r="G29" s="785"/>
    </row>
    <row r="30" spans="1:7" ht="18.600000000000001" customHeight="1">
      <c r="A30" s="895" t="s">
        <v>720</v>
      </c>
      <c r="B30" s="896"/>
      <c r="C30" s="896"/>
      <c r="D30" s="896"/>
      <c r="E30" s="261">
        <v>2042.65</v>
      </c>
      <c r="F30" s="262"/>
      <c r="G30" s="785"/>
    </row>
    <row r="31" spans="1:7" ht="18.600000000000001" customHeight="1">
      <c r="A31" s="904" t="s">
        <v>647</v>
      </c>
      <c r="B31" s="905"/>
      <c r="C31" s="905"/>
      <c r="D31" s="905"/>
      <c r="E31" s="261">
        <v>1970.72</v>
      </c>
      <c r="F31" s="262"/>
      <c r="G31" s="785"/>
    </row>
    <row r="32" spans="1:7" ht="18.600000000000001" customHeight="1">
      <c r="A32" s="924" t="s">
        <v>655</v>
      </c>
      <c r="B32" s="925"/>
      <c r="C32" s="925"/>
      <c r="D32" s="925"/>
      <c r="E32" s="261">
        <v>2042.99</v>
      </c>
      <c r="F32" s="262"/>
      <c r="G32" s="785"/>
    </row>
    <row r="33" spans="1:33" ht="18.600000000000001" customHeight="1">
      <c r="A33" s="948" t="s">
        <v>665</v>
      </c>
      <c r="B33" s="949"/>
      <c r="C33" s="949"/>
      <c r="D33" s="949"/>
      <c r="E33" s="261">
        <v>3423.99</v>
      </c>
      <c r="F33" s="262"/>
      <c r="G33" s="785"/>
    </row>
    <row r="34" spans="1:33" ht="18.600000000000001" customHeight="1">
      <c r="A34" s="966" t="s">
        <v>677</v>
      </c>
      <c r="B34" s="967"/>
      <c r="C34" s="967"/>
      <c r="D34" s="967"/>
      <c r="E34" s="261">
        <v>7063.77</v>
      </c>
      <c r="F34" s="262"/>
      <c r="G34" s="785"/>
    </row>
    <row r="35" spans="1:33" ht="18.600000000000001" customHeight="1">
      <c r="A35" s="989" t="s">
        <v>687</v>
      </c>
      <c r="B35" s="990"/>
      <c r="C35" s="990"/>
      <c r="D35" s="990"/>
      <c r="E35" s="261">
        <v>7064.37</v>
      </c>
      <c r="F35" s="262"/>
      <c r="G35" s="785"/>
    </row>
    <row r="36" spans="1:33" ht="18.600000000000001" customHeight="1">
      <c r="A36" s="1015" t="s">
        <v>720</v>
      </c>
      <c r="B36" s="1016"/>
      <c r="C36" s="1016"/>
      <c r="D36" s="1016"/>
      <c r="E36" s="261">
        <v>6400.03</v>
      </c>
      <c r="F36" s="262"/>
      <c r="G36" s="785"/>
    </row>
    <row r="37" spans="1:33" ht="18.600000000000001" customHeight="1">
      <c r="A37" s="1032" t="s">
        <v>729</v>
      </c>
      <c r="B37" s="1033"/>
      <c r="C37" s="1033"/>
      <c r="D37" s="1033"/>
      <c r="E37" s="261">
        <v>150707.07</v>
      </c>
      <c r="F37" s="262"/>
      <c r="G37" s="785"/>
    </row>
    <row r="38" spans="1:33" ht="18.600000000000001" customHeight="1">
      <c r="A38" s="1069" t="s">
        <v>748</v>
      </c>
      <c r="B38" s="1070"/>
      <c r="C38" s="1070"/>
      <c r="D38" s="1070"/>
      <c r="E38" s="261">
        <v>14037.39</v>
      </c>
      <c r="F38" s="262"/>
      <c r="G38" s="785"/>
    </row>
    <row r="39" spans="1:33" ht="18.600000000000001" customHeight="1">
      <c r="A39" s="1090" t="str">
        <f>+'Anexo 14 Bugalagrande'!A39</f>
        <v>Rendimientos financieros AL 31 DE MAYO DE 2023</v>
      </c>
      <c r="B39" s="1091"/>
      <c r="C39" s="1091"/>
      <c r="D39" s="1091"/>
      <c r="E39" s="261">
        <v>14598.39</v>
      </c>
      <c r="F39" s="262"/>
      <c r="G39" s="785">
        <f>+SUM(E10:E39)</f>
        <v>658457.03</v>
      </c>
    </row>
    <row r="40" spans="1:33" ht="18.600000000000001" customHeight="1">
      <c r="A40" s="1100" t="str">
        <f>+'Anexo 14 Bugalagrande'!A40</f>
        <v>Rendimientos financieros AL 30 DE JUNIO DE 2023</v>
      </c>
      <c r="B40" s="1101"/>
      <c r="C40" s="1101"/>
      <c r="D40" s="1101"/>
      <c r="E40" s="261">
        <v>14219.11</v>
      </c>
      <c r="F40" s="262"/>
      <c r="G40" s="785"/>
    </row>
    <row r="41" spans="1:33" ht="18.600000000000001" customHeight="1">
      <c r="A41" s="1128" t="str">
        <f>+'Anexo 14 Bugalagrande'!A41</f>
        <v>Rendimientos financieros AL 31 DE JULIO DE 2023</v>
      </c>
      <c r="B41" s="1129"/>
      <c r="C41" s="1129"/>
      <c r="D41" s="1129"/>
      <c r="E41" s="261">
        <v>14787.38</v>
      </c>
      <c r="F41" s="262"/>
      <c r="G41" s="785"/>
    </row>
    <row r="42" spans="1:33" s="5" customFormat="1" ht="18.600000000000001" customHeight="1">
      <c r="A42" s="226"/>
      <c r="B42" s="227"/>
      <c r="C42" s="227"/>
      <c r="D42" s="227"/>
      <c r="E42" s="263"/>
      <c r="F42" s="264"/>
      <c r="G42" s="776" t="s">
        <v>535</v>
      </c>
      <c r="H42" s="775" t="s">
        <v>536</v>
      </c>
      <c r="I42" s="775" t="s">
        <v>516</v>
      </c>
      <c r="J42" s="742" t="s">
        <v>65</v>
      </c>
      <c r="Z42" s="6"/>
      <c r="AA42" s="6"/>
      <c r="AB42" s="6"/>
      <c r="AC42" s="6"/>
      <c r="AD42" s="6"/>
      <c r="AE42" s="6"/>
      <c r="AF42" s="6"/>
      <c r="AG42" s="6"/>
    </row>
    <row r="43" spans="1:33" s="5" customFormat="1" ht="24.75" customHeight="1" thickBot="1">
      <c r="A43" s="14" t="str">
        <f>+'Anexo 14 Bugalagrande'!A43</f>
        <v>TOTAL RENDIMIENTOS DISPONIBLES AL 31 DE JULIO DE 2023</v>
      </c>
      <c r="B43" s="15"/>
      <c r="C43" s="15"/>
      <c r="D43" s="15"/>
      <c r="E43" s="265"/>
      <c r="F43" s="266">
        <f>SUM(E9:E42)</f>
        <v>687463.52</v>
      </c>
      <c r="G43" s="5">
        <f>+F43+Adhesiones!H70</f>
        <v>2269647.478213687</v>
      </c>
      <c r="H43" s="741">
        <f>+G43-F43</f>
        <v>1582183.9582136869</v>
      </c>
      <c r="I43" s="5">
        <f>-'Anexo 3-Porcion C-NC'!B26</f>
        <v>-1582184.2</v>
      </c>
      <c r="J43" s="1018">
        <f>+H43+I43</f>
        <v>-0.24178631301037967</v>
      </c>
      <c r="Z43" s="6"/>
      <c r="AA43" s="6"/>
      <c r="AB43" s="6"/>
      <c r="AC43" s="6"/>
      <c r="AD43" s="6"/>
      <c r="AE43" s="6"/>
      <c r="AF43" s="6"/>
      <c r="AG43" s="6"/>
    </row>
    <row r="44" spans="1:33" s="20" customFormat="1" ht="15.75">
      <c r="A44" s="6"/>
      <c r="B44" s="6"/>
      <c r="C44" s="16"/>
      <c r="D44" s="17"/>
      <c r="E44" s="18"/>
      <c r="F44" s="19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</row>
    <row r="45" spans="1:33" s="20" customFormat="1" ht="15.75">
      <c r="A45" s="6"/>
      <c r="B45" s="6"/>
      <c r="C45" s="16"/>
      <c r="D45" s="17"/>
      <c r="E45" s="21"/>
      <c r="F45" s="19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</row>
    <row r="46" spans="1:33" s="20" customFormat="1" ht="15.75">
      <c r="A46" s="6"/>
      <c r="B46" s="6"/>
      <c r="C46" s="16"/>
      <c r="D46" s="17"/>
      <c r="E46" s="22"/>
      <c r="F46" s="19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</row>
    <row r="47" spans="1:33" s="20" customFormat="1" ht="15.75">
      <c r="A47" s="6"/>
      <c r="B47" s="6"/>
      <c r="C47" s="16"/>
      <c r="D47" s="17"/>
      <c r="E47" s="22"/>
      <c r="F47" s="19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</row>
    <row r="48" spans="1:33" s="5" customFormat="1" ht="16.5" thickBot="1">
      <c r="A48" s="23"/>
      <c r="B48" s="24"/>
      <c r="C48" s="25"/>
      <c r="D48" s="131"/>
      <c r="E48" s="132"/>
      <c r="F48" s="133"/>
    </row>
    <row r="49" spans="1:25" s="5" customFormat="1" ht="15" customHeight="1">
      <c r="A49" s="1336" t="s">
        <v>135</v>
      </c>
      <c r="B49" s="1336"/>
      <c r="C49" s="1"/>
      <c r="D49" s="1336" t="s">
        <v>517</v>
      </c>
      <c r="E49" s="1336"/>
      <c r="F49" s="224"/>
    </row>
    <row r="50" spans="1:25" s="5" customFormat="1" ht="14.45" customHeight="1">
      <c r="A50" s="1332" t="s">
        <v>145</v>
      </c>
      <c r="B50" s="1332"/>
      <c r="C50" s="2"/>
      <c r="D50" s="1332" t="s">
        <v>519</v>
      </c>
      <c r="E50" s="1332"/>
      <c r="F50" s="225"/>
    </row>
    <row r="51" spans="1:25" s="5" customFormat="1" ht="15.75" customHeight="1">
      <c r="A51" s="1332" t="s">
        <v>48</v>
      </c>
      <c r="B51" s="1332"/>
      <c r="C51" s="2"/>
      <c r="D51" s="1332" t="s">
        <v>48</v>
      </c>
      <c r="E51" s="1332"/>
      <c r="F51" s="225"/>
    </row>
    <row r="52" spans="1:25" s="20" customFormat="1" ht="15.75" customHeight="1">
      <c r="A52" s="6"/>
      <c r="B52" s="6"/>
      <c r="C52" s="16"/>
      <c r="D52" s="1335" t="s">
        <v>518</v>
      </c>
      <c r="E52" s="1335"/>
      <c r="F52" s="22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</row>
    <row r="53" spans="1:25" s="20" customFormat="1" ht="15.75">
      <c r="A53" s="6"/>
      <c r="B53" s="6"/>
      <c r="C53" s="16"/>
      <c r="D53" s="17"/>
      <c r="E53" s="22"/>
      <c r="F53" s="19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</row>
    <row r="54" spans="1:25" s="20" customFormat="1" ht="15.75">
      <c r="A54" s="6"/>
      <c r="B54" s="6"/>
      <c r="C54" s="16"/>
      <c r="D54" s="17"/>
      <c r="E54" s="22"/>
      <c r="F54" s="19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</row>
    <row r="55" spans="1:25" s="20" customFormat="1" ht="15.75">
      <c r="A55" s="27"/>
      <c r="B55" s="27"/>
      <c r="C55" s="27"/>
      <c r="D55" s="27"/>
      <c r="E55" s="27"/>
      <c r="F55" s="19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</row>
    <row r="56" spans="1:25" s="5" customFormat="1" ht="15.75">
      <c r="A56" s="27"/>
      <c r="B56" s="27"/>
      <c r="C56" s="27"/>
      <c r="D56" s="27"/>
      <c r="E56" s="27"/>
      <c r="F56" s="26"/>
    </row>
    <row r="57" spans="1:25" s="5" customFormat="1" ht="15" customHeight="1">
      <c r="A57" s="27"/>
      <c r="B57" s="27"/>
      <c r="C57" s="27"/>
      <c r="D57" s="27"/>
      <c r="E57" s="27"/>
      <c r="F57" s="26"/>
    </row>
    <row r="58" spans="1:25" s="5" customFormat="1" ht="14.45" customHeight="1">
      <c r="A58" s="27"/>
      <c r="B58" s="27"/>
      <c r="C58" s="27"/>
      <c r="D58" s="27"/>
      <c r="E58" s="27"/>
      <c r="F58" s="26"/>
    </row>
    <row r="59" spans="1:25" s="5" customFormat="1" ht="14.45" customHeight="1">
      <c r="A59" s="27"/>
      <c r="B59" s="27"/>
      <c r="C59" s="27"/>
      <c r="D59" s="27"/>
      <c r="E59" s="27"/>
      <c r="F59" s="26"/>
    </row>
    <row r="60" spans="1:25" s="20" customFormat="1" ht="15.75">
      <c r="A60" s="27"/>
      <c r="B60" s="27"/>
      <c r="C60" s="27"/>
      <c r="D60" s="27"/>
      <c r="E60" s="27"/>
      <c r="F60" s="19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</row>
    <row r="61" spans="1:25" s="20" customFormat="1" ht="15.75">
      <c r="A61" s="6"/>
      <c r="B61" s="6"/>
      <c r="C61" s="16"/>
      <c r="D61" s="17"/>
      <c r="E61" s="6"/>
      <c r="F61" s="19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</row>
    <row r="62" spans="1:25" s="20" customFormat="1" ht="15.75">
      <c r="A62" s="6"/>
      <c r="B62" s="6"/>
      <c r="C62" s="16"/>
      <c r="D62" s="17"/>
      <c r="E62" s="6"/>
      <c r="F62" s="19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</row>
    <row r="63" spans="1:25" s="20" customFormat="1" ht="15.75">
      <c r="A63" s="6"/>
      <c r="B63" s="6"/>
      <c r="C63" s="16"/>
      <c r="D63" s="17"/>
      <c r="E63" s="6"/>
      <c r="F63" s="19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</row>
    <row r="64" spans="1:25" s="20" customFormat="1" ht="15.75">
      <c r="A64" s="6"/>
      <c r="B64" s="6"/>
      <c r="C64" s="16"/>
      <c r="D64" s="17"/>
      <c r="E64" s="6"/>
      <c r="F64" s="19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</row>
    <row r="65" spans="1:25" s="20" customFormat="1" ht="15.75">
      <c r="A65" s="6"/>
      <c r="B65" s="6"/>
      <c r="C65" s="16"/>
      <c r="D65" s="17"/>
      <c r="E65" s="6"/>
      <c r="F65" s="19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</row>
    <row r="66" spans="1:25" s="20" customFormat="1" ht="15.75">
      <c r="A66" s="6"/>
      <c r="B66" s="6"/>
      <c r="C66" s="16"/>
      <c r="D66" s="17"/>
      <c r="E66" s="6"/>
      <c r="F66" s="19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</row>
    <row r="67" spans="1:25" s="20" customFormat="1" ht="15.75">
      <c r="A67" s="6"/>
      <c r="B67" s="6"/>
      <c r="C67" s="16"/>
      <c r="D67" s="17"/>
      <c r="E67" s="6"/>
      <c r="F67" s="19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</row>
    <row r="68" spans="1:25" s="20" customFormat="1" ht="15.75">
      <c r="A68" s="6"/>
      <c r="B68" s="6"/>
      <c r="C68" s="16"/>
      <c r="D68" s="17"/>
      <c r="E68" s="6"/>
      <c r="F68" s="19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</row>
    <row r="69" spans="1:25" s="20" customFormat="1" ht="15.75">
      <c r="A69" s="6"/>
      <c r="B69" s="6"/>
      <c r="C69" s="16"/>
      <c r="D69" s="17"/>
      <c r="E69" s="6"/>
      <c r="F69" s="19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</row>
    <row r="70" spans="1:25" s="20" customFormat="1" ht="15.75">
      <c r="A70" s="6"/>
      <c r="B70" s="6"/>
      <c r="C70" s="16"/>
      <c r="D70" s="17"/>
      <c r="E70" s="6"/>
      <c r="F70" s="19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</row>
    <row r="71" spans="1:25" s="20" customFormat="1" ht="15.75">
      <c r="A71" s="6"/>
      <c r="B71" s="6"/>
      <c r="C71" s="16"/>
      <c r="D71" s="17"/>
      <c r="E71" s="6"/>
      <c r="F71" s="19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</row>
    <row r="72" spans="1:25" s="20" customFormat="1" ht="15.75">
      <c r="A72" s="6"/>
      <c r="B72" s="6"/>
      <c r="C72" s="16"/>
      <c r="D72" s="17"/>
      <c r="E72" s="6"/>
      <c r="F72" s="19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</row>
    <row r="73" spans="1:25" s="20" customFormat="1" ht="15.75">
      <c r="A73" s="6"/>
      <c r="B73" s="6"/>
      <c r="C73" s="16"/>
      <c r="D73" s="17"/>
      <c r="E73" s="6"/>
      <c r="F73" s="19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</row>
    <row r="74" spans="1:25" s="20" customFormat="1" ht="15.75">
      <c r="A74" s="6"/>
      <c r="B74" s="6"/>
      <c r="C74" s="16"/>
      <c r="D74" s="17"/>
      <c r="E74" s="6"/>
      <c r="F74" s="19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</row>
    <row r="75" spans="1:25" s="20" customFormat="1" ht="15.75">
      <c r="A75" s="6"/>
      <c r="B75" s="6"/>
      <c r="C75" s="16"/>
      <c r="D75" s="17"/>
      <c r="E75" s="6"/>
      <c r="F75" s="19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</row>
    <row r="76" spans="1:25" s="20" customFormat="1" ht="15.75">
      <c r="A76" s="6"/>
      <c r="B76" s="6"/>
      <c r="C76" s="16"/>
      <c r="D76" s="17"/>
      <c r="E76" s="6"/>
      <c r="F76" s="19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</row>
    <row r="77" spans="1:25" s="20" customFormat="1" ht="15.75">
      <c r="A77" s="6"/>
      <c r="B77" s="6"/>
      <c r="C77" s="16"/>
      <c r="D77" s="17"/>
      <c r="E77" s="6"/>
      <c r="F77" s="19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</row>
    <row r="78" spans="1:25" s="20" customFormat="1" ht="15.75">
      <c r="A78" s="6"/>
      <c r="B78" s="6"/>
      <c r="C78" s="16"/>
      <c r="D78" s="17"/>
      <c r="E78" s="6"/>
      <c r="F78" s="19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</row>
    <row r="79" spans="1:25" s="20" customFormat="1" ht="15.75">
      <c r="A79" s="6"/>
      <c r="B79" s="6"/>
      <c r="C79" s="16"/>
      <c r="D79" s="17"/>
      <c r="E79" s="6"/>
      <c r="F79" s="19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</row>
    <row r="80" spans="1:25" s="20" customFormat="1" ht="89.25" customHeight="1">
      <c r="A80" s="6"/>
      <c r="B80" s="6"/>
      <c r="C80" s="16"/>
      <c r="D80" s="17"/>
      <c r="E80" s="6"/>
      <c r="F80" s="19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</row>
    <row r="81" spans="1:25" s="20" customFormat="1" ht="89.25" customHeight="1">
      <c r="A81" s="6"/>
      <c r="B81" s="6"/>
      <c r="C81" s="16"/>
      <c r="D81" s="17"/>
      <c r="E81" s="6"/>
      <c r="F81" s="19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</row>
    <row r="82" spans="1:25" s="20" customFormat="1" ht="89.25" customHeight="1">
      <c r="A82" s="6"/>
      <c r="B82" s="6"/>
      <c r="C82" s="16"/>
      <c r="D82" s="17"/>
      <c r="E82" s="6"/>
      <c r="F82" s="19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</row>
    <row r="83" spans="1:25" s="20" customFormat="1" ht="89.25" customHeight="1">
      <c r="A83" s="6"/>
      <c r="B83" s="6"/>
      <c r="C83" s="16"/>
      <c r="D83" s="17"/>
      <c r="E83" s="6"/>
      <c r="F83" s="19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</row>
    <row r="84" spans="1:25" s="20" customFormat="1" ht="89.25" customHeight="1">
      <c r="A84" s="6"/>
      <c r="B84" s="6"/>
      <c r="C84" s="16"/>
      <c r="D84" s="17"/>
      <c r="E84" s="6"/>
      <c r="F84" s="19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</row>
    <row r="85" spans="1:25" s="20" customFormat="1" ht="89.25" customHeight="1">
      <c r="A85" s="6"/>
      <c r="B85" s="6"/>
      <c r="C85" s="16"/>
      <c r="D85" s="17"/>
      <c r="E85" s="6"/>
      <c r="F85" s="19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</row>
    <row r="86" spans="1:25" s="20" customFormat="1" ht="89.25" customHeight="1">
      <c r="A86" s="6"/>
      <c r="B86" s="6"/>
      <c r="C86" s="16"/>
      <c r="D86" s="17"/>
      <c r="E86" s="6"/>
      <c r="F86" s="19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</row>
    <row r="87" spans="1:25" s="20" customFormat="1" ht="89.25" customHeight="1">
      <c r="A87" s="6"/>
      <c r="B87" s="6"/>
      <c r="C87" s="16"/>
      <c r="D87" s="17"/>
      <c r="E87" s="6"/>
      <c r="F87" s="19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</row>
    <row r="88" spans="1:25" s="20" customFormat="1" ht="89.25" customHeight="1">
      <c r="A88" s="6"/>
      <c r="B88" s="6"/>
      <c r="C88" s="16"/>
      <c r="D88" s="17"/>
      <c r="E88" s="6"/>
      <c r="F88" s="19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</row>
    <row r="89" spans="1:25" s="20" customFormat="1" ht="89.25" customHeight="1">
      <c r="A89" s="6"/>
      <c r="B89" s="6"/>
      <c r="C89" s="16"/>
      <c r="D89" s="17"/>
      <c r="E89" s="6"/>
      <c r="F89" s="19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</row>
    <row r="90" spans="1:25" s="20" customFormat="1" ht="89.25" customHeight="1">
      <c r="A90" s="6"/>
      <c r="B90" s="6"/>
      <c r="C90" s="16"/>
      <c r="D90" s="17"/>
      <c r="E90" s="6"/>
      <c r="F90" s="19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</row>
    <row r="91" spans="1:25" s="20" customFormat="1" ht="89.25" customHeight="1">
      <c r="A91" s="6"/>
      <c r="B91" s="6"/>
      <c r="C91" s="16"/>
      <c r="D91" s="17"/>
      <c r="E91" s="6"/>
      <c r="F91" s="19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</row>
    <row r="92" spans="1:25" s="20" customFormat="1" ht="89.25" customHeight="1">
      <c r="A92" s="6"/>
      <c r="B92" s="6"/>
      <c r="C92" s="16"/>
      <c r="D92" s="17"/>
      <c r="E92" s="6"/>
      <c r="F92" s="19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</row>
    <row r="93" spans="1:25" s="20" customFormat="1" ht="89.25" customHeight="1">
      <c r="A93" s="6"/>
      <c r="B93" s="6"/>
      <c r="C93" s="16"/>
      <c r="D93" s="17"/>
      <c r="E93" s="6"/>
      <c r="F93" s="19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</row>
    <row r="94" spans="1:25" s="20" customFormat="1" ht="89.25" customHeight="1">
      <c r="A94" s="6"/>
      <c r="B94" s="6"/>
      <c r="C94" s="16"/>
      <c r="D94" s="17"/>
      <c r="E94" s="6"/>
      <c r="F94" s="19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</row>
    <row r="95" spans="1:25" s="20" customFormat="1" ht="89.25" customHeight="1">
      <c r="A95" s="6"/>
      <c r="B95" s="6"/>
      <c r="C95" s="16"/>
      <c r="D95" s="17"/>
      <c r="E95" s="6"/>
      <c r="F95" s="19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</row>
    <row r="96" spans="1:25" s="20" customFormat="1" ht="89.25" customHeight="1">
      <c r="A96" s="6"/>
      <c r="B96" s="6"/>
      <c r="C96" s="16"/>
      <c r="D96" s="17"/>
      <c r="E96" s="6"/>
      <c r="F96" s="19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</row>
    <row r="97" spans="1:25" s="20" customFormat="1" ht="89.25" customHeight="1">
      <c r="A97" s="6"/>
      <c r="B97" s="6"/>
      <c r="C97" s="16"/>
      <c r="D97" s="17"/>
      <c r="E97" s="6"/>
      <c r="F97" s="19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</row>
    <row r="98" spans="1:25" s="20" customFormat="1" ht="89.25" customHeight="1">
      <c r="A98" s="6"/>
      <c r="B98" s="6"/>
      <c r="C98" s="16"/>
      <c r="D98" s="17"/>
      <c r="E98" s="6"/>
      <c r="F98" s="19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</row>
    <row r="99" spans="1:25" s="20" customFormat="1" ht="89.25" customHeight="1">
      <c r="A99" s="6"/>
      <c r="B99" s="6"/>
      <c r="C99" s="16"/>
      <c r="D99" s="17"/>
      <c r="E99" s="6"/>
      <c r="F99" s="19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</row>
    <row r="100" spans="1:25" s="20" customFormat="1" ht="89.25" customHeight="1">
      <c r="A100" s="6"/>
      <c r="B100" s="6"/>
      <c r="C100" s="16"/>
      <c r="D100" s="17"/>
      <c r="E100" s="6"/>
      <c r="F100" s="19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</row>
    <row r="101" spans="1:25" s="20" customFormat="1" ht="89.25" customHeight="1">
      <c r="A101" s="6"/>
      <c r="B101" s="6"/>
      <c r="C101" s="16"/>
      <c r="D101" s="17"/>
      <c r="E101" s="6"/>
      <c r="F101" s="19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</row>
    <row r="102" spans="1:25" s="20" customFormat="1" ht="89.25" customHeight="1">
      <c r="A102" s="6"/>
      <c r="B102" s="6"/>
      <c r="C102" s="16"/>
      <c r="D102" s="17"/>
      <c r="E102" s="6"/>
      <c r="F102" s="19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</row>
    <row r="103" spans="1:25" s="20" customFormat="1" ht="89.25" customHeight="1">
      <c r="A103" s="6"/>
      <c r="B103" s="6"/>
      <c r="C103" s="16"/>
      <c r="D103" s="17"/>
      <c r="E103" s="6"/>
      <c r="F103" s="19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</row>
    <row r="104" spans="1:25" s="20" customFormat="1" ht="89.25" customHeight="1">
      <c r="A104" s="6"/>
      <c r="B104" s="6"/>
      <c r="C104" s="16"/>
      <c r="D104" s="17"/>
      <c r="E104" s="6"/>
      <c r="F104" s="19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</row>
    <row r="105" spans="1:25" s="20" customFormat="1" ht="89.25" customHeight="1">
      <c r="A105" s="6"/>
      <c r="B105" s="6"/>
      <c r="C105" s="16"/>
      <c r="D105" s="17"/>
      <c r="E105" s="6"/>
      <c r="F105" s="19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</row>
    <row r="106" spans="1:25" s="20" customFormat="1" ht="89.25" customHeight="1">
      <c r="A106" s="6"/>
      <c r="B106" s="6"/>
      <c r="C106" s="16"/>
      <c r="D106" s="17"/>
      <c r="E106" s="6"/>
      <c r="F106" s="19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</row>
    <row r="107" spans="1:25" s="20" customFormat="1" ht="89.25" customHeight="1">
      <c r="A107" s="6"/>
      <c r="B107" s="6"/>
      <c r="C107" s="16"/>
      <c r="D107" s="17"/>
      <c r="E107" s="6"/>
      <c r="F107" s="19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</row>
    <row r="108" spans="1:25" s="20" customFormat="1" ht="89.25" customHeight="1">
      <c r="A108" s="6"/>
      <c r="B108" s="6"/>
      <c r="C108" s="16"/>
      <c r="D108" s="17"/>
      <c r="E108" s="6"/>
      <c r="F108" s="19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</row>
    <row r="109" spans="1:25" s="20" customFormat="1" ht="89.25" customHeight="1">
      <c r="A109" s="6"/>
      <c r="B109" s="6"/>
      <c r="C109" s="16"/>
      <c r="D109" s="17"/>
      <c r="E109" s="6"/>
      <c r="F109" s="19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</row>
    <row r="110" spans="1:25" s="20" customFormat="1" ht="89.25" customHeight="1">
      <c r="A110" s="6"/>
      <c r="B110" s="6"/>
      <c r="C110" s="16"/>
      <c r="D110" s="17"/>
      <c r="E110" s="6"/>
      <c r="F110" s="19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</row>
    <row r="111" spans="1:25" s="20" customFormat="1" ht="89.25" customHeight="1">
      <c r="A111" s="6"/>
      <c r="B111" s="6"/>
      <c r="C111" s="16"/>
      <c r="D111" s="17"/>
      <c r="E111" s="6"/>
      <c r="F111" s="19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</row>
    <row r="112" spans="1:25" s="20" customFormat="1" ht="89.25" customHeight="1">
      <c r="A112" s="6"/>
      <c r="B112" s="6"/>
      <c r="C112" s="16"/>
      <c r="D112" s="17"/>
      <c r="E112" s="6"/>
      <c r="F112" s="19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</row>
    <row r="113" spans="1:25" s="20" customFormat="1" ht="89.25" customHeight="1">
      <c r="A113" s="6"/>
      <c r="B113" s="6"/>
      <c r="C113" s="16"/>
      <c r="D113" s="17"/>
      <c r="E113" s="6"/>
      <c r="F113" s="19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</row>
    <row r="114" spans="1:25" s="20" customFormat="1" ht="89.25" customHeight="1">
      <c r="A114" s="6"/>
      <c r="B114" s="6"/>
      <c r="C114" s="16"/>
      <c r="D114" s="17"/>
      <c r="E114" s="6"/>
      <c r="F114" s="19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</row>
    <row r="115" spans="1:25" s="20" customFormat="1" ht="89.25" customHeight="1">
      <c r="A115" s="6"/>
      <c r="B115" s="6"/>
      <c r="C115" s="16"/>
      <c r="D115" s="17"/>
      <c r="E115" s="6"/>
      <c r="F115" s="19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</row>
    <row r="116" spans="1:25" s="20" customFormat="1" ht="89.25" customHeight="1">
      <c r="A116" s="6"/>
      <c r="B116" s="6"/>
      <c r="C116" s="16"/>
      <c r="D116" s="17"/>
      <c r="E116" s="6"/>
      <c r="F116" s="19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</row>
    <row r="117" spans="1:25" s="20" customFormat="1" ht="89.25" customHeight="1">
      <c r="A117" s="6"/>
      <c r="B117" s="6"/>
      <c r="C117" s="16"/>
      <c r="D117" s="17"/>
      <c r="E117" s="6"/>
      <c r="F117" s="19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</row>
    <row r="118" spans="1:25" s="20" customFormat="1" ht="89.25" customHeight="1">
      <c r="A118" s="6"/>
      <c r="B118" s="6"/>
      <c r="C118" s="16"/>
      <c r="D118" s="17"/>
      <c r="E118" s="6"/>
      <c r="F118" s="19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</row>
    <row r="119" spans="1:25" s="20" customFormat="1" ht="89.25" customHeight="1">
      <c r="A119" s="6"/>
      <c r="B119" s="6"/>
      <c r="C119" s="16"/>
      <c r="D119" s="17"/>
      <c r="E119" s="6"/>
      <c r="F119" s="19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</row>
    <row r="120" spans="1:25" s="20" customFormat="1" ht="89.25" customHeight="1">
      <c r="A120" s="6"/>
      <c r="B120" s="6"/>
      <c r="C120" s="16"/>
      <c r="D120" s="17"/>
      <c r="E120" s="6"/>
      <c r="F120" s="19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</row>
    <row r="121" spans="1:25" s="20" customFormat="1" ht="89.25" customHeight="1">
      <c r="A121" s="6"/>
      <c r="B121" s="6"/>
      <c r="C121" s="16"/>
      <c r="D121" s="17"/>
      <c r="E121" s="6"/>
      <c r="F121" s="19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</row>
    <row r="122" spans="1:25" s="20" customFormat="1" ht="89.25" customHeight="1">
      <c r="A122" s="6"/>
      <c r="B122" s="6"/>
      <c r="C122" s="16"/>
      <c r="D122" s="17"/>
      <c r="E122" s="6"/>
      <c r="F122" s="19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</row>
    <row r="123" spans="1:25" s="20" customFormat="1" ht="89.25" customHeight="1">
      <c r="A123" s="6"/>
      <c r="B123" s="6"/>
      <c r="C123" s="16"/>
      <c r="D123" s="17"/>
      <c r="E123" s="6"/>
      <c r="F123" s="19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</row>
    <row r="124" spans="1:25" s="20" customFormat="1" ht="89.25" customHeight="1">
      <c r="A124" s="6"/>
      <c r="B124" s="6"/>
      <c r="C124" s="16"/>
      <c r="D124" s="17"/>
      <c r="E124" s="6"/>
      <c r="F124" s="19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</row>
    <row r="125" spans="1:25" s="20" customFormat="1" ht="89.25" customHeight="1">
      <c r="A125" s="6"/>
      <c r="B125" s="6"/>
      <c r="C125" s="16"/>
      <c r="D125" s="17"/>
      <c r="E125" s="6"/>
      <c r="F125" s="19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</row>
    <row r="126" spans="1:25" s="20" customFormat="1" ht="89.25" customHeight="1">
      <c r="A126" s="6"/>
      <c r="B126" s="6"/>
      <c r="C126" s="16"/>
      <c r="D126" s="17"/>
      <c r="E126" s="6"/>
      <c r="F126" s="19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</row>
    <row r="127" spans="1:25" s="20" customFormat="1" ht="89.25" customHeight="1">
      <c r="A127" s="6"/>
      <c r="B127" s="6"/>
      <c r="C127" s="16"/>
      <c r="D127" s="17"/>
      <c r="E127" s="6"/>
      <c r="F127" s="19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</row>
    <row r="128" spans="1:25" s="20" customFormat="1" ht="89.25" customHeight="1">
      <c r="A128" s="6"/>
      <c r="B128" s="6"/>
      <c r="C128" s="16"/>
      <c r="D128" s="17"/>
      <c r="E128" s="6"/>
      <c r="F128" s="19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</row>
    <row r="129" spans="1:25" s="20" customFormat="1" ht="89.25" customHeight="1">
      <c r="A129" s="6"/>
      <c r="B129" s="6"/>
      <c r="C129" s="16"/>
      <c r="D129" s="17"/>
      <c r="E129" s="6"/>
      <c r="F129" s="19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</row>
    <row r="130" spans="1:25" s="20" customFormat="1" ht="89.25" customHeight="1">
      <c r="A130" s="6"/>
      <c r="B130" s="6"/>
      <c r="C130" s="16"/>
      <c r="D130" s="17"/>
      <c r="E130" s="6"/>
      <c r="F130" s="19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</row>
    <row r="131" spans="1:25" s="20" customFormat="1" ht="89.25" customHeight="1">
      <c r="A131" s="6"/>
      <c r="B131" s="6"/>
      <c r="C131" s="16"/>
      <c r="D131" s="17"/>
      <c r="E131" s="6"/>
      <c r="F131" s="19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</row>
    <row r="132" spans="1:25" s="20" customFormat="1" ht="89.25" customHeight="1">
      <c r="A132" s="6"/>
      <c r="B132" s="6"/>
      <c r="C132" s="16"/>
      <c r="D132" s="17"/>
      <c r="E132" s="6"/>
      <c r="F132" s="19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</row>
    <row r="133" spans="1:25" s="20" customFormat="1" ht="89.25" customHeight="1">
      <c r="A133" s="6"/>
      <c r="B133" s="6"/>
      <c r="C133" s="16"/>
      <c r="D133" s="17"/>
      <c r="E133" s="6"/>
      <c r="F133" s="19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</row>
    <row r="134" spans="1:25" s="20" customFormat="1" ht="89.25" customHeight="1">
      <c r="A134" s="6"/>
      <c r="B134" s="6"/>
      <c r="C134" s="16"/>
      <c r="D134" s="17"/>
      <c r="E134" s="6"/>
      <c r="F134" s="19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</row>
    <row r="135" spans="1:25" s="20" customFormat="1" ht="89.25" customHeight="1">
      <c r="A135" s="6"/>
      <c r="B135" s="6"/>
      <c r="C135" s="16"/>
      <c r="D135" s="17"/>
      <c r="E135" s="6"/>
      <c r="F135" s="19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</row>
    <row r="136" spans="1:25" s="20" customFormat="1" ht="89.25" customHeight="1">
      <c r="A136" s="6"/>
      <c r="B136" s="6"/>
      <c r="C136" s="16"/>
      <c r="D136" s="17"/>
      <c r="E136" s="6"/>
      <c r="F136" s="19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</row>
    <row r="137" spans="1:25" s="20" customFormat="1" ht="89.25" customHeight="1">
      <c r="A137" s="6"/>
      <c r="B137" s="6"/>
      <c r="C137" s="16"/>
      <c r="D137" s="17"/>
      <c r="E137" s="6"/>
      <c r="F137" s="19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</row>
    <row r="138" spans="1:25" s="20" customFormat="1" ht="89.25" customHeight="1">
      <c r="A138" s="6"/>
      <c r="B138" s="6"/>
      <c r="C138" s="16"/>
      <c r="D138" s="17"/>
      <c r="E138" s="6"/>
      <c r="F138" s="19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</row>
    <row r="139" spans="1:25" s="20" customFormat="1" ht="89.25" customHeight="1">
      <c r="A139" s="6"/>
      <c r="B139" s="6"/>
      <c r="C139" s="16"/>
      <c r="D139" s="17"/>
      <c r="E139" s="6"/>
      <c r="F139" s="19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</row>
    <row r="140" spans="1:25" s="20" customFormat="1" ht="89.25" customHeight="1">
      <c r="A140" s="6"/>
      <c r="B140" s="6"/>
      <c r="C140" s="16"/>
      <c r="D140" s="17"/>
      <c r="E140" s="6"/>
      <c r="F140" s="19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</row>
    <row r="141" spans="1:25" s="20" customFormat="1" ht="89.25" customHeight="1">
      <c r="A141" s="6"/>
      <c r="B141" s="6"/>
      <c r="C141" s="16"/>
      <c r="D141" s="17"/>
      <c r="E141" s="6"/>
      <c r="F141" s="19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</row>
    <row r="142" spans="1:25" s="20" customFormat="1" ht="89.25" customHeight="1">
      <c r="A142" s="6"/>
      <c r="B142" s="6"/>
      <c r="C142" s="16"/>
      <c r="D142" s="17"/>
      <c r="E142" s="6"/>
      <c r="F142" s="19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</row>
    <row r="143" spans="1:25" s="20" customFormat="1" ht="89.25" customHeight="1">
      <c r="A143" s="6"/>
      <c r="B143" s="6"/>
      <c r="C143" s="16"/>
      <c r="D143" s="17"/>
      <c r="E143" s="6"/>
      <c r="F143" s="19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</row>
    <row r="144" spans="1:25" s="20" customFormat="1" ht="89.25" customHeight="1">
      <c r="A144" s="6"/>
      <c r="B144" s="6"/>
      <c r="C144" s="16"/>
      <c r="D144" s="17"/>
      <c r="E144" s="6"/>
      <c r="F144" s="19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</row>
    <row r="145" spans="1:25" s="20" customFormat="1" ht="89.25" customHeight="1">
      <c r="A145" s="6"/>
      <c r="B145" s="6"/>
      <c r="C145" s="16"/>
      <c r="D145" s="17"/>
      <c r="E145" s="6"/>
      <c r="F145" s="19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</row>
    <row r="146" spans="1:25" s="20" customFormat="1" ht="89.25" customHeight="1">
      <c r="A146" s="6"/>
      <c r="B146" s="6"/>
      <c r="C146" s="16"/>
      <c r="D146" s="17"/>
      <c r="E146" s="6"/>
      <c r="F146" s="19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</row>
    <row r="147" spans="1:25" s="20" customFormat="1" ht="89.25" customHeight="1">
      <c r="A147" s="6"/>
      <c r="B147" s="6"/>
      <c r="C147" s="16"/>
      <c r="D147" s="17"/>
      <c r="E147" s="6"/>
      <c r="F147" s="19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</row>
    <row r="148" spans="1:25" s="20" customFormat="1" ht="89.25" customHeight="1">
      <c r="A148" s="6"/>
      <c r="B148" s="6"/>
      <c r="C148" s="16"/>
      <c r="D148" s="17"/>
      <c r="E148" s="6"/>
      <c r="F148" s="19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</row>
    <row r="149" spans="1:25" s="20" customFormat="1" ht="89.25" customHeight="1">
      <c r="A149" s="6"/>
      <c r="B149" s="6"/>
      <c r="C149" s="16"/>
      <c r="D149" s="17"/>
      <c r="E149" s="6"/>
      <c r="F149" s="19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</row>
    <row r="150" spans="1:25" s="20" customFormat="1" ht="89.25" customHeight="1">
      <c r="A150" s="6"/>
      <c r="B150" s="6"/>
      <c r="C150" s="16"/>
      <c r="D150" s="17"/>
      <c r="E150" s="6"/>
      <c r="F150" s="19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</row>
    <row r="151" spans="1:25" s="20" customFormat="1" ht="89.25" customHeight="1">
      <c r="A151" s="6"/>
      <c r="B151" s="6"/>
      <c r="C151" s="16"/>
      <c r="D151" s="17"/>
      <c r="E151" s="6"/>
      <c r="F151" s="19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</row>
    <row r="152" spans="1:25" s="20" customFormat="1" ht="89.25" customHeight="1">
      <c r="A152" s="6"/>
      <c r="B152" s="6"/>
      <c r="C152" s="16"/>
      <c r="D152" s="17"/>
      <c r="E152" s="6"/>
      <c r="F152" s="19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</row>
    <row r="153" spans="1:25" s="20" customFormat="1" ht="89.25" customHeight="1">
      <c r="A153" s="6"/>
      <c r="B153" s="6"/>
      <c r="C153" s="16"/>
      <c r="D153" s="17"/>
      <c r="E153" s="6"/>
      <c r="F153" s="19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</row>
    <row r="154" spans="1:25" s="20" customFormat="1" ht="89.25" customHeight="1">
      <c r="A154" s="6"/>
      <c r="B154" s="6"/>
      <c r="C154" s="16"/>
      <c r="D154" s="17"/>
      <c r="E154" s="6"/>
      <c r="F154" s="19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</row>
    <row r="155" spans="1:25" s="20" customFormat="1" ht="89.25" customHeight="1">
      <c r="A155" s="6"/>
      <c r="B155" s="6"/>
      <c r="C155" s="16"/>
      <c r="D155" s="17"/>
      <c r="E155" s="6"/>
      <c r="F155" s="19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</row>
    <row r="156" spans="1:25" s="20" customFormat="1" ht="89.25" customHeight="1">
      <c r="A156" s="6"/>
      <c r="B156" s="6"/>
      <c r="C156" s="16"/>
      <c r="D156" s="17"/>
      <c r="E156" s="6"/>
      <c r="F156" s="19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</row>
    <row r="157" spans="1:25" s="20" customFormat="1" ht="89.25" customHeight="1">
      <c r="A157" s="6"/>
      <c r="B157" s="6"/>
      <c r="C157" s="16"/>
      <c r="D157" s="17"/>
      <c r="E157" s="6"/>
      <c r="F157" s="19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</row>
    <row r="158" spans="1:25" s="20" customFormat="1" ht="89.25" customHeight="1">
      <c r="A158" s="6"/>
      <c r="B158" s="6"/>
      <c r="C158" s="16"/>
      <c r="D158" s="17"/>
      <c r="E158" s="6"/>
      <c r="F158" s="19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</row>
    <row r="159" spans="1:25" s="20" customFormat="1" ht="89.25" customHeight="1">
      <c r="A159" s="6"/>
      <c r="B159" s="6"/>
      <c r="C159" s="16"/>
      <c r="D159" s="17"/>
      <c r="E159" s="6"/>
      <c r="F159" s="19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</row>
    <row r="160" spans="1:25" s="20" customFormat="1" ht="89.25" customHeight="1">
      <c r="A160" s="6"/>
      <c r="B160" s="6"/>
      <c r="C160" s="16"/>
      <c r="D160" s="17"/>
      <c r="E160" s="6"/>
      <c r="F160" s="19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</row>
    <row r="161" spans="1:25" s="20" customFormat="1" ht="89.25" customHeight="1">
      <c r="A161" s="6"/>
      <c r="B161" s="6"/>
      <c r="C161" s="16"/>
      <c r="D161" s="17"/>
      <c r="E161" s="6"/>
      <c r="F161" s="19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</row>
    <row r="162" spans="1:25" s="20" customFormat="1" ht="89.25" customHeight="1">
      <c r="A162" s="6"/>
      <c r="B162" s="6"/>
      <c r="C162" s="16"/>
      <c r="D162" s="17"/>
      <c r="E162" s="6"/>
      <c r="F162" s="19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</row>
    <row r="163" spans="1:25" s="20" customFormat="1" ht="89.25" customHeight="1">
      <c r="A163" s="6"/>
      <c r="B163" s="6"/>
      <c r="C163" s="16"/>
      <c r="D163" s="17"/>
      <c r="E163" s="6"/>
      <c r="F163" s="19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</row>
    <row r="164" spans="1:25" s="20" customFormat="1" ht="89.25" customHeight="1">
      <c r="A164" s="6"/>
      <c r="B164" s="6"/>
      <c r="C164" s="16"/>
      <c r="D164" s="17"/>
      <c r="E164" s="6"/>
      <c r="F164" s="19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</row>
    <row r="165" spans="1:25" s="20" customFormat="1" ht="89.25" customHeight="1">
      <c r="A165" s="6"/>
      <c r="B165" s="6"/>
      <c r="C165" s="16"/>
      <c r="D165" s="17"/>
      <c r="E165" s="6"/>
      <c r="F165" s="19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</row>
    <row r="166" spans="1:25" s="20" customFormat="1" ht="89.25" customHeight="1">
      <c r="A166" s="6"/>
      <c r="B166" s="6"/>
      <c r="C166" s="16"/>
      <c r="D166" s="17"/>
      <c r="E166" s="6"/>
      <c r="F166" s="19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</row>
    <row r="167" spans="1:25" s="20" customFormat="1" ht="89.25" customHeight="1">
      <c r="A167" s="6"/>
      <c r="B167" s="6"/>
      <c r="C167" s="16"/>
      <c r="D167" s="17"/>
      <c r="E167" s="6"/>
      <c r="F167" s="19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</row>
    <row r="168" spans="1:25" s="20" customFormat="1" ht="89.25" customHeight="1">
      <c r="A168" s="6"/>
      <c r="B168" s="6"/>
      <c r="C168" s="16"/>
      <c r="D168" s="17"/>
      <c r="E168" s="6"/>
      <c r="F168" s="19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</row>
    <row r="169" spans="1:25" s="20" customFormat="1" ht="89.25" customHeight="1">
      <c r="A169" s="6"/>
      <c r="B169" s="6"/>
      <c r="C169" s="16"/>
      <c r="D169" s="17"/>
      <c r="E169" s="6"/>
      <c r="F169" s="19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</row>
    <row r="170" spans="1:25" s="20" customFormat="1" ht="89.25" customHeight="1">
      <c r="A170" s="6"/>
      <c r="B170" s="6"/>
      <c r="C170" s="16"/>
      <c r="D170" s="17"/>
      <c r="E170" s="6"/>
      <c r="F170" s="19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</row>
    <row r="171" spans="1:25" s="20" customFormat="1" ht="89.25" customHeight="1">
      <c r="A171" s="6"/>
      <c r="B171" s="6"/>
      <c r="C171" s="16"/>
      <c r="D171" s="17"/>
      <c r="E171" s="6"/>
      <c r="F171" s="19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</row>
    <row r="172" spans="1:25" s="20" customFormat="1" ht="89.25" customHeight="1">
      <c r="A172" s="6"/>
      <c r="B172" s="6"/>
      <c r="C172" s="16"/>
      <c r="D172" s="17"/>
      <c r="E172" s="6"/>
      <c r="F172" s="19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</row>
    <row r="173" spans="1:25" s="20" customFormat="1" ht="89.25" customHeight="1">
      <c r="A173" s="6"/>
      <c r="B173" s="6"/>
      <c r="C173" s="16"/>
      <c r="D173" s="17"/>
      <c r="E173" s="6"/>
      <c r="F173" s="19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</row>
    <row r="174" spans="1:25" s="20" customFormat="1" ht="89.25" customHeight="1">
      <c r="A174" s="6"/>
      <c r="B174" s="6"/>
      <c r="C174" s="16"/>
      <c r="D174" s="17"/>
      <c r="E174" s="6"/>
      <c r="F174" s="19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</row>
    <row r="175" spans="1:25" s="20" customFormat="1" ht="89.25" customHeight="1">
      <c r="A175" s="6"/>
      <c r="B175" s="6"/>
      <c r="C175" s="16"/>
      <c r="D175" s="17"/>
      <c r="E175" s="6"/>
      <c r="F175" s="19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</row>
    <row r="176" spans="1:25" s="20" customFormat="1" ht="89.25" customHeight="1">
      <c r="A176" s="6"/>
      <c r="B176" s="6"/>
      <c r="C176" s="16"/>
      <c r="D176" s="17"/>
      <c r="E176" s="6"/>
      <c r="F176" s="19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</row>
    <row r="177" spans="1:25" s="20" customFormat="1" ht="89.25" customHeight="1">
      <c r="A177" s="6"/>
      <c r="B177" s="6"/>
      <c r="C177" s="16"/>
      <c r="D177" s="17"/>
      <c r="E177" s="6"/>
      <c r="F177" s="19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</row>
    <row r="178" spans="1:25" s="20" customFormat="1" ht="89.25" customHeight="1">
      <c r="A178" s="6"/>
      <c r="B178" s="6"/>
      <c r="C178" s="16"/>
      <c r="D178" s="17"/>
      <c r="E178" s="6"/>
      <c r="F178" s="19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</row>
    <row r="179" spans="1:25" s="20" customFormat="1" ht="89.25" customHeight="1">
      <c r="A179" s="6"/>
      <c r="B179" s="6"/>
      <c r="C179" s="16"/>
      <c r="D179" s="17"/>
      <c r="E179" s="6"/>
      <c r="F179" s="19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</row>
    <row r="180" spans="1:25" s="20" customFormat="1" ht="89.25" customHeight="1">
      <c r="A180" s="6"/>
      <c r="B180" s="6"/>
      <c r="C180" s="16"/>
      <c r="D180" s="17"/>
      <c r="E180" s="6"/>
      <c r="F180" s="19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</row>
    <row r="181" spans="1:25" s="20" customFormat="1" ht="89.25" customHeight="1">
      <c r="A181" s="6"/>
      <c r="B181" s="6"/>
      <c r="C181" s="16"/>
      <c r="D181" s="17"/>
      <c r="E181" s="6"/>
      <c r="F181" s="19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</row>
    <row r="182" spans="1:25" s="20" customFormat="1" ht="89.25" customHeight="1">
      <c r="A182" s="6"/>
      <c r="B182" s="6"/>
      <c r="C182" s="16"/>
      <c r="D182" s="17"/>
      <c r="E182" s="6"/>
      <c r="F182" s="19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</row>
    <row r="183" spans="1:25" s="20" customFormat="1" ht="89.25" customHeight="1">
      <c r="A183" s="6"/>
      <c r="B183" s="6"/>
      <c r="C183" s="16"/>
      <c r="D183" s="17"/>
      <c r="E183" s="6"/>
      <c r="F183" s="19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</row>
    <row r="184" spans="1:25" s="20" customFormat="1" ht="89.25" customHeight="1">
      <c r="A184" s="6"/>
      <c r="B184" s="6"/>
      <c r="C184" s="16"/>
      <c r="D184" s="17"/>
      <c r="E184" s="6"/>
      <c r="F184" s="19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</row>
    <row r="185" spans="1:25" s="20" customFormat="1" ht="89.25" customHeight="1">
      <c r="A185" s="6"/>
      <c r="B185" s="6"/>
      <c r="C185" s="16"/>
      <c r="D185" s="17"/>
      <c r="E185" s="6"/>
      <c r="F185" s="19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</row>
    <row r="186" spans="1:25" s="20" customFormat="1" ht="89.25" customHeight="1">
      <c r="A186" s="6"/>
      <c r="B186" s="6"/>
      <c r="C186" s="16"/>
      <c r="D186" s="17"/>
      <c r="E186" s="6"/>
      <c r="F186" s="19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</row>
    <row r="187" spans="1:25" s="20" customFormat="1" ht="89.25" customHeight="1">
      <c r="A187" s="6"/>
      <c r="B187" s="6"/>
      <c r="C187" s="16"/>
      <c r="D187" s="17"/>
      <c r="E187" s="6"/>
      <c r="F187" s="19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</row>
    <row r="188" spans="1:25" s="20" customFormat="1" ht="89.25" customHeight="1">
      <c r="A188" s="6"/>
      <c r="B188" s="6"/>
      <c r="C188" s="16"/>
      <c r="D188" s="17"/>
      <c r="E188" s="6"/>
      <c r="F188" s="19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</row>
    <row r="189" spans="1:25" s="20" customFormat="1" ht="89.25" customHeight="1">
      <c r="A189" s="6"/>
      <c r="B189" s="6"/>
      <c r="C189" s="16"/>
      <c r="D189" s="17"/>
      <c r="E189" s="6"/>
      <c r="F189" s="19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</row>
    <row r="190" spans="1:25" s="20" customFormat="1" ht="89.25" customHeight="1">
      <c r="A190" s="6"/>
      <c r="B190" s="6"/>
      <c r="C190" s="16"/>
      <c r="D190" s="17"/>
      <c r="E190" s="6"/>
      <c r="F190" s="19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</row>
    <row r="191" spans="1:25" s="20" customFormat="1" ht="89.25" customHeight="1">
      <c r="A191" s="6"/>
      <c r="B191" s="6"/>
      <c r="C191" s="16"/>
      <c r="D191" s="17"/>
      <c r="E191" s="6"/>
      <c r="F191" s="19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</row>
    <row r="192" spans="1:25" s="20" customFormat="1" ht="89.25" customHeight="1">
      <c r="A192" s="6"/>
      <c r="B192" s="6"/>
      <c r="C192" s="16"/>
      <c r="D192" s="17"/>
      <c r="E192" s="6"/>
      <c r="F192" s="19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</row>
    <row r="193" spans="1:25" s="20" customFormat="1" ht="89.25" customHeight="1">
      <c r="A193" s="6"/>
      <c r="B193" s="6"/>
      <c r="C193" s="16"/>
      <c r="D193" s="17"/>
      <c r="E193" s="6"/>
      <c r="F193" s="19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</row>
    <row r="194" spans="1:25" s="20" customFormat="1" ht="89.25" customHeight="1">
      <c r="A194" s="6"/>
      <c r="B194" s="6"/>
      <c r="C194" s="16"/>
      <c r="D194" s="17"/>
      <c r="E194" s="6"/>
      <c r="F194" s="19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</row>
    <row r="195" spans="1:25" s="20" customFormat="1" ht="89.25" customHeight="1">
      <c r="A195" s="6"/>
      <c r="B195" s="6"/>
      <c r="C195" s="16"/>
      <c r="D195" s="17"/>
      <c r="E195" s="6"/>
      <c r="F195" s="19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</row>
    <row r="196" spans="1:25" s="20" customFormat="1" ht="89.25" customHeight="1">
      <c r="A196" s="6"/>
      <c r="B196" s="6"/>
      <c r="C196" s="16"/>
      <c r="D196" s="17"/>
      <c r="E196" s="6"/>
      <c r="F196" s="19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</row>
    <row r="197" spans="1:25" s="20" customFormat="1" ht="89.25" customHeight="1">
      <c r="A197" s="6"/>
      <c r="B197" s="6"/>
      <c r="C197" s="16"/>
      <c r="D197" s="17"/>
      <c r="E197" s="6"/>
      <c r="F197" s="19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</row>
    <row r="198" spans="1:25" s="20" customFormat="1" ht="89.25" customHeight="1">
      <c r="A198" s="6"/>
      <c r="B198" s="6"/>
      <c r="C198" s="16"/>
      <c r="D198" s="17"/>
      <c r="E198" s="6"/>
      <c r="F198" s="19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</row>
    <row r="199" spans="1:25" s="20" customFormat="1" ht="89.25" customHeight="1">
      <c r="A199" s="6"/>
      <c r="B199" s="6"/>
      <c r="C199" s="16"/>
      <c r="D199" s="17"/>
      <c r="E199" s="6"/>
      <c r="F199" s="19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</row>
    <row r="200" spans="1:25" s="20" customFormat="1" ht="89.25" customHeight="1">
      <c r="A200" s="6"/>
      <c r="B200" s="6"/>
      <c r="C200" s="16"/>
      <c r="D200" s="17"/>
      <c r="E200" s="6"/>
      <c r="F200" s="19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</row>
    <row r="201" spans="1:25" s="20" customFormat="1" ht="89.25" customHeight="1">
      <c r="A201" s="6"/>
      <c r="B201" s="6"/>
      <c r="C201" s="16"/>
      <c r="D201" s="17"/>
      <c r="E201" s="6"/>
      <c r="F201" s="19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</row>
    <row r="202" spans="1:25" s="20" customFormat="1" ht="89.25" customHeight="1">
      <c r="A202" s="6"/>
      <c r="B202" s="6"/>
      <c r="C202" s="16"/>
      <c r="D202" s="17"/>
      <c r="E202" s="6"/>
      <c r="F202" s="19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</row>
    <row r="203" spans="1:25" s="20" customFormat="1" ht="89.25" customHeight="1">
      <c r="A203" s="6"/>
      <c r="B203" s="6"/>
      <c r="C203" s="16"/>
      <c r="D203" s="17"/>
      <c r="E203" s="6"/>
      <c r="F203" s="19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</row>
    <row r="204" spans="1:25" s="20" customFormat="1" ht="89.25" customHeight="1">
      <c r="A204" s="6"/>
      <c r="B204" s="6"/>
      <c r="C204" s="16"/>
      <c r="D204" s="17"/>
      <c r="E204" s="6"/>
      <c r="F204" s="19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</row>
    <row r="205" spans="1:25" s="20" customFormat="1" ht="89.25" customHeight="1">
      <c r="A205" s="6"/>
      <c r="B205" s="6"/>
      <c r="C205" s="16"/>
      <c r="D205" s="17"/>
      <c r="E205" s="6"/>
      <c r="F205" s="19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</row>
    <row r="206" spans="1:25" s="20" customFormat="1" ht="89.25" customHeight="1">
      <c r="A206" s="6"/>
      <c r="B206" s="6"/>
      <c r="C206" s="16"/>
      <c r="D206" s="17"/>
      <c r="E206" s="6"/>
      <c r="F206" s="19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</row>
    <row r="207" spans="1:25" s="20" customFormat="1" ht="89.25" customHeight="1">
      <c r="A207" s="6"/>
      <c r="B207" s="6"/>
      <c r="C207" s="16"/>
      <c r="D207" s="17"/>
      <c r="E207" s="6"/>
      <c r="F207" s="19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</row>
    <row r="208" spans="1:25" s="20" customFormat="1" ht="89.25" customHeight="1">
      <c r="A208" s="6"/>
      <c r="B208" s="6"/>
      <c r="C208" s="16"/>
      <c r="D208" s="17"/>
      <c r="E208" s="6"/>
      <c r="F208" s="19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</row>
    <row r="209" spans="1:25" s="20" customFormat="1" ht="89.25" customHeight="1">
      <c r="A209" s="6"/>
      <c r="B209" s="6"/>
      <c r="C209" s="16"/>
      <c r="D209" s="17"/>
      <c r="E209" s="6"/>
      <c r="F209" s="19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</row>
    <row r="210" spans="1:25" s="20" customFormat="1" ht="89.25" customHeight="1">
      <c r="A210" s="6"/>
      <c r="B210" s="6"/>
      <c r="C210" s="16"/>
      <c r="D210" s="17"/>
      <c r="E210" s="6"/>
      <c r="F210" s="19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</row>
    <row r="211" spans="1:25" s="20" customFormat="1" ht="89.25" customHeight="1">
      <c r="A211" s="6"/>
      <c r="B211" s="6"/>
      <c r="C211" s="16"/>
      <c r="D211" s="17"/>
      <c r="E211" s="6"/>
      <c r="F211" s="19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</row>
    <row r="212" spans="1:25" s="20" customFormat="1" ht="89.25" customHeight="1">
      <c r="A212" s="6"/>
      <c r="B212" s="6"/>
      <c r="C212" s="16"/>
      <c r="D212" s="17"/>
      <c r="E212" s="6"/>
      <c r="F212" s="19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</row>
    <row r="213" spans="1:25" s="20" customFormat="1" ht="89.25" customHeight="1">
      <c r="A213" s="6"/>
      <c r="B213" s="6"/>
      <c r="C213" s="16"/>
      <c r="D213" s="17"/>
      <c r="E213" s="6"/>
      <c r="F213" s="19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</row>
    <row r="214" spans="1:25" s="20" customFormat="1" ht="89.25" customHeight="1">
      <c r="A214" s="6"/>
      <c r="B214" s="6"/>
      <c r="C214" s="16"/>
      <c r="D214" s="17"/>
      <c r="E214" s="6"/>
      <c r="F214" s="19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</row>
    <row r="215" spans="1:25" s="20" customFormat="1" ht="89.25" customHeight="1">
      <c r="A215" s="6"/>
      <c r="B215" s="6"/>
      <c r="C215" s="16"/>
      <c r="D215" s="17"/>
      <c r="E215" s="6"/>
      <c r="F215" s="19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</row>
    <row r="216" spans="1:25" s="20" customFormat="1" ht="89.25" customHeight="1">
      <c r="A216" s="6"/>
      <c r="B216" s="6"/>
      <c r="C216" s="16"/>
      <c r="D216" s="17"/>
      <c r="E216" s="6"/>
      <c r="F216" s="19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</row>
    <row r="217" spans="1:25" s="20" customFormat="1" ht="89.25" customHeight="1">
      <c r="A217" s="6"/>
      <c r="B217" s="6"/>
      <c r="C217" s="16"/>
      <c r="D217" s="17"/>
      <c r="E217" s="6"/>
      <c r="F217" s="19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</row>
    <row r="218" spans="1:25" s="20" customFormat="1" ht="89.25" customHeight="1">
      <c r="A218" s="6"/>
      <c r="B218" s="6"/>
      <c r="C218" s="16"/>
      <c r="D218" s="17"/>
      <c r="E218" s="6"/>
      <c r="F218" s="19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</row>
    <row r="219" spans="1:25" s="20" customFormat="1" ht="89.25" customHeight="1">
      <c r="A219" s="6"/>
      <c r="B219" s="6"/>
      <c r="C219" s="16"/>
      <c r="D219" s="17"/>
      <c r="E219" s="6"/>
      <c r="F219" s="19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</row>
    <row r="220" spans="1:25" s="20" customFormat="1" ht="89.25" customHeight="1">
      <c r="A220" s="6"/>
      <c r="B220" s="6"/>
      <c r="C220" s="16"/>
      <c r="D220" s="17"/>
      <c r="E220" s="6"/>
      <c r="F220" s="19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</row>
    <row r="221" spans="1:25" s="20" customFormat="1" ht="89.25" customHeight="1">
      <c r="A221" s="6"/>
      <c r="B221" s="6"/>
      <c r="C221" s="16"/>
      <c r="D221" s="17"/>
      <c r="E221" s="6"/>
      <c r="F221" s="19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</row>
    <row r="222" spans="1:25" s="20" customFormat="1" ht="89.25" customHeight="1">
      <c r="A222" s="6"/>
      <c r="B222" s="6"/>
      <c r="C222" s="16"/>
      <c r="D222" s="17"/>
      <c r="E222" s="6"/>
      <c r="F222" s="19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</row>
    <row r="223" spans="1:25" s="20" customFormat="1" ht="89.25" customHeight="1">
      <c r="A223" s="6"/>
      <c r="B223" s="6"/>
      <c r="C223" s="16"/>
      <c r="D223" s="17"/>
      <c r="E223" s="6"/>
      <c r="F223" s="19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</row>
    <row r="224" spans="1:25" s="20" customFormat="1" ht="89.25" customHeight="1">
      <c r="A224" s="6"/>
      <c r="B224" s="6"/>
      <c r="C224" s="16"/>
      <c r="D224" s="17"/>
      <c r="E224" s="6"/>
      <c r="F224" s="19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</row>
    <row r="225" spans="1:25" s="20" customFormat="1" ht="89.25" customHeight="1">
      <c r="A225" s="6"/>
      <c r="B225" s="6"/>
      <c r="C225" s="16"/>
      <c r="D225" s="17"/>
      <c r="E225" s="6"/>
      <c r="F225" s="19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</row>
    <row r="226" spans="1:25" s="20" customFormat="1" ht="89.25" customHeight="1">
      <c r="A226" s="6"/>
      <c r="B226" s="6"/>
      <c r="C226" s="16"/>
      <c r="D226" s="17"/>
      <c r="E226" s="6"/>
      <c r="F226" s="19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</row>
    <row r="227" spans="1:25" s="20" customFormat="1" ht="89.25" customHeight="1">
      <c r="A227" s="6"/>
      <c r="B227" s="6"/>
      <c r="C227" s="16"/>
      <c r="D227" s="17"/>
      <c r="E227" s="6"/>
      <c r="F227" s="19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</row>
    <row r="228" spans="1:25" s="20" customFormat="1" ht="89.25" customHeight="1">
      <c r="A228" s="6"/>
      <c r="B228" s="6"/>
      <c r="C228" s="16"/>
      <c r="D228" s="17"/>
      <c r="E228" s="6"/>
      <c r="F228" s="19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</row>
    <row r="229" spans="1:25" s="20" customFormat="1" ht="89.25" customHeight="1">
      <c r="A229" s="6"/>
      <c r="B229" s="6"/>
      <c r="C229" s="16"/>
      <c r="D229" s="17"/>
      <c r="E229" s="6"/>
      <c r="F229" s="19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</row>
    <row r="230" spans="1:25" s="20" customFormat="1" ht="89.25" customHeight="1">
      <c r="A230" s="6"/>
      <c r="B230" s="6"/>
      <c r="C230" s="16"/>
      <c r="D230" s="17"/>
      <c r="E230" s="6"/>
      <c r="F230" s="19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</row>
    <row r="231" spans="1:25" s="20" customFormat="1" ht="89.25" customHeight="1">
      <c r="A231" s="6"/>
      <c r="B231" s="6"/>
      <c r="C231" s="16"/>
      <c r="D231" s="17"/>
      <c r="E231" s="6"/>
      <c r="F231" s="19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</row>
    <row r="232" spans="1:25" s="20" customFormat="1" ht="89.25" customHeight="1">
      <c r="A232" s="6"/>
      <c r="B232" s="6"/>
      <c r="C232" s="16"/>
      <c r="D232" s="17"/>
      <c r="E232" s="6"/>
      <c r="F232" s="19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</row>
    <row r="233" spans="1:25" s="20" customFormat="1" ht="89.25" customHeight="1">
      <c r="A233" s="6"/>
      <c r="B233" s="6"/>
      <c r="C233" s="16"/>
      <c r="D233" s="17"/>
      <c r="E233" s="6"/>
      <c r="F233" s="19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</row>
    <row r="234" spans="1:25" s="20" customFormat="1" ht="89.25" customHeight="1">
      <c r="A234" s="6"/>
      <c r="B234" s="6"/>
      <c r="C234" s="16"/>
      <c r="D234" s="17"/>
      <c r="E234" s="6"/>
      <c r="F234" s="19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</row>
    <row r="235" spans="1:25" s="20" customFormat="1" ht="89.25" customHeight="1">
      <c r="A235" s="6"/>
      <c r="B235" s="6"/>
      <c r="C235" s="16"/>
      <c r="D235" s="17"/>
      <c r="E235" s="6"/>
      <c r="F235" s="19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</row>
    <row r="236" spans="1:25" s="20" customFormat="1" ht="89.25" customHeight="1">
      <c r="A236" s="6"/>
      <c r="B236" s="6"/>
      <c r="C236" s="16"/>
      <c r="D236" s="17"/>
      <c r="E236" s="6"/>
      <c r="F236" s="19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</row>
    <row r="237" spans="1:25" s="20" customFormat="1" ht="89.25" customHeight="1">
      <c r="A237" s="6"/>
      <c r="B237" s="6"/>
      <c r="C237" s="16"/>
      <c r="D237" s="17"/>
      <c r="E237" s="6"/>
      <c r="F237" s="19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</row>
  </sheetData>
  <mergeCells count="22">
    <mergeCell ref="D52:E52"/>
    <mergeCell ref="A49:B49"/>
    <mergeCell ref="A14:D14"/>
    <mergeCell ref="A18:D18"/>
    <mergeCell ref="A16:D16"/>
    <mergeCell ref="A17:D17"/>
    <mergeCell ref="A51:B51"/>
    <mergeCell ref="A50:B50"/>
    <mergeCell ref="D51:E51"/>
    <mergeCell ref="D50:E50"/>
    <mergeCell ref="A1:F3"/>
    <mergeCell ref="A5:F5"/>
    <mergeCell ref="A6:F6"/>
    <mergeCell ref="A7:E7"/>
    <mergeCell ref="A9:D9"/>
    <mergeCell ref="A4:F4"/>
    <mergeCell ref="A10:D10"/>
    <mergeCell ref="A13:D13"/>
    <mergeCell ref="A12:D12"/>
    <mergeCell ref="A11:D11"/>
    <mergeCell ref="D49:E49"/>
    <mergeCell ref="A15:D15"/>
  </mergeCells>
  <printOptions horizontalCentered="1" verticalCentered="1"/>
  <pageMargins left="0.59055118110236227" right="0.59055118110236227" top="0.59055118110236227" bottom="0.59055118110236227" header="0.31496062992125984" footer="0.31496062992125984"/>
  <pageSetup paperSize="9" scale="47" orientation="landscape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Hoja27">
    <tabColor rgb="FF00B0F0"/>
    <pageSetUpPr fitToPage="1"/>
  </sheetPr>
  <dimension ref="A1:AG237"/>
  <sheetViews>
    <sheetView showGridLines="0" topLeftCell="A22" zoomScale="80" zoomScaleNormal="80" workbookViewId="0">
      <selection activeCell="F43" sqref="F43"/>
    </sheetView>
  </sheetViews>
  <sheetFormatPr baseColWidth="10" defaultRowHeight="89.25" customHeight="1"/>
  <cols>
    <col min="1" max="2" width="25.28515625" style="6" customWidth="1"/>
    <col min="3" max="3" width="25.28515625" style="16" customWidth="1"/>
    <col min="4" max="4" width="25.28515625" style="17" customWidth="1"/>
    <col min="5" max="5" width="15.28515625" style="6" bestFit="1" customWidth="1"/>
    <col min="6" max="6" width="21.7109375" style="19" bestFit="1" customWidth="1"/>
    <col min="7" max="7" width="19.140625" style="5" bestFit="1" customWidth="1"/>
    <col min="8" max="8" width="17.42578125" style="5" bestFit="1" customWidth="1"/>
    <col min="9" max="10" width="18.7109375" style="5" customWidth="1"/>
    <col min="11" max="25" width="11.42578125" style="5"/>
    <col min="26" max="16384" width="11.42578125" style="6"/>
  </cols>
  <sheetData>
    <row r="1" spans="1:25" s="4" customFormat="1" ht="33.75" customHeight="1">
      <c r="A1" s="1339" t="s">
        <v>760</v>
      </c>
      <c r="B1" s="1339"/>
      <c r="C1" s="1339"/>
      <c r="D1" s="1339"/>
      <c r="E1" s="1339"/>
      <c r="F1" s="1339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spans="1:25" s="4" customFormat="1" ht="33.75" customHeight="1">
      <c r="A2" s="1339"/>
      <c r="B2" s="1339"/>
      <c r="C2" s="1339"/>
      <c r="D2" s="1339"/>
      <c r="E2" s="1339"/>
      <c r="F2" s="1339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 s="4" customFormat="1" ht="15.75">
      <c r="A3" s="1339"/>
      <c r="B3" s="1339"/>
      <c r="C3" s="1339"/>
      <c r="D3" s="1339"/>
      <c r="E3" s="1339"/>
      <c r="F3" s="1339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</row>
    <row r="4" spans="1:25" s="4" customFormat="1" ht="15.75">
      <c r="A4" s="1339" t="str">
        <f>+'Anexo 15 Carmen de Viboral'!A4:F4</f>
        <v>AL 31 DE JULIO DE 2023</v>
      </c>
      <c r="B4" s="1339"/>
      <c r="C4" s="1339"/>
      <c r="D4" s="1339"/>
      <c r="E4" s="1339"/>
      <c r="F4" s="1339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</row>
    <row r="5" spans="1:25" ht="30" customHeight="1">
      <c r="A5" s="1339" t="s">
        <v>205</v>
      </c>
      <c r="B5" s="1339"/>
      <c r="C5" s="1339"/>
      <c r="D5" s="1339"/>
      <c r="E5" s="1339"/>
      <c r="F5" s="1339"/>
    </row>
    <row r="6" spans="1:25" ht="30" customHeight="1" thickBot="1">
      <c r="A6" s="1339" t="s">
        <v>201</v>
      </c>
      <c r="B6" s="1339"/>
      <c r="C6" s="1339"/>
      <c r="D6" s="1339"/>
      <c r="E6" s="1339"/>
      <c r="F6" s="1339"/>
    </row>
    <row r="7" spans="1:25" ht="30" customHeight="1" thickBot="1">
      <c r="A7" s="1346" t="s">
        <v>1</v>
      </c>
      <c r="B7" s="1347"/>
      <c r="C7" s="1347"/>
      <c r="D7" s="1347"/>
      <c r="E7" s="1347"/>
      <c r="F7" s="7" t="s">
        <v>2</v>
      </c>
    </row>
    <row r="8" spans="1:25" ht="18.600000000000001" customHeight="1">
      <c r="A8" s="8"/>
      <c r="B8" s="9"/>
      <c r="C8" s="9"/>
      <c r="D8" s="9"/>
      <c r="E8" s="10"/>
      <c r="F8" s="11"/>
      <c r="I8" s="12"/>
      <c r="J8" s="12"/>
    </row>
    <row r="9" spans="1:25" ht="18.600000000000001" customHeight="1">
      <c r="A9" s="1342" t="str">
        <f>+'Anexo 15 Carmen de Viboral'!A9:D9</f>
        <v>TOTAL RENDIMIENTOS GENERADOS POR LOS RECURSOS DEL FONDO DE JULIO DE 2023</v>
      </c>
      <c r="B9" s="1343"/>
      <c r="C9" s="1343"/>
      <c r="D9" s="1343"/>
      <c r="E9" s="259"/>
      <c r="F9" s="260">
        <f>F43</f>
        <v>525861.89</v>
      </c>
      <c r="I9" s="13"/>
      <c r="J9" s="12"/>
    </row>
    <row r="10" spans="1:25" ht="18.600000000000001" customHeight="1">
      <c r="A10" s="1333" t="s">
        <v>213</v>
      </c>
      <c r="B10" s="1334"/>
      <c r="C10" s="1334"/>
      <c r="D10" s="1334"/>
      <c r="E10" s="261">
        <v>4112.8999999999996</v>
      </c>
      <c r="F10" s="262"/>
    </row>
    <row r="11" spans="1:25" ht="18.600000000000001" customHeight="1">
      <c r="A11" s="1333" t="s">
        <v>212</v>
      </c>
      <c r="B11" s="1334"/>
      <c r="C11" s="1334"/>
      <c r="D11" s="1334"/>
      <c r="E11" s="261">
        <v>42500.34</v>
      </c>
      <c r="F11" s="262"/>
    </row>
    <row r="12" spans="1:25" ht="18.600000000000001" customHeight="1">
      <c r="A12" s="1333" t="s">
        <v>223</v>
      </c>
      <c r="B12" s="1334"/>
      <c r="C12" s="1334"/>
      <c r="D12" s="1334"/>
      <c r="E12" s="261">
        <v>38503.58</v>
      </c>
      <c r="F12" s="262"/>
    </row>
    <row r="13" spans="1:25" ht="18.600000000000001" customHeight="1">
      <c r="A13" s="1333" t="s">
        <v>231</v>
      </c>
      <c r="B13" s="1334"/>
      <c r="C13" s="1334"/>
      <c r="D13" s="1334"/>
      <c r="E13" s="261">
        <v>42507.23</v>
      </c>
      <c r="F13" s="262"/>
    </row>
    <row r="14" spans="1:25" ht="18.600000000000001" customHeight="1">
      <c r="A14" s="1333" t="s">
        <v>244</v>
      </c>
      <c r="B14" s="1334"/>
      <c r="C14" s="1334"/>
      <c r="D14" s="1334"/>
      <c r="E14" s="261">
        <v>41010.46</v>
      </c>
      <c r="F14" s="262"/>
    </row>
    <row r="15" spans="1:25" ht="15.75" customHeight="1">
      <c r="A15" s="1333" t="s">
        <v>272</v>
      </c>
      <c r="B15" s="1334"/>
      <c r="C15" s="1334"/>
      <c r="D15" s="1334"/>
      <c r="E15" s="261">
        <v>42514.33</v>
      </c>
      <c r="F15" s="262"/>
    </row>
    <row r="16" spans="1:25" ht="18.600000000000001" customHeight="1">
      <c r="A16" s="1333" t="s">
        <v>276</v>
      </c>
      <c r="B16" s="1334"/>
      <c r="C16" s="1334"/>
      <c r="D16" s="1334"/>
      <c r="E16" s="261">
        <v>41017.31</v>
      </c>
      <c r="F16" s="262"/>
    </row>
    <row r="17" spans="1:7" ht="18.600000000000001" customHeight="1">
      <c r="A17" s="1333" t="s">
        <v>294</v>
      </c>
      <c r="B17" s="1334"/>
      <c r="C17" s="1334"/>
      <c r="D17" s="1334"/>
      <c r="E17" s="261">
        <v>42521.43</v>
      </c>
      <c r="F17" s="262"/>
    </row>
    <row r="18" spans="1:7" ht="18.600000000000001" customHeight="1">
      <c r="A18" s="1333" t="s">
        <v>307</v>
      </c>
      <c r="B18" s="1334"/>
      <c r="C18" s="1334"/>
      <c r="D18" s="1334"/>
      <c r="E18" s="261">
        <v>42525.04</v>
      </c>
      <c r="F18" s="262"/>
    </row>
    <row r="19" spans="1:7" ht="18.600000000000001" customHeight="1">
      <c r="A19" s="543" t="s">
        <v>365</v>
      </c>
      <c r="B19" s="544"/>
      <c r="C19" s="544"/>
      <c r="D19" s="544"/>
      <c r="E19" s="261">
        <f>27615.24+1</f>
        <v>27616.240000000002</v>
      </c>
      <c r="F19" s="262"/>
      <c r="G19" s="5" t="str">
        <f>+"+1"</f>
        <v>+1</v>
      </c>
    </row>
    <row r="20" spans="1:7" ht="18.600000000000001" customHeight="1">
      <c r="A20" s="574" t="s">
        <v>427</v>
      </c>
      <c r="B20" s="575"/>
      <c r="C20" s="575"/>
      <c r="D20" s="575"/>
      <c r="E20" s="261">
        <v>9242.2999999999993</v>
      </c>
      <c r="F20" s="262"/>
    </row>
    <row r="21" spans="1:7" ht="18.600000000000001" customHeight="1">
      <c r="A21" s="651" t="s">
        <v>462</v>
      </c>
      <c r="B21" s="652"/>
      <c r="C21" s="652"/>
      <c r="D21" s="652"/>
      <c r="E21" s="261">
        <v>542.61</v>
      </c>
      <c r="F21" s="262"/>
    </row>
    <row r="22" spans="1:7" ht="18.600000000000001" customHeight="1">
      <c r="A22" s="670" t="s">
        <v>494</v>
      </c>
      <c r="B22" s="671"/>
      <c r="C22" s="671"/>
      <c r="D22" s="671"/>
      <c r="E22" s="261">
        <v>562.51</v>
      </c>
      <c r="F22" s="262"/>
    </row>
    <row r="23" spans="1:7" ht="18.600000000000001" customHeight="1">
      <c r="A23" s="689" t="s">
        <v>501</v>
      </c>
      <c r="B23" s="690"/>
      <c r="C23" s="690"/>
      <c r="D23" s="690"/>
      <c r="E23" s="261">
        <v>562.55999999999995</v>
      </c>
      <c r="F23" s="262"/>
    </row>
    <row r="24" spans="1:7" ht="18.600000000000001" customHeight="1">
      <c r="A24" s="725" t="s">
        <v>515</v>
      </c>
      <c r="B24" s="726"/>
      <c r="C24" s="726"/>
      <c r="D24" s="726"/>
      <c r="E24" s="261">
        <v>509.66</v>
      </c>
      <c r="F24" s="262"/>
    </row>
    <row r="25" spans="1:7" ht="18.600000000000001" customHeight="1">
      <c r="A25" s="743" t="s">
        <v>520</v>
      </c>
      <c r="B25" s="744"/>
      <c r="C25" s="744"/>
      <c r="D25" s="744"/>
      <c r="E25" s="261">
        <v>562.65</v>
      </c>
      <c r="F25" s="262"/>
    </row>
    <row r="26" spans="1:7" ht="18.600000000000001" customHeight="1">
      <c r="A26" s="773" t="s">
        <v>537</v>
      </c>
      <c r="B26" s="774"/>
      <c r="C26" s="774"/>
      <c r="D26" s="774"/>
      <c r="E26" s="261">
        <f>542.84-1</f>
        <v>541.84</v>
      </c>
      <c r="F26" s="262"/>
      <c r="G26" s="785" t="str">
        <f>"-1"</f>
        <v>-1</v>
      </c>
    </row>
    <row r="27" spans="1:7" ht="18.600000000000001" customHeight="1">
      <c r="A27" s="793" t="s">
        <v>567</v>
      </c>
      <c r="B27" s="794"/>
      <c r="C27" s="794"/>
      <c r="D27" s="794"/>
      <c r="E27" s="261">
        <v>562.74</v>
      </c>
      <c r="F27" s="262"/>
      <c r="G27" s="785"/>
    </row>
    <row r="28" spans="1:7" ht="18.600000000000001" customHeight="1">
      <c r="A28" s="811" t="s">
        <v>577</v>
      </c>
      <c r="B28" s="812"/>
      <c r="C28" s="812"/>
      <c r="D28" s="812"/>
      <c r="E28" s="261">
        <v>542.92999999999995</v>
      </c>
      <c r="F28" s="262"/>
      <c r="G28" s="785"/>
    </row>
    <row r="29" spans="1:7" ht="18.600000000000001" customHeight="1">
      <c r="A29" s="874" t="s">
        <v>625</v>
      </c>
      <c r="B29" s="875"/>
      <c r="C29" s="875"/>
      <c r="D29" s="875"/>
      <c r="E29" s="261">
        <v>562.84</v>
      </c>
      <c r="F29" s="262"/>
      <c r="G29" s="785"/>
    </row>
    <row r="30" spans="1:7" ht="18.600000000000001" customHeight="1">
      <c r="A30" s="895" t="s">
        <v>720</v>
      </c>
      <c r="B30" s="896"/>
      <c r="C30" s="896"/>
      <c r="D30" s="896"/>
      <c r="E30" s="261">
        <v>562.89</v>
      </c>
      <c r="F30" s="262"/>
      <c r="G30" s="785"/>
    </row>
    <row r="31" spans="1:7" ht="18.600000000000001" customHeight="1">
      <c r="A31" s="904" t="s">
        <v>647</v>
      </c>
      <c r="B31" s="905"/>
      <c r="C31" s="905"/>
      <c r="D31" s="905"/>
      <c r="E31" s="261">
        <v>543.07000000000005</v>
      </c>
      <c r="F31" s="262"/>
      <c r="G31" s="785"/>
    </row>
    <row r="32" spans="1:7" ht="18.600000000000001" customHeight="1">
      <c r="A32" s="924" t="s">
        <v>655</v>
      </c>
      <c r="B32" s="925"/>
      <c r="C32" s="925"/>
      <c r="D32" s="925"/>
      <c r="E32" s="261">
        <v>562.98</v>
      </c>
      <c r="F32" s="262"/>
      <c r="G32" s="785"/>
    </row>
    <row r="33" spans="1:33" ht="18.600000000000001" customHeight="1">
      <c r="A33" s="948" t="s">
        <v>665</v>
      </c>
      <c r="B33" s="949"/>
      <c r="C33" s="949"/>
      <c r="D33" s="949"/>
      <c r="E33" s="261">
        <v>530.87</v>
      </c>
      <c r="F33" s="262"/>
      <c r="G33" s="785"/>
    </row>
    <row r="34" spans="1:33" ht="18.600000000000001" customHeight="1">
      <c r="A34" s="966" t="s">
        <v>677</v>
      </c>
      <c r="B34" s="967"/>
      <c r="C34" s="967"/>
      <c r="D34" s="967"/>
      <c r="E34" s="261">
        <v>372.07</v>
      </c>
      <c r="F34" s="262"/>
      <c r="G34" s="785"/>
    </row>
    <row r="35" spans="1:33" ht="18.600000000000001" customHeight="1">
      <c r="A35" s="989" t="s">
        <v>687</v>
      </c>
      <c r="B35" s="990"/>
      <c r="C35" s="990"/>
      <c r="D35" s="990"/>
      <c r="E35" s="261">
        <v>372.1</v>
      </c>
      <c r="F35" s="262"/>
      <c r="G35" s="785"/>
    </row>
    <row r="36" spans="1:33" ht="18.600000000000001" customHeight="1">
      <c r="A36" s="1015" t="s">
        <v>720</v>
      </c>
      <c r="B36" s="1016"/>
      <c r="C36" s="1016"/>
      <c r="D36" s="1016"/>
      <c r="E36" s="261">
        <v>337.11</v>
      </c>
      <c r="F36" s="262"/>
      <c r="G36" s="785"/>
    </row>
    <row r="37" spans="1:33" ht="18.600000000000001" customHeight="1">
      <c r="A37" s="1032" t="s">
        <v>729</v>
      </c>
      <c r="B37" s="1033"/>
      <c r="C37" s="1033"/>
      <c r="D37" s="1033"/>
      <c r="E37" s="261">
        <v>28713.86</v>
      </c>
      <c r="F37" s="262"/>
      <c r="G37" s="785"/>
    </row>
    <row r="38" spans="1:33" ht="18.600000000000001" customHeight="1">
      <c r="A38" s="1069" t="s">
        <v>748</v>
      </c>
      <c r="B38" s="1070"/>
      <c r="C38" s="1070"/>
      <c r="D38" s="1070"/>
      <c r="E38" s="261">
        <v>27967.84</v>
      </c>
      <c r="F38" s="262"/>
      <c r="G38" s="785"/>
    </row>
    <row r="39" spans="1:33" ht="18.600000000000001" customHeight="1">
      <c r="A39" s="1090" t="str">
        <f>+'Anexo 15 Carmen de Viboral'!A39</f>
        <v>Rendimientos financieros AL 31 DE MAYO DE 2023</v>
      </c>
      <c r="B39" s="1091"/>
      <c r="C39" s="1091"/>
      <c r="D39" s="1091"/>
      <c r="E39" s="261">
        <v>29085.58</v>
      </c>
      <c r="F39" s="262"/>
      <c r="G39" s="785">
        <f>+SUM(E10:E39)</f>
        <v>468069.87</v>
      </c>
    </row>
    <row r="40" spans="1:33" ht="18.600000000000001" customHeight="1">
      <c r="A40" s="1100" t="str">
        <f>+'Anexo 15 Carmen de Viboral'!A40</f>
        <v>Rendimientos financieros AL 30 DE JUNIO DE 2023</v>
      </c>
      <c r="B40" s="1101"/>
      <c r="C40" s="1101"/>
      <c r="D40" s="1101"/>
      <c r="E40" s="261">
        <v>28329.91</v>
      </c>
      <c r="F40" s="262"/>
      <c r="G40" s="785"/>
    </row>
    <row r="41" spans="1:33" ht="18.600000000000001" customHeight="1">
      <c r="A41" s="1128" t="str">
        <f>+'Anexo 15 Carmen de Viboral'!A41</f>
        <v>Rendimientos financieros AL 31 DE JULIO DE 2023</v>
      </c>
      <c r="B41" s="1129"/>
      <c r="C41" s="1129"/>
      <c r="D41" s="1129"/>
      <c r="E41" s="261">
        <v>29462.11</v>
      </c>
      <c r="F41" s="262"/>
      <c r="G41" s="785"/>
    </row>
    <row r="42" spans="1:33" s="5" customFormat="1" ht="18.600000000000001" customHeight="1">
      <c r="A42" s="226"/>
      <c r="B42" s="227"/>
      <c r="C42" s="227"/>
      <c r="D42" s="227"/>
      <c r="E42" s="263"/>
      <c r="F42" s="264"/>
      <c r="G42" s="776" t="s">
        <v>535</v>
      </c>
      <c r="H42" s="775" t="s">
        <v>536</v>
      </c>
      <c r="I42" s="775" t="s">
        <v>516</v>
      </c>
      <c r="J42" s="742" t="s">
        <v>65</v>
      </c>
      <c r="Z42" s="6"/>
      <c r="AA42" s="6"/>
      <c r="AB42" s="6"/>
      <c r="AC42" s="6"/>
      <c r="AD42" s="6"/>
      <c r="AE42" s="6"/>
      <c r="AF42" s="6"/>
      <c r="AG42" s="6"/>
    </row>
    <row r="43" spans="1:33" s="5" customFormat="1" ht="24.75" customHeight="1" thickBot="1">
      <c r="A43" s="14" t="str">
        <f>+'Anexo 15 Carmen de Viboral'!A43</f>
        <v>TOTAL RENDIMIENTOS DISPONIBLES AL 31 DE JULIO DE 2023</v>
      </c>
      <c r="B43" s="15"/>
      <c r="C43" s="15"/>
      <c r="D43" s="15"/>
      <c r="E43" s="265"/>
      <c r="F43" s="266">
        <f>SUM(E9:E42)</f>
        <v>525861.89</v>
      </c>
      <c r="G43" s="5">
        <f>+F43+Adhesiones!H74</f>
        <v>4522005.8899999997</v>
      </c>
      <c r="H43" s="741">
        <f>+G43-F43</f>
        <v>3996143.9999999995</v>
      </c>
      <c r="I43" s="5">
        <f>-'Anexo 3-Porcion C-NC'!B27</f>
        <v>-3996145</v>
      </c>
      <c r="J43" s="5">
        <f>+H43+I43</f>
        <v>-1.0000000004656613</v>
      </c>
      <c r="Z43" s="6"/>
      <c r="AA43" s="6"/>
      <c r="AB43" s="6"/>
      <c r="AC43" s="6"/>
      <c r="AD43" s="6"/>
      <c r="AE43" s="6"/>
      <c r="AF43" s="6"/>
      <c r="AG43" s="6"/>
    </row>
    <row r="44" spans="1:33" s="20" customFormat="1" ht="15.75">
      <c r="A44" s="6"/>
      <c r="B44" s="6"/>
      <c r="C44" s="16"/>
      <c r="D44" s="17"/>
      <c r="E44" s="258"/>
      <c r="F44" s="258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</row>
    <row r="45" spans="1:33" s="20" customFormat="1" ht="15.75">
      <c r="A45" s="6"/>
      <c r="B45" s="6"/>
      <c r="C45" s="16"/>
      <c r="D45" s="17"/>
      <c r="E45" s="21"/>
      <c r="F45" s="19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</row>
    <row r="46" spans="1:33" s="20" customFormat="1" ht="15.75">
      <c r="A46" s="6"/>
      <c r="B46" s="6"/>
      <c r="C46" s="16"/>
      <c r="D46" s="17"/>
      <c r="E46" s="22"/>
      <c r="F46" s="19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</row>
    <row r="47" spans="1:33" s="20" customFormat="1" ht="15.75">
      <c r="A47" s="6"/>
      <c r="B47" s="6"/>
      <c r="C47" s="16"/>
      <c r="D47" s="17"/>
      <c r="E47" s="22"/>
      <c r="F47" s="19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</row>
    <row r="48" spans="1:33" s="5" customFormat="1" ht="16.5" thickBot="1">
      <c r="A48" s="23"/>
      <c r="B48" s="24"/>
      <c r="C48" s="25"/>
      <c r="D48" s="131"/>
      <c r="E48" s="132"/>
      <c r="F48" s="133"/>
    </row>
    <row r="49" spans="1:25" s="5" customFormat="1" ht="15" customHeight="1">
      <c r="A49" s="1336" t="s">
        <v>135</v>
      </c>
      <c r="B49" s="1336"/>
      <c r="C49" s="1"/>
      <c r="D49" s="1336" t="s">
        <v>517</v>
      </c>
      <c r="E49" s="1336"/>
      <c r="F49" s="224"/>
    </row>
    <row r="50" spans="1:25" s="5" customFormat="1" ht="14.45" customHeight="1">
      <c r="A50" s="1332" t="s">
        <v>145</v>
      </c>
      <c r="B50" s="1332"/>
      <c r="C50" s="2"/>
      <c r="D50" s="1332" t="s">
        <v>519</v>
      </c>
      <c r="E50" s="1332"/>
      <c r="F50" s="225"/>
    </row>
    <row r="51" spans="1:25" s="5" customFormat="1" ht="15.75" customHeight="1">
      <c r="A51" s="1332" t="s">
        <v>48</v>
      </c>
      <c r="B51" s="1332"/>
      <c r="C51" s="2"/>
      <c r="D51" s="1332" t="s">
        <v>48</v>
      </c>
      <c r="E51" s="1332"/>
      <c r="F51" s="225"/>
    </row>
    <row r="52" spans="1:25" s="20" customFormat="1" ht="15.75" customHeight="1">
      <c r="A52" s="6"/>
      <c r="B52" s="6"/>
      <c r="C52" s="16"/>
      <c r="D52" s="1335" t="s">
        <v>518</v>
      </c>
      <c r="E52" s="1335"/>
      <c r="F52" s="22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</row>
    <row r="53" spans="1:25" s="20" customFormat="1" ht="15.75">
      <c r="A53" s="6"/>
      <c r="B53" s="6"/>
      <c r="C53" s="16"/>
      <c r="D53" s="17"/>
      <c r="E53" s="22"/>
      <c r="F53" s="19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</row>
    <row r="54" spans="1:25" s="20" customFormat="1" ht="15.75">
      <c r="A54" s="6"/>
      <c r="B54" s="6"/>
      <c r="C54" s="16"/>
      <c r="D54" s="17"/>
      <c r="E54" s="22"/>
      <c r="F54" s="19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</row>
    <row r="55" spans="1:25" s="20" customFormat="1" ht="15.75">
      <c r="A55" s="27"/>
      <c r="B55" s="27"/>
      <c r="C55" s="27"/>
      <c r="D55" s="27"/>
      <c r="E55" s="27"/>
      <c r="F55" s="19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</row>
    <row r="56" spans="1:25" s="5" customFormat="1" ht="15.75">
      <c r="A56" s="27"/>
      <c r="B56" s="27"/>
      <c r="C56" s="27"/>
      <c r="D56" s="27"/>
      <c r="E56" s="27"/>
      <c r="F56" s="26"/>
    </row>
    <row r="57" spans="1:25" s="5" customFormat="1" ht="15" customHeight="1">
      <c r="A57" s="27"/>
      <c r="B57" s="27"/>
      <c r="C57" s="27"/>
      <c r="D57" s="27"/>
      <c r="E57" s="27"/>
      <c r="F57" s="26"/>
    </row>
    <row r="58" spans="1:25" s="5" customFormat="1" ht="14.45" customHeight="1">
      <c r="A58" s="27"/>
      <c r="B58" s="27"/>
      <c r="C58" s="27"/>
      <c r="D58" s="27"/>
      <c r="E58" s="27"/>
      <c r="F58" s="26"/>
    </row>
    <row r="59" spans="1:25" s="5" customFormat="1" ht="14.45" customHeight="1">
      <c r="A59" s="27"/>
      <c r="B59" s="27"/>
      <c r="C59" s="27"/>
      <c r="D59" s="27"/>
      <c r="E59" s="27"/>
      <c r="F59" s="26"/>
    </row>
    <row r="60" spans="1:25" s="20" customFormat="1" ht="15.75">
      <c r="A60" s="27"/>
      <c r="B60" s="27"/>
      <c r="C60" s="27"/>
      <c r="D60" s="27"/>
      <c r="E60" s="27"/>
      <c r="F60" s="19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</row>
    <row r="61" spans="1:25" s="20" customFormat="1" ht="15.75">
      <c r="A61" s="6"/>
      <c r="B61" s="6"/>
      <c r="C61" s="16"/>
      <c r="D61" s="17"/>
      <c r="E61" s="6"/>
      <c r="F61" s="19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</row>
    <row r="62" spans="1:25" s="20" customFormat="1" ht="15.75">
      <c r="A62" s="6"/>
      <c r="B62" s="6"/>
      <c r="C62" s="16"/>
      <c r="D62" s="17"/>
      <c r="E62" s="6"/>
      <c r="F62" s="19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</row>
    <row r="63" spans="1:25" s="20" customFormat="1" ht="15.75">
      <c r="A63" s="6"/>
      <c r="B63" s="6"/>
      <c r="C63" s="16"/>
      <c r="D63" s="17"/>
      <c r="E63" s="6"/>
      <c r="F63" s="19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</row>
    <row r="64" spans="1:25" s="20" customFormat="1" ht="15.75">
      <c r="A64" s="6"/>
      <c r="B64" s="6"/>
      <c r="C64" s="16"/>
      <c r="D64" s="17"/>
      <c r="E64" s="6"/>
      <c r="F64" s="19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</row>
    <row r="65" spans="1:25" s="20" customFormat="1" ht="15.75">
      <c r="A65" s="6"/>
      <c r="B65" s="6"/>
      <c r="C65" s="16"/>
      <c r="D65" s="17"/>
      <c r="E65" s="6"/>
      <c r="F65" s="19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</row>
    <row r="66" spans="1:25" s="20" customFormat="1" ht="15.75">
      <c r="A66" s="6"/>
      <c r="B66" s="6"/>
      <c r="C66" s="16"/>
      <c r="D66" s="17"/>
      <c r="E66" s="6"/>
      <c r="F66" s="19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</row>
    <row r="67" spans="1:25" s="20" customFormat="1" ht="15.75">
      <c r="A67" s="6"/>
      <c r="B67" s="6"/>
      <c r="C67" s="16"/>
      <c r="D67" s="17"/>
      <c r="E67" s="6"/>
      <c r="F67" s="19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</row>
    <row r="68" spans="1:25" s="20" customFormat="1" ht="15.75">
      <c r="A68" s="6"/>
      <c r="B68" s="6"/>
      <c r="C68" s="16"/>
      <c r="D68" s="17"/>
      <c r="E68" s="6"/>
      <c r="F68" s="19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</row>
    <row r="69" spans="1:25" s="20" customFormat="1" ht="15.75">
      <c r="A69" s="6"/>
      <c r="B69" s="6"/>
      <c r="C69" s="16"/>
      <c r="D69" s="17"/>
      <c r="E69" s="6"/>
      <c r="F69" s="19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</row>
    <row r="70" spans="1:25" s="20" customFormat="1" ht="15.75">
      <c r="A70" s="6"/>
      <c r="B70" s="6"/>
      <c r="C70" s="16"/>
      <c r="D70" s="17"/>
      <c r="E70" s="6"/>
      <c r="F70" s="19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</row>
    <row r="71" spans="1:25" s="20" customFormat="1" ht="15.75">
      <c r="A71" s="6"/>
      <c r="B71" s="6"/>
      <c r="C71" s="16"/>
      <c r="D71" s="17"/>
      <c r="E71" s="6"/>
      <c r="F71" s="19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</row>
    <row r="72" spans="1:25" s="20" customFormat="1" ht="15.75">
      <c r="A72" s="6"/>
      <c r="B72" s="6"/>
      <c r="C72" s="16"/>
      <c r="D72" s="17"/>
      <c r="E72" s="6"/>
      <c r="F72" s="19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</row>
    <row r="73" spans="1:25" s="20" customFormat="1" ht="15.75">
      <c r="A73" s="6"/>
      <c r="B73" s="6"/>
      <c r="C73" s="16"/>
      <c r="D73" s="17"/>
      <c r="E73" s="6"/>
      <c r="F73" s="19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</row>
    <row r="74" spans="1:25" s="20" customFormat="1" ht="15.75">
      <c r="A74" s="6"/>
      <c r="B74" s="6"/>
      <c r="C74" s="16"/>
      <c r="D74" s="17"/>
      <c r="E74" s="6"/>
      <c r="F74" s="19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</row>
    <row r="75" spans="1:25" s="20" customFormat="1" ht="15.75">
      <c r="A75" s="6"/>
      <c r="B75" s="6"/>
      <c r="C75" s="16"/>
      <c r="D75" s="17"/>
      <c r="E75" s="6"/>
      <c r="F75" s="19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</row>
    <row r="76" spans="1:25" s="20" customFormat="1" ht="15.75">
      <c r="A76" s="6"/>
      <c r="B76" s="6"/>
      <c r="C76" s="16"/>
      <c r="D76" s="17"/>
      <c r="E76" s="6"/>
      <c r="F76" s="19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</row>
    <row r="77" spans="1:25" s="20" customFormat="1" ht="15.75">
      <c r="A77" s="6"/>
      <c r="B77" s="6"/>
      <c r="C77" s="16"/>
      <c r="D77" s="17"/>
      <c r="E77" s="6"/>
      <c r="F77" s="19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</row>
    <row r="78" spans="1:25" s="20" customFormat="1" ht="15.75">
      <c r="A78" s="6"/>
      <c r="B78" s="6"/>
      <c r="C78" s="16"/>
      <c r="D78" s="17"/>
      <c r="E78" s="6"/>
      <c r="F78" s="19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</row>
    <row r="79" spans="1:25" s="20" customFormat="1" ht="15.75">
      <c r="A79" s="6"/>
      <c r="B79" s="6"/>
      <c r="C79" s="16"/>
      <c r="D79" s="17"/>
      <c r="E79" s="6"/>
      <c r="F79" s="19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</row>
    <row r="80" spans="1:25" s="20" customFormat="1" ht="89.25" customHeight="1">
      <c r="A80" s="6"/>
      <c r="B80" s="6"/>
      <c r="C80" s="16"/>
      <c r="D80" s="17"/>
      <c r="E80" s="6"/>
      <c r="F80" s="19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</row>
    <row r="81" spans="1:25" s="20" customFormat="1" ht="89.25" customHeight="1">
      <c r="A81" s="6"/>
      <c r="B81" s="6"/>
      <c r="C81" s="16"/>
      <c r="D81" s="17"/>
      <c r="E81" s="6"/>
      <c r="F81" s="19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</row>
    <row r="82" spans="1:25" s="20" customFormat="1" ht="89.25" customHeight="1">
      <c r="A82" s="6"/>
      <c r="B82" s="6"/>
      <c r="C82" s="16"/>
      <c r="D82" s="17"/>
      <c r="E82" s="6"/>
      <c r="F82" s="19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</row>
    <row r="83" spans="1:25" s="20" customFormat="1" ht="89.25" customHeight="1">
      <c r="A83" s="6"/>
      <c r="B83" s="6"/>
      <c r="C83" s="16"/>
      <c r="D83" s="17"/>
      <c r="E83" s="6"/>
      <c r="F83" s="19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</row>
    <row r="84" spans="1:25" s="20" customFormat="1" ht="89.25" customHeight="1">
      <c r="A84" s="6"/>
      <c r="B84" s="6"/>
      <c r="C84" s="16"/>
      <c r="D84" s="17"/>
      <c r="E84" s="6"/>
      <c r="F84" s="19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</row>
    <row r="85" spans="1:25" s="20" customFormat="1" ht="89.25" customHeight="1">
      <c r="A85" s="6"/>
      <c r="B85" s="6"/>
      <c r="C85" s="16"/>
      <c r="D85" s="17"/>
      <c r="E85" s="6"/>
      <c r="F85" s="19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</row>
    <row r="86" spans="1:25" s="20" customFormat="1" ht="89.25" customHeight="1">
      <c r="A86" s="6"/>
      <c r="B86" s="6"/>
      <c r="C86" s="16"/>
      <c r="D86" s="17"/>
      <c r="E86" s="6"/>
      <c r="F86" s="19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</row>
    <row r="87" spans="1:25" s="20" customFormat="1" ht="89.25" customHeight="1">
      <c r="A87" s="6"/>
      <c r="B87" s="6"/>
      <c r="C87" s="16"/>
      <c r="D87" s="17"/>
      <c r="E87" s="6"/>
      <c r="F87" s="19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</row>
    <row r="88" spans="1:25" s="20" customFormat="1" ht="89.25" customHeight="1">
      <c r="A88" s="6"/>
      <c r="B88" s="6"/>
      <c r="C88" s="16"/>
      <c r="D88" s="17"/>
      <c r="E88" s="6"/>
      <c r="F88" s="19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</row>
    <row r="89" spans="1:25" s="20" customFormat="1" ht="89.25" customHeight="1">
      <c r="A89" s="6"/>
      <c r="B89" s="6"/>
      <c r="C89" s="16"/>
      <c r="D89" s="17"/>
      <c r="E89" s="6"/>
      <c r="F89" s="19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</row>
    <row r="90" spans="1:25" s="20" customFormat="1" ht="89.25" customHeight="1">
      <c r="A90" s="6"/>
      <c r="B90" s="6"/>
      <c r="C90" s="16"/>
      <c r="D90" s="17"/>
      <c r="E90" s="6"/>
      <c r="F90" s="19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</row>
    <row r="91" spans="1:25" s="20" customFormat="1" ht="89.25" customHeight="1">
      <c r="A91" s="6"/>
      <c r="B91" s="6"/>
      <c r="C91" s="16"/>
      <c r="D91" s="17"/>
      <c r="E91" s="6"/>
      <c r="F91" s="19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</row>
    <row r="92" spans="1:25" s="20" customFormat="1" ht="89.25" customHeight="1">
      <c r="A92" s="6"/>
      <c r="B92" s="6"/>
      <c r="C92" s="16"/>
      <c r="D92" s="17"/>
      <c r="E92" s="6"/>
      <c r="F92" s="19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</row>
    <row r="93" spans="1:25" s="20" customFormat="1" ht="89.25" customHeight="1">
      <c r="A93" s="6"/>
      <c r="B93" s="6"/>
      <c r="C93" s="16"/>
      <c r="D93" s="17"/>
      <c r="E93" s="6"/>
      <c r="F93" s="19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</row>
    <row r="94" spans="1:25" s="20" customFormat="1" ht="89.25" customHeight="1">
      <c r="A94" s="6"/>
      <c r="B94" s="6"/>
      <c r="C94" s="16"/>
      <c r="D94" s="17"/>
      <c r="E94" s="6"/>
      <c r="F94" s="19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</row>
    <row r="95" spans="1:25" s="20" customFormat="1" ht="89.25" customHeight="1">
      <c r="A95" s="6"/>
      <c r="B95" s="6"/>
      <c r="C95" s="16"/>
      <c r="D95" s="17"/>
      <c r="E95" s="6"/>
      <c r="F95" s="19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</row>
    <row r="96" spans="1:25" s="20" customFormat="1" ht="89.25" customHeight="1">
      <c r="A96" s="6"/>
      <c r="B96" s="6"/>
      <c r="C96" s="16"/>
      <c r="D96" s="17"/>
      <c r="E96" s="6"/>
      <c r="F96" s="19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</row>
    <row r="97" spans="1:25" s="20" customFormat="1" ht="89.25" customHeight="1">
      <c r="A97" s="6"/>
      <c r="B97" s="6"/>
      <c r="C97" s="16"/>
      <c r="D97" s="17"/>
      <c r="E97" s="6"/>
      <c r="F97" s="19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</row>
    <row r="98" spans="1:25" s="20" customFormat="1" ht="89.25" customHeight="1">
      <c r="A98" s="6"/>
      <c r="B98" s="6"/>
      <c r="C98" s="16"/>
      <c r="D98" s="17"/>
      <c r="E98" s="6"/>
      <c r="F98" s="19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</row>
    <row r="99" spans="1:25" s="20" customFormat="1" ht="89.25" customHeight="1">
      <c r="A99" s="6"/>
      <c r="B99" s="6"/>
      <c r="C99" s="16"/>
      <c r="D99" s="17"/>
      <c r="E99" s="6"/>
      <c r="F99" s="19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</row>
    <row r="100" spans="1:25" s="20" customFormat="1" ht="89.25" customHeight="1">
      <c r="A100" s="6"/>
      <c r="B100" s="6"/>
      <c r="C100" s="16"/>
      <c r="D100" s="17"/>
      <c r="E100" s="6"/>
      <c r="F100" s="19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</row>
    <row r="101" spans="1:25" s="20" customFormat="1" ht="89.25" customHeight="1">
      <c r="A101" s="6"/>
      <c r="B101" s="6"/>
      <c r="C101" s="16"/>
      <c r="D101" s="17"/>
      <c r="E101" s="6"/>
      <c r="F101" s="19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</row>
    <row r="102" spans="1:25" s="20" customFormat="1" ht="89.25" customHeight="1">
      <c r="A102" s="6"/>
      <c r="B102" s="6"/>
      <c r="C102" s="16"/>
      <c r="D102" s="17"/>
      <c r="E102" s="6"/>
      <c r="F102" s="19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</row>
    <row r="103" spans="1:25" s="20" customFormat="1" ht="89.25" customHeight="1">
      <c r="A103" s="6"/>
      <c r="B103" s="6"/>
      <c r="C103" s="16"/>
      <c r="D103" s="17"/>
      <c r="E103" s="6"/>
      <c r="F103" s="19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</row>
    <row r="104" spans="1:25" s="20" customFormat="1" ht="89.25" customHeight="1">
      <c r="A104" s="6"/>
      <c r="B104" s="6"/>
      <c r="C104" s="16"/>
      <c r="D104" s="17"/>
      <c r="E104" s="6"/>
      <c r="F104" s="19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</row>
    <row r="105" spans="1:25" s="20" customFormat="1" ht="89.25" customHeight="1">
      <c r="A105" s="6"/>
      <c r="B105" s="6"/>
      <c r="C105" s="16"/>
      <c r="D105" s="17"/>
      <c r="E105" s="6"/>
      <c r="F105" s="19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</row>
    <row r="106" spans="1:25" s="20" customFormat="1" ht="89.25" customHeight="1">
      <c r="A106" s="6"/>
      <c r="B106" s="6"/>
      <c r="C106" s="16"/>
      <c r="D106" s="17"/>
      <c r="E106" s="6"/>
      <c r="F106" s="19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</row>
    <row r="107" spans="1:25" s="20" customFormat="1" ht="89.25" customHeight="1">
      <c r="A107" s="6"/>
      <c r="B107" s="6"/>
      <c r="C107" s="16"/>
      <c r="D107" s="17"/>
      <c r="E107" s="6"/>
      <c r="F107" s="19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</row>
    <row r="108" spans="1:25" s="20" customFormat="1" ht="89.25" customHeight="1">
      <c r="A108" s="6"/>
      <c r="B108" s="6"/>
      <c r="C108" s="16"/>
      <c r="D108" s="17"/>
      <c r="E108" s="6"/>
      <c r="F108" s="19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</row>
    <row r="109" spans="1:25" s="20" customFormat="1" ht="89.25" customHeight="1">
      <c r="A109" s="6"/>
      <c r="B109" s="6"/>
      <c r="C109" s="16"/>
      <c r="D109" s="17"/>
      <c r="E109" s="6"/>
      <c r="F109" s="19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</row>
    <row r="110" spans="1:25" s="20" customFormat="1" ht="89.25" customHeight="1">
      <c r="A110" s="6"/>
      <c r="B110" s="6"/>
      <c r="C110" s="16"/>
      <c r="D110" s="17"/>
      <c r="E110" s="6"/>
      <c r="F110" s="19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</row>
    <row r="111" spans="1:25" s="20" customFormat="1" ht="89.25" customHeight="1">
      <c r="A111" s="6"/>
      <c r="B111" s="6"/>
      <c r="C111" s="16"/>
      <c r="D111" s="17"/>
      <c r="E111" s="6"/>
      <c r="F111" s="19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</row>
    <row r="112" spans="1:25" s="20" customFormat="1" ht="89.25" customHeight="1">
      <c r="A112" s="6"/>
      <c r="B112" s="6"/>
      <c r="C112" s="16"/>
      <c r="D112" s="17"/>
      <c r="E112" s="6"/>
      <c r="F112" s="19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</row>
    <row r="113" spans="1:25" s="20" customFormat="1" ht="89.25" customHeight="1">
      <c r="A113" s="6"/>
      <c r="B113" s="6"/>
      <c r="C113" s="16"/>
      <c r="D113" s="17"/>
      <c r="E113" s="6"/>
      <c r="F113" s="19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</row>
    <row r="114" spans="1:25" s="20" customFormat="1" ht="89.25" customHeight="1">
      <c r="A114" s="6"/>
      <c r="B114" s="6"/>
      <c r="C114" s="16"/>
      <c r="D114" s="17"/>
      <c r="E114" s="6"/>
      <c r="F114" s="19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</row>
    <row r="115" spans="1:25" s="20" customFormat="1" ht="89.25" customHeight="1">
      <c r="A115" s="6"/>
      <c r="B115" s="6"/>
      <c r="C115" s="16"/>
      <c r="D115" s="17"/>
      <c r="E115" s="6"/>
      <c r="F115" s="19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</row>
    <row r="116" spans="1:25" s="20" customFormat="1" ht="89.25" customHeight="1">
      <c r="A116" s="6"/>
      <c r="B116" s="6"/>
      <c r="C116" s="16"/>
      <c r="D116" s="17"/>
      <c r="E116" s="6"/>
      <c r="F116" s="19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</row>
    <row r="117" spans="1:25" s="20" customFormat="1" ht="89.25" customHeight="1">
      <c r="A117" s="6"/>
      <c r="B117" s="6"/>
      <c r="C117" s="16"/>
      <c r="D117" s="17"/>
      <c r="E117" s="6"/>
      <c r="F117" s="19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</row>
    <row r="118" spans="1:25" s="20" customFormat="1" ht="89.25" customHeight="1">
      <c r="A118" s="6"/>
      <c r="B118" s="6"/>
      <c r="C118" s="16"/>
      <c r="D118" s="17"/>
      <c r="E118" s="6"/>
      <c r="F118" s="19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</row>
    <row r="119" spans="1:25" s="20" customFormat="1" ht="89.25" customHeight="1">
      <c r="A119" s="6"/>
      <c r="B119" s="6"/>
      <c r="C119" s="16"/>
      <c r="D119" s="17"/>
      <c r="E119" s="6"/>
      <c r="F119" s="19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</row>
    <row r="120" spans="1:25" s="20" customFormat="1" ht="89.25" customHeight="1">
      <c r="A120" s="6"/>
      <c r="B120" s="6"/>
      <c r="C120" s="16"/>
      <c r="D120" s="17"/>
      <c r="E120" s="6"/>
      <c r="F120" s="19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</row>
    <row r="121" spans="1:25" s="20" customFormat="1" ht="89.25" customHeight="1">
      <c r="A121" s="6"/>
      <c r="B121" s="6"/>
      <c r="C121" s="16"/>
      <c r="D121" s="17"/>
      <c r="E121" s="6"/>
      <c r="F121" s="19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</row>
    <row r="122" spans="1:25" s="20" customFormat="1" ht="89.25" customHeight="1">
      <c r="A122" s="6"/>
      <c r="B122" s="6"/>
      <c r="C122" s="16"/>
      <c r="D122" s="17"/>
      <c r="E122" s="6"/>
      <c r="F122" s="19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</row>
    <row r="123" spans="1:25" s="20" customFormat="1" ht="89.25" customHeight="1">
      <c r="A123" s="6"/>
      <c r="B123" s="6"/>
      <c r="C123" s="16"/>
      <c r="D123" s="17"/>
      <c r="E123" s="6"/>
      <c r="F123" s="19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</row>
    <row r="124" spans="1:25" s="20" customFormat="1" ht="89.25" customHeight="1">
      <c r="A124" s="6"/>
      <c r="B124" s="6"/>
      <c r="C124" s="16"/>
      <c r="D124" s="17"/>
      <c r="E124" s="6"/>
      <c r="F124" s="19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</row>
    <row r="125" spans="1:25" s="20" customFormat="1" ht="89.25" customHeight="1">
      <c r="A125" s="6"/>
      <c r="B125" s="6"/>
      <c r="C125" s="16"/>
      <c r="D125" s="17"/>
      <c r="E125" s="6"/>
      <c r="F125" s="19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</row>
    <row r="126" spans="1:25" s="20" customFormat="1" ht="89.25" customHeight="1">
      <c r="A126" s="6"/>
      <c r="B126" s="6"/>
      <c r="C126" s="16"/>
      <c r="D126" s="17"/>
      <c r="E126" s="6"/>
      <c r="F126" s="19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</row>
    <row r="127" spans="1:25" s="20" customFormat="1" ht="89.25" customHeight="1">
      <c r="A127" s="6"/>
      <c r="B127" s="6"/>
      <c r="C127" s="16"/>
      <c r="D127" s="17"/>
      <c r="E127" s="6"/>
      <c r="F127" s="19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</row>
    <row r="128" spans="1:25" s="20" customFormat="1" ht="89.25" customHeight="1">
      <c r="A128" s="6"/>
      <c r="B128" s="6"/>
      <c r="C128" s="16"/>
      <c r="D128" s="17"/>
      <c r="E128" s="6"/>
      <c r="F128" s="19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</row>
    <row r="129" spans="1:25" s="20" customFormat="1" ht="89.25" customHeight="1">
      <c r="A129" s="6"/>
      <c r="B129" s="6"/>
      <c r="C129" s="16"/>
      <c r="D129" s="17"/>
      <c r="E129" s="6"/>
      <c r="F129" s="19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</row>
    <row r="130" spans="1:25" s="20" customFormat="1" ht="89.25" customHeight="1">
      <c r="A130" s="6"/>
      <c r="B130" s="6"/>
      <c r="C130" s="16"/>
      <c r="D130" s="17"/>
      <c r="E130" s="6"/>
      <c r="F130" s="19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</row>
    <row r="131" spans="1:25" s="20" customFormat="1" ht="89.25" customHeight="1">
      <c r="A131" s="6"/>
      <c r="B131" s="6"/>
      <c r="C131" s="16"/>
      <c r="D131" s="17"/>
      <c r="E131" s="6"/>
      <c r="F131" s="19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</row>
    <row r="132" spans="1:25" s="20" customFormat="1" ht="89.25" customHeight="1">
      <c r="A132" s="6"/>
      <c r="B132" s="6"/>
      <c r="C132" s="16"/>
      <c r="D132" s="17"/>
      <c r="E132" s="6"/>
      <c r="F132" s="19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</row>
    <row r="133" spans="1:25" s="20" customFormat="1" ht="89.25" customHeight="1">
      <c r="A133" s="6"/>
      <c r="B133" s="6"/>
      <c r="C133" s="16"/>
      <c r="D133" s="17"/>
      <c r="E133" s="6"/>
      <c r="F133" s="19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</row>
    <row r="134" spans="1:25" s="20" customFormat="1" ht="89.25" customHeight="1">
      <c r="A134" s="6"/>
      <c r="B134" s="6"/>
      <c r="C134" s="16"/>
      <c r="D134" s="17"/>
      <c r="E134" s="6"/>
      <c r="F134" s="19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</row>
    <row r="135" spans="1:25" s="20" customFormat="1" ht="89.25" customHeight="1">
      <c r="A135" s="6"/>
      <c r="B135" s="6"/>
      <c r="C135" s="16"/>
      <c r="D135" s="17"/>
      <c r="E135" s="6"/>
      <c r="F135" s="19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</row>
    <row r="136" spans="1:25" s="20" customFormat="1" ht="89.25" customHeight="1">
      <c r="A136" s="6"/>
      <c r="B136" s="6"/>
      <c r="C136" s="16"/>
      <c r="D136" s="17"/>
      <c r="E136" s="6"/>
      <c r="F136" s="19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</row>
    <row r="137" spans="1:25" s="20" customFormat="1" ht="89.25" customHeight="1">
      <c r="A137" s="6"/>
      <c r="B137" s="6"/>
      <c r="C137" s="16"/>
      <c r="D137" s="17"/>
      <c r="E137" s="6"/>
      <c r="F137" s="19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</row>
    <row r="138" spans="1:25" s="20" customFormat="1" ht="89.25" customHeight="1">
      <c r="A138" s="6"/>
      <c r="B138" s="6"/>
      <c r="C138" s="16"/>
      <c r="D138" s="17"/>
      <c r="E138" s="6"/>
      <c r="F138" s="19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</row>
    <row r="139" spans="1:25" s="20" customFormat="1" ht="89.25" customHeight="1">
      <c r="A139" s="6"/>
      <c r="B139" s="6"/>
      <c r="C139" s="16"/>
      <c r="D139" s="17"/>
      <c r="E139" s="6"/>
      <c r="F139" s="19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</row>
    <row r="140" spans="1:25" s="20" customFormat="1" ht="89.25" customHeight="1">
      <c r="A140" s="6"/>
      <c r="B140" s="6"/>
      <c r="C140" s="16"/>
      <c r="D140" s="17"/>
      <c r="E140" s="6"/>
      <c r="F140" s="19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</row>
    <row r="141" spans="1:25" s="20" customFormat="1" ht="89.25" customHeight="1">
      <c r="A141" s="6"/>
      <c r="B141" s="6"/>
      <c r="C141" s="16"/>
      <c r="D141" s="17"/>
      <c r="E141" s="6"/>
      <c r="F141" s="19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</row>
    <row r="142" spans="1:25" s="20" customFormat="1" ht="89.25" customHeight="1">
      <c r="A142" s="6"/>
      <c r="B142" s="6"/>
      <c r="C142" s="16"/>
      <c r="D142" s="17"/>
      <c r="E142" s="6"/>
      <c r="F142" s="19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</row>
    <row r="143" spans="1:25" s="20" customFormat="1" ht="89.25" customHeight="1">
      <c r="A143" s="6"/>
      <c r="B143" s="6"/>
      <c r="C143" s="16"/>
      <c r="D143" s="17"/>
      <c r="E143" s="6"/>
      <c r="F143" s="19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</row>
    <row r="144" spans="1:25" s="20" customFormat="1" ht="89.25" customHeight="1">
      <c r="A144" s="6"/>
      <c r="B144" s="6"/>
      <c r="C144" s="16"/>
      <c r="D144" s="17"/>
      <c r="E144" s="6"/>
      <c r="F144" s="19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</row>
    <row r="145" spans="1:25" s="20" customFormat="1" ht="89.25" customHeight="1">
      <c r="A145" s="6"/>
      <c r="B145" s="6"/>
      <c r="C145" s="16"/>
      <c r="D145" s="17"/>
      <c r="E145" s="6"/>
      <c r="F145" s="19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</row>
    <row r="146" spans="1:25" s="20" customFormat="1" ht="89.25" customHeight="1">
      <c r="A146" s="6"/>
      <c r="B146" s="6"/>
      <c r="C146" s="16"/>
      <c r="D146" s="17"/>
      <c r="E146" s="6"/>
      <c r="F146" s="19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</row>
    <row r="147" spans="1:25" s="20" customFormat="1" ht="89.25" customHeight="1">
      <c r="A147" s="6"/>
      <c r="B147" s="6"/>
      <c r="C147" s="16"/>
      <c r="D147" s="17"/>
      <c r="E147" s="6"/>
      <c r="F147" s="19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</row>
    <row r="148" spans="1:25" s="20" customFormat="1" ht="89.25" customHeight="1">
      <c r="A148" s="6"/>
      <c r="B148" s="6"/>
      <c r="C148" s="16"/>
      <c r="D148" s="17"/>
      <c r="E148" s="6"/>
      <c r="F148" s="19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</row>
    <row r="149" spans="1:25" s="20" customFormat="1" ht="89.25" customHeight="1">
      <c r="A149" s="6"/>
      <c r="B149" s="6"/>
      <c r="C149" s="16"/>
      <c r="D149" s="17"/>
      <c r="E149" s="6"/>
      <c r="F149" s="19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</row>
    <row r="150" spans="1:25" s="20" customFormat="1" ht="89.25" customHeight="1">
      <c r="A150" s="6"/>
      <c r="B150" s="6"/>
      <c r="C150" s="16"/>
      <c r="D150" s="17"/>
      <c r="E150" s="6"/>
      <c r="F150" s="19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</row>
    <row r="151" spans="1:25" s="20" customFormat="1" ht="89.25" customHeight="1">
      <c r="A151" s="6"/>
      <c r="B151" s="6"/>
      <c r="C151" s="16"/>
      <c r="D151" s="17"/>
      <c r="E151" s="6"/>
      <c r="F151" s="19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</row>
    <row r="152" spans="1:25" s="20" customFormat="1" ht="89.25" customHeight="1">
      <c r="A152" s="6"/>
      <c r="B152" s="6"/>
      <c r="C152" s="16"/>
      <c r="D152" s="17"/>
      <c r="E152" s="6"/>
      <c r="F152" s="19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</row>
    <row r="153" spans="1:25" s="20" customFormat="1" ht="89.25" customHeight="1">
      <c r="A153" s="6"/>
      <c r="B153" s="6"/>
      <c r="C153" s="16"/>
      <c r="D153" s="17"/>
      <c r="E153" s="6"/>
      <c r="F153" s="19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</row>
    <row r="154" spans="1:25" s="20" customFormat="1" ht="89.25" customHeight="1">
      <c r="A154" s="6"/>
      <c r="B154" s="6"/>
      <c r="C154" s="16"/>
      <c r="D154" s="17"/>
      <c r="E154" s="6"/>
      <c r="F154" s="19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</row>
    <row r="155" spans="1:25" s="20" customFormat="1" ht="89.25" customHeight="1">
      <c r="A155" s="6"/>
      <c r="B155" s="6"/>
      <c r="C155" s="16"/>
      <c r="D155" s="17"/>
      <c r="E155" s="6"/>
      <c r="F155" s="19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</row>
    <row r="156" spans="1:25" s="20" customFormat="1" ht="89.25" customHeight="1">
      <c r="A156" s="6"/>
      <c r="B156" s="6"/>
      <c r="C156" s="16"/>
      <c r="D156" s="17"/>
      <c r="E156" s="6"/>
      <c r="F156" s="19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</row>
    <row r="157" spans="1:25" s="20" customFormat="1" ht="89.25" customHeight="1">
      <c r="A157" s="6"/>
      <c r="B157" s="6"/>
      <c r="C157" s="16"/>
      <c r="D157" s="17"/>
      <c r="E157" s="6"/>
      <c r="F157" s="19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</row>
    <row r="158" spans="1:25" s="20" customFormat="1" ht="89.25" customHeight="1">
      <c r="A158" s="6"/>
      <c r="B158" s="6"/>
      <c r="C158" s="16"/>
      <c r="D158" s="17"/>
      <c r="E158" s="6"/>
      <c r="F158" s="19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</row>
    <row r="159" spans="1:25" s="20" customFormat="1" ht="89.25" customHeight="1">
      <c r="A159" s="6"/>
      <c r="B159" s="6"/>
      <c r="C159" s="16"/>
      <c r="D159" s="17"/>
      <c r="E159" s="6"/>
      <c r="F159" s="19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</row>
    <row r="160" spans="1:25" s="20" customFormat="1" ht="89.25" customHeight="1">
      <c r="A160" s="6"/>
      <c r="B160" s="6"/>
      <c r="C160" s="16"/>
      <c r="D160" s="17"/>
      <c r="E160" s="6"/>
      <c r="F160" s="19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</row>
    <row r="161" spans="1:25" s="20" customFormat="1" ht="89.25" customHeight="1">
      <c r="A161" s="6"/>
      <c r="B161" s="6"/>
      <c r="C161" s="16"/>
      <c r="D161" s="17"/>
      <c r="E161" s="6"/>
      <c r="F161" s="19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</row>
    <row r="162" spans="1:25" s="20" customFormat="1" ht="89.25" customHeight="1">
      <c r="A162" s="6"/>
      <c r="B162" s="6"/>
      <c r="C162" s="16"/>
      <c r="D162" s="17"/>
      <c r="E162" s="6"/>
      <c r="F162" s="19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</row>
    <row r="163" spans="1:25" s="20" customFormat="1" ht="89.25" customHeight="1">
      <c r="A163" s="6"/>
      <c r="B163" s="6"/>
      <c r="C163" s="16"/>
      <c r="D163" s="17"/>
      <c r="E163" s="6"/>
      <c r="F163" s="19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</row>
    <row r="164" spans="1:25" s="20" customFormat="1" ht="89.25" customHeight="1">
      <c r="A164" s="6"/>
      <c r="B164" s="6"/>
      <c r="C164" s="16"/>
      <c r="D164" s="17"/>
      <c r="E164" s="6"/>
      <c r="F164" s="19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</row>
    <row r="165" spans="1:25" s="20" customFormat="1" ht="89.25" customHeight="1">
      <c r="A165" s="6"/>
      <c r="B165" s="6"/>
      <c r="C165" s="16"/>
      <c r="D165" s="17"/>
      <c r="E165" s="6"/>
      <c r="F165" s="19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</row>
    <row r="166" spans="1:25" s="20" customFormat="1" ht="89.25" customHeight="1">
      <c r="A166" s="6"/>
      <c r="B166" s="6"/>
      <c r="C166" s="16"/>
      <c r="D166" s="17"/>
      <c r="E166" s="6"/>
      <c r="F166" s="19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</row>
    <row r="167" spans="1:25" s="20" customFormat="1" ht="89.25" customHeight="1">
      <c r="A167" s="6"/>
      <c r="B167" s="6"/>
      <c r="C167" s="16"/>
      <c r="D167" s="17"/>
      <c r="E167" s="6"/>
      <c r="F167" s="19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</row>
    <row r="168" spans="1:25" s="20" customFormat="1" ht="89.25" customHeight="1">
      <c r="A168" s="6"/>
      <c r="B168" s="6"/>
      <c r="C168" s="16"/>
      <c r="D168" s="17"/>
      <c r="E168" s="6"/>
      <c r="F168" s="19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</row>
    <row r="169" spans="1:25" s="20" customFormat="1" ht="89.25" customHeight="1">
      <c r="A169" s="6"/>
      <c r="B169" s="6"/>
      <c r="C169" s="16"/>
      <c r="D169" s="17"/>
      <c r="E169" s="6"/>
      <c r="F169" s="19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</row>
    <row r="170" spans="1:25" s="20" customFormat="1" ht="89.25" customHeight="1">
      <c r="A170" s="6"/>
      <c r="B170" s="6"/>
      <c r="C170" s="16"/>
      <c r="D170" s="17"/>
      <c r="E170" s="6"/>
      <c r="F170" s="19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</row>
    <row r="171" spans="1:25" s="20" customFormat="1" ht="89.25" customHeight="1">
      <c r="A171" s="6"/>
      <c r="B171" s="6"/>
      <c r="C171" s="16"/>
      <c r="D171" s="17"/>
      <c r="E171" s="6"/>
      <c r="F171" s="19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</row>
    <row r="172" spans="1:25" s="20" customFormat="1" ht="89.25" customHeight="1">
      <c r="A172" s="6"/>
      <c r="B172" s="6"/>
      <c r="C172" s="16"/>
      <c r="D172" s="17"/>
      <c r="E172" s="6"/>
      <c r="F172" s="19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</row>
    <row r="173" spans="1:25" s="20" customFormat="1" ht="89.25" customHeight="1">
      <c r="A173" s="6"/>
      <c r="B173" s="6"/>
      <c r="C173" s="16"/>
      <c r="D173" s="17"/>
      <c r="E173" s="6"/>
      <c r="F173" s="19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</row>
    <row r="174" spans="1:25" s="20" customFormat="1" ht="89.25" customHeight="1">
      <c r="A174" s="6"/>
      <c r="B174" s="6"/>
      <c r="C174" s="16"/>
      <c r="D174" s="17"/>
      <c r="E174" s="6"/>
      <c r="F174" s="19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</row>
    <row r="175" spans="1:25" s="20" customFormat="1" ht="89.25" customHeight="1">
      <c r="A175" s="6"/>
      <c r="B175" s="6"/>
      <c r="C175" s="16"/>
      <c r="D175" s="17"/>
      <c r="E175" s="6"/>
      <c r="F175" s="19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</row>
    <row r="176" spans="1:25" s="20" customFormat="1" ht="89.25" customHeight="1">
      <c r="A176" s="6"/>
      <c r="B176" s="6"/>
      <c r="C176" s="16"/>
      <c r="D176" s="17"/>
      <c r="E176" s="6"/>
      <c r="F176" s="19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</row>
    <row r="177" spans="1:25" s="20" customFormat="1" ht="89.25" customHeight="1">
      <c r="A177" s="6"/>
      <c r="B177" s="6"/>
      <c r="C177" s="16"/>
      <c r="D177" s="17"/>
      <c r="E177" s="6"/>
      <c r="F177" s="19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</row>
    <row r="178" spans="1:25" s="20" customFormat="1" ht="89.25" customHeight="1">
      <c r="A178" s="6"/>
      <c r="B178" s="6"/>
      <c r="C178" s="16"/>
      <c r="D178" s="17"/>
      <c r="E178" s="6"/>
      <c r="F178" s="19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</row>
    <row r="179" spans="1:25" s="20" customFormat="1" ht="89.25" customHeight="1">
      <c r="A179" s="6"/>
      <c r="B179" s="6"/>
      <c r="C179" s="16"/>
      <c r="D179" s="17"/>
      <c r="E179" s="6"/>
      <c r="F179" s="19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</row>
    <row r="180" spans="1:25" s="20" customFormat="1" ht="89.25" customHeight="1">
      <c r="A180" s="6"/>
      <c r="B180" s="6"/>
      <c r="C180" s="16"/>
      <c r="D180" s="17"/>
      <c r="E180" s="6"/>
      <c r="F180" s="19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</row>
    <row r="181" spans="1:25" s="20" customFormat="1" ht="89.25" customHeight="1">
      <c r="A181" s="6"/>
      <c r="B181" s="6"/>
      <c r="C181" s="16"/>
      <c r="D181" s="17"/>
      <c r="E181" s="6"/>
      <c r="F181" s="19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</row>
    <row r="182" spans="1:25" s="20" customFormat="1" ht="89.25" customHeight="1">
      <c r="A182" s="6"/>
      <c r="B182" s="6"/>
      <c r="C182" s="16"/>
      <c r="D182" s="17"/>
      <c r="E182" s="6"/>
      <c r="F182" s="19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</row>
    <row r="183" spans="1:25" s="20" customFormat="1" ht="89.25" customHeight="1">
      <c r="A183" s="6"/>
      <c r="B183" s="6"/>
      <c r="C183" s="16"/>
      <c r="D183" s="17"/>
      <c r="E183" s="6"/>
      <c r="F183" s="19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</row>
    <row r="184" spans="1:25" s="20" customFormat="1" ht="89.25" customHeight="1">
      <c r="A184" s="6"/>
      <c r="B184" s="6"/>
      <c r="C184" s="16"/>
      <c r="D184" s="17"/>
      <c r="E184" s="6"/>
      <c r="F184" s="19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</row>
    <row r="185" spans="1:25" s="20" customFormat="1" ht="89.25" customHeight="1">
      <c r="A185" s="6"/>
      <c r="B185" s="6"/>
      <c r="C185" s="16"/>
      <c r="D185" s="17"/>
      <c r="E185" s="6"/>
      <c r="F185" s="19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</row>
    <row r="186" spans="1:25" s="20" customFormat="1" ht="89.25" customHeight="1">
      <c r="A186" s="6"/>
      <c r="B186" s="6"/>
      <c r="C186" s="16"/>
      <c r="D186" s="17"/>
      <c r="E186" s="6"/>
      <c r="F186" s="19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</row>
    <row r="187" spans="1:25" s="20" customFormat="1" ht="89.25" customHeight="1">
      <c r="A187" s="6"/>
      <c r="B187" s="6"/>
      <c r="C187" s="16"/>
      <c r="D187" s="17"/>
      <c r="E187" s="6"/>
      <c r="F187" s="19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</row>
    <row r="188" spans="1:25" s="20" customFormat="1" ht="89.25" customHeight="1">
      <c r="A188" s="6"/>
      <c r="B188" s="6"/>
      <c r="C188" s="16"/>
      <c r="D188" s="17"/>
      <c r="E188" s="6"/>
      <c r="F188" s="19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</row>
    <row r="189" spans="1:25" s="20" customFormat="1" ht="89.25" customHeight="1">
      <c r="A189" s="6"/>
      <c r="B189" s="6"/>
      <c r="C189" s="16"/>
      <c r="D189" s="17"/>
      <c r="E189" s="6"/>
      <c r="F189" s="19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</row>
    <row r="190" spans="1:25" s="20" customFormat="1" ht="89.25" customHeight="1">
      <c r="A190" s="6"/>
      <c r="B190" s="6"/>
      <c r="C190" s="16"/>
      <c r="D190" s="17"/>
      <c r="E190" s="6"/>
      <c r="F190" s="19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</row>
    <row r="191" spans="1:25" s="20" customFormat="1" ht="89.25" customHeight="1">
      <c r="A191" s="6"/>
      <c r="B191" s="6"/>
      <c r="C191" s="16"/>
      <c r="D191" s="17"/>
      <c r="E191" s="6"/>
      <c r="F191" s="19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</row>
    <row r="192" spans="1:25" s="20" customFormat="1" ht="89.25" customHeight="1">
      <c r="A192" s="6"/>
      <c r="B192" s="6"/>
      <c r="C192" s="16"/>
      <c r="D192" s="17"/>
      <c r="E192" s="6"/>
      <c r="F192" s="19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</row>
    <row r="193" spans="1:25" s="20" customFormat="1" ht="89.25" customHeight="1">
      <c r="A193" s="6"/>
      <c r="B193" s="6"/>
      <c r="C193" s="16"/>
      <c r="D193" s="17"/>
      <c r="E193" s="6"/>
      <c r="F193" s="19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</row>
    <row r="194" spans="1:25" s="20" customFormat="1" ht="89.25" customHeight="1">
      <c r="A194" s="6"/>
      <c r="B194" s="6"/>
      <c r="C194" s="16"/>
      <c r="D194" s="17"/>
      <c r="E194" s="6"/>
      <c r="F194" s="19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</row>
    <row r="195" spans="1:25" s="20" customFormat="1" ht="89.25" customHeight="1">
      <c r="A195" s="6"/>
      <c r="B195" s="6"/>
      <c r="C195" s="16"/>
      <c r="D195" s="17"/>
      <c r="E195" s="6"/>
      <c r="F195" s="19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</row>
    <row r="196" spans="1:25" s="20" customFormat="1" ht="89.25" customHeight="1">
      <c r="A196" s="6"/>
      <c r="B196" s="6"/>
      <c r="C196" s="16"/>
      <c r="D196" s="17"/>
      <c r="E196" s="6"/>
      <c r="F196" s="19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</row>
    <row r="197" spans="1:25" s="20" customFormat="1" ht="89.25" customHeight="1">
      <c r="A197" s="6"/>
      <c r="B197" s="6"/>
      <c r="C197" s="16"/>
      <c r="D197" s="17"/>
      <c r="E197" s="6"/>
      <c r="F197" s="19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</row>
    <row r="198" spans="1:25" s="20" customFormat="1" ht="89.25" customHeight="1">
      <c r="A198" s="6"/>
      <c r="B198" s="6"/>
      <c r="C198" s="16"/>
      <c r="D198" s="17"/>
      <c r="E198" s="6"/>
      <c r="F198" s="19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</row>
    <row r="199" spans="1:25" s="20" customFormat="1" ht="89.25" customHeight="1">
      <c r="A199" s="6"/>
      <c r="B199" s="6"/>
      <c r="C199" s="16"/>
      <c r="D199" s="17"/>
      <c r="E199" s="6"/>
      <c r="F199" s="19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</row>
    <row r="200" spans="1:25" s="20" customFormat="1" ht="89.25" customHeight="1">
      <c r="A200" s="6"/>
      <c r="B200" s="6"/>
      <c r="C200" s="16"/>
      <c r="D200" s="17"/>
      <c r="E200" s="6"/>
      <c r="F200" s="19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</row>
    <row r="201" spans="1:25" s="20" customFormat="1" ht="89.25" customHeight="1">
      <c r="A201" s="6"/>
      <c r="B201" s="6"/>
      <c r="C201" s="16"/>
      <c r="D201" s="17"/>
      <c r="E201" s="6"/>
      <c r="F201" s="19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</row>
    <row r="202" spans="1:25" s="20" customFormat="1" ht="89.25" customHeight="1">
      <c r="A202" s="6"/>
      <c r="B202" s="6"/>
      <c r="C202" s="16"/>
      <c r="D202" s="17"/>
      <c r="E202" s="6"/>
      <c r="F202" s="19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</row>
    <row r="203" spans="1:25" s="20" customFormat="1" ht="89.25" customHeight="1">
      <c r="A203" s="6"/>
      <c r="B203" s="6"/>
      <c r="C203" s="16"/>
      <c r="D203" s="17"/>
      <c r="E203" s="6"/>
      <c r="F203" s="19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</row>
    <row r="204" spans="1:25" s="20" customFormat="1" ht="89.25" customHeight="1">
      <c r="A204" s="6"/>
      <c r="B204" s="6"/>
      <c r="C204" s="16"/>
      <c r="D204" s="17"/>
      <c r="E204" s="6"/>
      <c r="F204" s="19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</row>
    <row r="205" spans="1:25" s="20" customFormat="1" ht="89.25" customHeight="1">
      <c r="A205" s="6"/>
      <c r="B205" s="6"/>
      <c r="C205" s="16"/>
      <c r="D205" s="17"/>
      <c r="E205" s="6"/>
      <c r="F205" s="19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</row>
    <row r="206" spans="1:25" s="20" customFormat="1" ht="89.25" customHeight="1">
      <c r="A206" s="6"/>
      <c r="B206" s="6"/>
      <c r="C206" s="16"/>
      <c r="D206" s="17"/>
      <c r="E206" s="6"/>
      <c r="F206" s="19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</row>
    <row r="207" spans="1:25" s="20" customFormat="1" ht="89.25" customHeight="1">
      <c r="A207" s="6"/>
      <c r="B207" s="6"/>
      <c r="C207" s="16"/>
      <c r="D207" s="17"/>
      <c r="E207" s="6"/>
      <c r="F207" s="19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</row>
    <row r="208" spans="1:25" s="20" customFormat="1" ht="89.25" customHeight="1">
      <c r="A208" s="6"/>
      <c r="B208" s="6"/>
      <c r="C208" s="16"/>
      <c r="D208" s="17"/>
      <c r="E208" s="6"/>
      <c r="F208" s="19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</row>
    <row r="209" spans="1:25" s="20" customFormat="1" ht="89.25" customHeight="1">
      <c r="A209" s="6"/>
      <c r="B209" s="6"/>
      <c r="C209" s="16"/>
      <c r="D209" s="17"/>
      <c r="E209" s="6"/>
      <c r="F209" s="19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</row>
    <row r="210" spans="1:25" s="20" customFormat="1" ht="89.25" customHeight="1">
      <c r="A210" s="6"/>
      <c r="B210" s="6"/>
      <c r="C210" s="16"/>
      <c r="D210" s="17"/>
      <c r="E210" s="6"/>
      <c r="F210" s="19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</row>
    <row r="211" spans="1:25" s="20" customFormat="1" ht="89.25" customHeight="1">
      <c r="A211" s="6"/>
      <c r="B211" s="6"/>
      <c r="C211" s="16"/>
      <c r="D211" s="17"/>
      <c r="E211" s="6"/>
      <c r="F211" s="19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</row>
    <row r="212" spans="1:25" s="20" customFormat="1" ht="89.25" customHeight="1">
      <c r="A212" s="6"/>
      <c r="B212" s="6"/>
      <c r="C212" s="16"/>
      <c r="D212" s="17"/>
      <c r="E212" s="6"/>
      <c r="F212" s="19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</row>
    <row r="213" spans="1:25" s="20" customFormat="1" ht="89.25" customHeight="1">
      <c r="A213" s="6"/>
      <c r="B213" s="6"/>
      <c r="C213" s="16"/>
      <c r="D213" s="17"/>
      <c r="E213" s="6"/>
      <c r="F213" s="19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</row>
    <row r="214" spans="1:25" s="20" customFormat="1" ht="89.25" customHeight="1">
      <c r="A214" s="6"/>
      <c r="B214" s="6"/>
      <c r="C214" s="16"/>
      <c r="D214" s="17"/>
      <c r="E214" s="6"/>
      <c r="F214" s="19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</row>
    <row r="215" spans="1:25" s="20" customFormat="1" ht="89.25" customHeight="1">
      <c r="A215" s="6"/>
      <c r="B215" s="6"/>
      <c r="C215" s="16"/>
      <c r="D215" s="17"/>
      <c r="E215" s="6"/>
      <c r="F215" s="19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</row>
    <row r="216" spans="1:25" s="20" customFormat="1" ht="89.25" customHeight="1">
      <c r="A216" s="6"/>
      <c r="B216" s="6"/>
      <c r="C216" s="16"/>
      <c r="D216" s="17"/>
      <c r="E216" s="6"/>
      <c r="F216" s="19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</row>
    <row r="217" spans="1:25" s="20" customFormat="1" ht="89.25" customHeight="1">
      <c r="A217" s="6"/>
      <c r="B217" s="6"/>
      <c r="C217" s="16"/>
      <c r="D217" s="17"/>
      <c r="E217" s="6"/>
      <c r="F217" s="19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</row>
    <row r="218" spans="1:25" s="20" customFormat="1" ht="89.25" customHeight="1">
      <c r="A218" s="6"/>
      <c r="B218" s="6"/>
      <c r="C218" s="16"/>
      <c r="D218" s="17"/>
      <c r="E218" s="6"/>
      <c r="F218" s="19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</row>
    <row r="219" spans="1:25" s="20" customFormat="1" ht="89.25" customHeight="1">
      <c r="A219" s="6"/>
      <c r="B219" s="6"/>
      <c r="C219" s="16"/>
      <c r="D219" s="17"/>
      <c r="E219" s="6"/>
      <c r="F219" s="19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</row>
    <row r="220" spans="1:25" s="20" customFormat="1" ht="89.25" customHeight="1">
      <c r="A220" s="6"/>
      <c r="B220" s="6"/>
      <c r="C220" s="16"/>
      <c r="D220" s="17"/>
      <c r="E220" s="6"/>
      <c r="F220" s="19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</row>
    <row r="221" spans="1:25" s="20" customFormat="1" ht="89.25" customHeight="1">
      <c r="A221" s="6"/>
      <c r="B221" s="6"/>
      <c r="C221" s="16"/>
      <c r="D221" s="17"/>
      <c r="E221" s="6"/>
      <c r="F221" s="19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</row>
    <row r="222" spans="1:25" s="20" customFormat="1" ht="89.25" customHeight="1">
      <c r="A222" s="6"/>
      <c r="B222" s="6"/>
      <c r="C222" s="16"/>
      <c r="D222" s="17"/>
      <c r="E222" s="6"/>
      <c r="F222" s="19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</row>
    <row r="223" spans="1:25" s="20" customFormat="1" ht="89.25" customHeight="1">
      <c r="A223" s="6"/>
      <c r="B223" s="6"/>
      <c r="C223" s="16"/>
      <c r="D223" s="17"/>
      <c r="E223" s="6"/>
      <c r="F223" s="19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</row>
    <row r="224" spans="1:25" s="20" customFormat="1" ht="89.25" customHeight="1">
      <c r="A224" s="6"/>
      <c r="B224" s="6"/>
      <c r="C224" s="16"/>
      <c r="D224" s="17"/>
      <c r="E224" s="6"/>
      <c r="F224" s="19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</row>
    <row r="225" spans="1:25" s="20" customFormat="1" ht="89.25" customHeight="1">
      <c r="A225" s="6"/>
      <c r="B225" s="6"/>
      <c r="C225" s="16"/>
      <c r="D225" s="17"/>
      <c r="E225" s="6"/>
      <c r="F225" s="19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</row>
    <row r="226" spans="1:25" s="20" customFormat="1" ht="89.25" customHeight="1">
      <c r="A226" s="6"/>
      <c r="B226" s="6"/>
      <c r="C226" s="16"/>
      <c r="D226" s="17"/>
      <c r="E226" s="6"/>
      <c r="F226" s="19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</row>
    <row r="227" spans="1:25" s="20" customFormat="1" ht="89.25" customHeight="1">
      <c r="A227" s="6"/>
      <c r="B227" s="6"/>
      <c r="C227" s="16"/>
      <c r="D227" s="17"/>
      <c r="E227" s="6"/>
      <c r="F227" s="19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</row>
    <row r="228" spans="1:25" s="20" customFormat="1" ht="89.25" customHeight="1">
      <c r="A228" s="6"/>
      <c r="B228" s="6"/>
      <c r="C228" s="16"/>
      <c r="D228" s="17"/>
      <c r="E228" s="6"/>
      <c r="F228" s="19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</row>
    <row r="229" spans="1:25" s="20" customFormat="1" ht="89.25" customHeight="1">
      <c r="A229" s="6"/>
      <c r="B229" s="6"/>
      <c r="C229" s="16"/>
      <c r="D229" s="17"/>
      <c r="E229" s="6"/>
      <c r="F229" s="19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</row>
    <row r="230" spans="1:25" s="20" customFormat="1" ht="89.25" customHeight="1">
      <c r="A230" s="6"/>
      <c r="B230" s="6"/>
      <c r="C230" s="16"/>
      <c r="D230" s="17"/>
      <c r="E230" s="6"/>
      <c r="F230" s="19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</row>
    <row r="231" spans="1:25" s="20" customFormat="1" ht="89.25" customHeight="1">
      <c r="A231" s="6"/>
      <c r="B231" s="6"/>
      <c r="C231" s="16"/>
      <c r="D231" s="17"/>
      <c r="E231" s="6"/>
      <c r="F231" s="19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</row>
    <row r="232" spans="1:25" s="20" customFormat="1" ht="89.25" customHeight="1">
      <c r="A232" s="6"/>
      <c r="B232" s="6"/>
      <c r="C232" s="16"/>
      <c r="D232" s="17"/>
      <c r="E232" s="6"/>
      <c r="F232" s="19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</row>
    <row r="233" spans="1:25" s="20" customFormat="1" ht="89.25" customHeight="1">
      <c r="A233" s="6"/>
      <c r="B233" s="6"/>
      <c r="C233" s="16"/>
      <c r="D233" s="17"/>
      <c r="E233" s="6"/>
      <c r="F233" s="19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</row>
    <row r="234" spans="1:25" s="20" customFormat="1" ht="89.25" customHeight="1">
      <c r="A234" s="6"/>
      <c r="B234" s="6"/>
      <c r="C234" s="16"/>
      <c r="D234" s="17"/>
      <c r="E234" s="6"/>
      <c r="F234" s="19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</row>
    <row r="235" spans="1:25" s="20" customFormat="1" ht="89.25" customHeight="1">
      <c r="A235" s="6"/>
      <c r="B235" s="6"/>
      <c r="C235" s="16"/>
      <c r="D235" s="17"/>
      <c r="E235" s="6"/>
      <c r="F235" s="19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</row>
    <row r="236" spans="1:25" s="20" customFormat="1" ht="89.25" customHeight="1">
      <c r="A236" s="6"/>
      <c r="B236" s="6"/>
      <c r="C236" s="16"/>
      <c r="D236" s="17"/>
      <c r="E236" s="6"/>
      <c r="F236" s="19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</row>
    <row r="237" spans="1:25" s="20" customFormat="1" ht="89.25" customHeight="1">
      <c r="A237" s="6"/>
      <c r="B237" s="6"/>
      <c r="C237" s="16"/>
      <c r="D237" s="17"/>
      <c r="E237" s="6"/>
      <c r="F237" s="19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</row>
  </sheetData>
  <mergeCells count="22">
    <mergeCell ref="D52:E52"/>
    <mergeCell ref="A49:B49"/>
    <mergeCell ref="A14:D14"/>
    <mergeCell ref="A18:D18"/>
    <mergeCell ref="A16:D16"/>
    <mergeCell ref="A17:D17"/>
    <mergeCell ref="A51:B51"/>
    <mergeCell ref="A50:B50"/>
    <mergeCell ref="D51:E51"/>
    <mergeCell ref="D50:E50"/>
    <mergeCell ref="A1:F3"/>
    <mergeCell ref="A5:F5"/>
    <mergeCell ref="A6:F6"/>
    <mergeCell ref="A7:E7"/>
    <mergeCell ref="A9:D9"/>
    <mergeCell ref="A4:F4"/>
    <mergeCell ref="A10:D10"/>
    <mergeCell ref="A13:D13"/>
    <mergeCell ref="A12:D12"/>
    <mergeCell ref="A11:D11"/>
    <mergeCell ref="D49:E49"/>
    <mergeCell ref="A15:D15"/>
  </mergeCells>
  <printOptions horizontalCentered="1" verticalCentered="1"/>
  <pageMargins left="0.59055118110236227" right="0.59055118110236227" top="0.59055118110236227" bottom="0.59055118110236227" header="0.31496062992125984" footer="0.31496062992125984"/>
  <pageSetup paperSize="9" scale="47" orientation="landscape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Hoja28">
    <tabColor rgb="FF00B0F0"/>
    <pageSetUpPr fitToPage="1"/>
  </sheetPr>
  <dimension ref="A1:AG237"/>
  <sheetViews>
    <sheetView showGridLines="0" topLeftCell="A22" zoomScale="80" zoomScaleNormal="80" workbookViewId="0">
      <selection activeCell="F43" sqref="F43"/>
    </sheetView>
  </sheetViews>
  <sheetFormatPr baseColWidth="10" defaultRowHeight="89.25" customHeight="1"/>
  <cols>
    <col min="1" max="1" width="25.28515625" style="6" customWidth="1"/>
    <col min="2" max="2" width="28.5703125" style="6" customWidth="1"/>
    <col min="3" max="3" width="25.28515625" style="16" customWidth="1"/>
    <col min="4" max="4" width="25.28515625" style="17" customWidth="1"/>
    <col min="5" max="5" width="15.28515625" style="6" bestFit="1" customWidth="1"/>
    <col min="6" max="6" width="21.7109375" style="19" bestFit="1" customWidth="1"/>
    <col min="7" max="7" width="19.140625" style="5" bestFit="1" customWidth="1"/>
    <col min="8" max="8" width="18.7109375" style="5" bestFit="1" customWidth="1"/>
    <col min="9" max="10" width="18.7109375" style="5" customWidth="1"/>
    <col min="11" max="25" width="11.42578125" style="5"/>
    <col min="26" max="16384" width="11.42578125" style="6"/>
  </cols>
  <sheetData>
    <row r="1" spans="1:25" s="4" customFormat="1" ht="33.75" customHeight="1">
      <c r="A1" s="1339" t="s">
        <v>761</v>
      </c>
      <c r="B1" s="1339"/>
      <c r="C1" s="1339"/>
      <c r="D1" s="1339"/>
      <c r="E1" s="1339"/>
      <c r="F1" s="1339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spans="1:25" s="4" customFormat="1" ht="33.75" customHeight="1">
      <c r="A2" s="1339"/>
      <c r="B2" s="1339"/>
      <c r="C2" s="1339"/>
      <c r="D2" s="1339"/>
      <c r="E2" s="1339"/>
      <c r="F2" s="1339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 s="4" customFormat="1" ht="15.75">
      <c r="A3" s="1339"/>
      <c r="B3" s="1339"/>
      <c r="C3" s="1339"/>
      <c r="D3" s="1339"/>
      <c r="E3" s="1339"/>
      <c r="F3" s="1339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</row>
    <row r="4" spans="1:25" s="4" customFormat="1" ht="15.75">
      <c r="A4" s="1345" t="str">
        <f>+'Anexo 16 Planeta Rica'!A4:F4</f>
        <v>AL 31 DE JULIO DE 2023</v>
      </c>
      <c r="B4" s="1345"/>
      <c r="C4" s="1345"/>
      <c r="D4" s="1345"/>
      <c r="E4" s="1345"/>
      <c r="F4" s="1345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</row>
    <row r="5" spans="1:25" ht="30" customHeight="1">
      <c r="A5" s="1339" t="s">
        <v>205</v>
      </c>
      <c r="B5" s="1339"/>
      <c r="C5" s="1339"/>
      <c r="D5" s="1339"/>
      <c r="E5" s="1339"/>
      <c r="F5" s="1339"/>
    </row>
    <row r="6" spans="1:25" ht="30" customHeight="1" thickBot="1">
      <c r="A6" s="1339" t="s">
        <v>202</v>
      </c>
      <c r="B6" s="1339"/>
      <c r="C6" s="1339"/>
      <c r="D6" s="1339"/>
      <c r="E6" s="1339"/>
      <c r="F6" s="1339"/>
    </row>
    <row r="7" spans="1:25" ht="30" customHeight="1" thickBot="1">
      <c r="A7" s="1346" t="s">
        <v>1</v>
      </c>
      <c r="B7" s="1347"/>
      <c r="C7" s="1347"/>
      <c r="D7" s="1347"/>
      <c r="E7" s="1347"/>
      <c r="F7" s="7" t="s">
        <v>2</v>
      </c>
    </row>
    <row r="8" spans="1:25" ht="18.600000000000001" customHeight="1">
      <c r="A8" s="8"/>
      <c r="B8" s="9"/>
      <c r="C8" s="9"/>
      <c r="D8" s="9"/>
      <c r="E8" s="10"/>
      <c r="F8" s="11"/>
      <c r="I8" s="12"/>
      <c r="J8" s="12"/>
    </row>
    <row r="9" spans="1:25" ht="18.600000000000001" customHeight="1">
      <c r="A9" s="1342" t="str">
        <f>+'Anexo 16 Planeta Rica'!A9:D9</f>
        <v>TOTAL RENDIMIENTOS GENERADOS POR LOS RECURSOS DEL FONDO DE JULIO DE 2023</v>
      </c>
      <c r="B9" s="1343"/>
      <c r="C9" s="1343"/>
      <c r="D9" s="1343"/>
      <c r="E9" s="259"/>
      <c r="F9" s="260">
        <f>F43</f>
        <v>3056701.51</v>
      </c>
      <c r="I9" s="13"/>
      <c r="J9" s="12"/>
    </row>
    <row r="10" spans="1:25" ht="18.600000000000001" customHeight="1">
      <c r="A10" s="1333" t="s">
        <v>213</v>
      </c>
      <c r="B10" s="1334"/>
      <c r="C10" s="1334"/>
      <c r="D10" s="1334"/>
      <c r="E10" s="261">
        <v>25362.27</v>
      </c>
      <c r="F10" s="262"/>
    </row>
    <row r="11" spans="1:25" ht="18.600000000000001" customHeight="1">
      <c r="A11" s="1333" t="s">
        <v>212</v>
      </c>
      <c r="B11" s="1334"/>
      <c r="C11" s="1334"/>
      <c r="D11" s="1334"/>
      <c r="E11" s="261">
        <v>63750.93</v>
      </c>
      <c r="F11" s="262"/>
    </row>
    <row r="12" spans="1:25" ht="18.600000000000001" customHeight="1">
      <c r="A12" s="1333" t="s">
        <v>223</v>
      </c>
      <c r="B12" s="1334"/>
      <c r="C12" s="1334"/>
      <c r="D12" s="1334"/>
      <c r="E12" s="261">
        <v>57756.54</v>
      </c>
      <c r="F12" s="262"/>
    </row>
    <row r="13" spans="1:25" ht="18.600000000000001" customHeight="1">
      <c r="A13" s="1333" t="s">
        <v>231</v>
      </c>
      <c r="B13" s="1334"/>
      <c r="C13" s="1334"/>
      <c r="D13" s="1334"/>
      <c r="E13" s="261">
        <v>63762.48</v>
      </c>
      <c r="F13" s="262"/>
    </row>
    <row r="14" spans="1:25" ht="18.600000000000001" customHeight="1">
      <c r="A14" s="1333" t="s">
        <v>244</v>
      </c>
      <c r="B14" s="1334"/>
      <c r="C14" s="1334"/>
      <c r="D14" s="1334"/>
      <c r="E14" s="261">
        <v>61517.27</v>
      </c>
      <c r="F14" s="262"/>
    </row>
    <row r="15" spans="1:25" ht="15.75" customHeight="1">
      <c r="A15" s="1333" t="s">
        <v>272</v>
      </c>
      <c r="B15" s="1334"/>
      <c r="C15" s="1334"/>
      <c r="D15" s="1334"/>
      <c r="E15" s="261">
        <v>63773.13</v>
      </c>
      <c r="F15" s="262"/>
    </row>
    <row r="16" spans="1:25" ht="18.600000000000001" customHeight="1">
      <c r="A16" s="1333" t="s">
        <v>276</v>
      </c>
      <c r="B16" s="1334"/>
      <c r="C16" s="1334"/>
      <c r="D16" s="1334"/>
      <c r="E16" s="261">
        <v>61527.54</v>
      </c>
      <c r="F16" s="262"/>
    </row>
    <row r="17" spans="1:7" ht="18.600000000000001" customHeight="1">
      <c r="A17" s="1333" t="s">
        <v>294</v>
      </c>
      <c r="B17" s="1334"/>
      <c r="C17" s="1334"/>
      <c r="D17" s="1334"/>
      <c r="E17" s="261">
        <v>63783.78</v>
      </c>
      <c r="F17" s="262"/>
    </row>
    <row r="18" spans="1:7" ht="18.600000000000001" customHeight="1">
      <c r="A18" s="1333" t="s">
        <v>307</v>
      </c>
      <c r="B18" s="1334"/>
      <c r="C18" s="1334"/>
      <c r="D18" s="1334"/>
      <c r="E18" s="261">
        <v>63789.2</v>
      </c>
      <c r="F18" s="262"/>
    </row>
    <row r="19" spans="1:7" ht="18.600000000000001" customHeight="1">
      <c r="A19" s="543" t="s">
        <v>365</v>
      </c>
      <c r="B19" s="544"/>
      <c r="C19" s="544"/>
      <c r="D19" s="544"/>
      <c r="E19" s="261">
        <f>54983.05+1</f>
        <v>54984.05</v>
      </c>
      <c r="F19" s="262"/>
      <c r="G19" s="5" t="str">
        <f>+"+1"</f>
        <v>+1</v>
      </c>
    </row>
    <row r="20" spans="1:7" ht="18.600000000000001" customHeight="1">
      <c r="A20" s="574" t="s">
        <v>427</v>
      </c>
      <c r="B20" s="575"/>
      <c r="C20" s="575"/>
      <c r="D20" s="575"/>
      <c r="E20" s="261">
        <v>32219.360000000001</v>
      </c>
      <c r="F20" s="262"/>
    </row>
    <row r="21" spans="1:7" ht="18.600000000000001" customHeight="1">
      <c r="A21" s="651" t="s">
        <v>462</v>
      </c>
      <c r="B21" s="652"/>
      <c r="C21" s="652"/>
      <c r="D21" s="652"/>
      <c r="E21" s="261">
        <v>3621.37</v>
      </c>
      <c r="F21" s="262"/>
    </row>
    <row r="22" spans="1:7" ht="18.600000000000001" customHeight="1">
      <c r="A22" s="670" t="s">
        <v>494</v>
      </c>
      <c r="B22" s="671"/>
      <c r="C22" s="671"/>
      <c r="D22" s="671"/>
      <c r="E22" s="261">
        <v>3754.17</v>
      </c>
      <c r="F22" s="262"/>
    </row>
    <row r="23" spans="1:7" ht="18.600000000000001" customHeight="1">
      <c r="A23" s="689" t="s">
        <v>501</v>
      </c>
      <c r="B23" s="690"/>
      <c r="C23" s="690"/>
      <c r="D23" s="690"/>
      <c r="E23" s="261">
        <v>3754.49</v>
      </c>
      <c r="F23" s="262"/>
    </row>
    <row r="24" spans="1:7" ht="18.600000000000001" customHeight="1">
      <c r="A24" s="725" t="s">
        <v>515</v>
      </c>
      <c r="B24" s="726"/>
      <c r="C24" s="726"/>
      <c r="D24" s="726"/>
      <c r="E24" s="261">
        <v>3401.42</v>
      </c>
      <c r="F24" s="262"/>
    </row>
    <row r="25" spans="1:7" ht="18.600000000000001" customHeight="1">
      <c r="A25" s="743" t="s">
        <v>520</v>
      </c>
      <c r="B25" s="744"/>
      <c r="C25" s="744"/>
      <c r="D25" s="744"/>
      <c r="E25" s="261">
        <v>3755.1</v>
      </c>
      <c r="F25" s="262"/>
    </row>
    <row r="26" spans="1:7" ht="18.600000000000001" customHeight="1">
      <c r="A26" s="773" t="s">
        <v>537</v>
      </c>
      <c r="B26" s="774"/>
      <c r="C26" s="774"/>
      <c r="D26" s="774"/>
      <c r="E26" s="261">
        <f>3622.87-1</f>
        <v>3621.87</v>
      </c>
      <c r="F26" s="262"/>
      <c r="G26" s="785" t="str">
        <f>"-1"</f>
        <v>-1</v>
      </c>
    </row>
    <row r="27" spans="1:7" ht="18.600000000000001" customHeight="1">
      <c r="A27" s="793" t="s">
        <v>567</v>
      </c>
      <c r="B27" s="794"/>
      <c r="C27" s="794"/>
      <c r="D27" s="794"/>
      <c r="E27" s="261">
        <v>3755.73</v>
      </c>
      <c r="F27" s="262"/>
      <c r="G27" s="785"/>
    </row>
    <row r="28" spans="1:7" ht="18.600000000000001" customHeight="1">
      <c r="A28" s="811" t="s">
        <v>577</v>
      </c>
      <c r="B28" s="812"/>
      <c r="C28" s="812"/>
      <c r="D28" s="812"/>
      <c r="E28" s="261">
        <v>3623.48</v>
      </c>
      <c r="F28" s="262"/>
      <c r="G28" s="785"/>
    </row>
    <row r="29" spans="1:7" ht="18.600000000000001" customHeight="1">
      <c r="A29" s="874" t="s">
        <v>625</v>
      </c>
      <c r="B29" s="875"/>
      <c r="C29" s="875"/>
      <c r="D29" s="875"/>
      <c r="E29" s="261">
        <v>3756.35</v>
      </c>
      <c r="F29" s="262"/>
      <c r="G29" s="785"/>
    </row>
    <row r="30" spans="1:7" ht="18.600000000000001" customHeight="1">
      <c r="A30" s="895" t="s">
        <v>720</v>
      </c>
      <c r="B30" s="896"/>
      <c r="C30" s="896"/>
      <c r="D30" s="896"/>
      <c r="E30" s="261">
        <v>3756.67</v>
      </c>
      <c r="F30" s="262"/>
      <c r="G30" s="785"/>
    </row>
    <row r="31" spans="1:7" ht="18.600000000000001" customHeight="1">
      <c r="A31" s="904" t="s">
        <v>647</v>
      </c>
      <c r="B31" s="905"/>
      <c r="C31" s="905"/>
      <c r="D31" s="905"/>
      <c r="E31" s="261">
        <v>3624.39</v>
      </c>
      <c r="F31" s="262"/>
      <c r="G31" s="785"/>
    </row>
    <row r="32" spans="1:7" ht="18.600000000000001" customHeight="1">
      <c r="A32" s="924" t="s">
        <v>655</v>
      </c>
      <c r="B32" s="925"/>
      <c r="C32" s="925"/>
      <c r="D32" s="925"/>
      <c r="E32" s="261">
        <v>3757.3</v>
      </c>
      <c r="F32" s="262"/>
      <c r="G32" s="785"/>
    </row>
    <row r="33" spans="1:33" ht="18.600000000000001" customHeight="1">
      <c r="A33" s="948" t="s">
        <v>665</v>
      </c>
      <c r="B33" s="949"/>
      <c r="C33" s="949"/>
      <c r="D33" s="949"/>
      <c r="E33" s="261">
        <v>4321.16</v>
      </c>
      <c r="F33" s="262"/>
      <c r="G33" s="785"/>
    </row>
    <row r="34" spans="1:33" ht="18.600000000000001" customHeight="1">
      <c r="A34" s="966" t="s">
        <v>677</v>
      </c>
      <c r="B34" s="967"/>
      <c r="C34" s="967"/>
      <c r="D34" s="967"/>
      <c r="E34" s="261">
        <v>6163.44</v>
      </c>
      <c r="F34" s="262"/>
      <c r="G34" s="785"/>
    </row>
    <row r="35" spans="1:33" ht="18.600000000000001" customHeight="1">
      <c r="A35" s="989" t="s">
        <v>687</v>
      </c>
      <c r="B35" s="990"/>
      <c r="C35" s="990"/>
      <c r="D35" s="990"/>
      <c r="E35" s="261">
        <v>6163.96</v>
      </c>
      <c r="F35" s="262"/>
      <c r="G35" s="785"/>
    </row>
    <row r="36" spans="1:33" ht="18.600000000000001" customHeight="1">
      <c r="A36" s="1015" t="s">
        <v>720</v>
      </c>
      <c r="B36" s="1016"/>
      <c r="C36" s="1016"/>
      <c r="D36" s="1016"/>
      <c r="E36" s="261">
        <v>5584.3</v>
      </c>
      <c r="F36" s="262"/>
      <c r="G36" s="785"/>
    </row>
    <row r="37" spans="1:33" ht="18.600000000000001" customHeight="1">
      <c r="A37" s="1032" t="s">
        <v>729</v>
      </c>
      <c r="B37" s="1033"/>
      <c r="C37" s="1033"/>
      <c r="D37" s="1033"/>
      <c r="E37" s="261">
        <v>475645.07</v>
      </c>
      <c r="F37" s="262"/>
      <c r="G37" s="785"/>
    </row>
    <row r="38" spans="1:33" ht="18.600000000000001" customHeight="1">
      <c r="A38" s="1069" t="s">
        <v>748</v>
      </c>
      <c r="B38" s="1070"/>
      <c r="C38" s="1070"/>
      <c r="D38" s="1070"/>
      <c r="E38" s="261">
        <v>463287.37</v>
      </c>
      <c r="F38" s="262"/>
      <c r="G38" s="785"/>
    </row>
    <row r="39" spans="1:33" ht="18.600000000000001" customHeight="1">
      <c r="A39" s="1090" t="str">
        <f>+'Anexo 16 Planeta Rica'!A39</f>
        <v>Rendimientos financieros AL 31 DE MAYO DE 2023</v>
      </c>
      <c r="B39" s="1091"/>
      <c r="C39" s="1091"/>
      <c r="D39" s="1091"/>
      <c r="E39" s="261">
        <v>481802.59</v>
      </c>
      <c r="F39" s="262"/>
      <c r="G39" s="785">
        <f>+SUM(E10:E39)</f>
        <v>2099376.7799999998</v>
      </c>
    </row>
    <row r="40" spans="1:33" ht="18.600000000000001" customHeight="1">
      <c r="A40" s="1100" t="str">
        <f>+'Anexo 16 Planeta Rica'!A40</f>
        <v>Rendimientos financieros AL 30 DE JUNIO DE 2023</v>
      </c>
      <c r="B40" s="1101"/>
      <c r="C40" s="1101"/>
      <c r="D40" s="1101"/>
      <c r="E40" s="261">
        <v>469284.91</v>
      </c>
      <c r="F40" s="262"/>
      <c r="G40" s="785"/>
    </row>
    <row r="41" spans="1:33" ht="18.600000000000001" customHeight="1">
      <c r="A41" s="1128" t="str">
        <f>+'Anexo 16 Planeta Rica'!A41</f>
        <v>Rendimientos financieros AL 31 DE JULIO DE 2023</v>
      </c>
      <c r="B41" s="1129"/>
      <c r="C41" s="1129"/>
      <c r="D41" s="1129"/>
      <c r="E41" s="261">
        <v>488039.82</v>
      </c>
      <c r="F41" s="262"/>
      <c r="G41" s="785"/>
    </row>
    <row r="42" spans="1:33" s="5" customFormat="1" ht="18.600000000000001" customHeight="1">
      <c r="A42" s="240"/>
      <c r="B42" s="241"/>
      <c r="C42" s="241"/>
      <c r="D42" s="241"/>
      <c r="E42" s="263"/>
      <c r="F42" s="264"/>
      <c r="G42" s="776" t="s">
        <v>535</v>
      </c>
      <c r="H42" s="775" t="s">
        <v>536</v>
      </c>
      <c r="I42" s="775" t="s">
        <v>516</v>
      </c>
      <c r="J42" s="742" t="s">
        <v>65</v>
      </c>
      <c r="Z42" s="6"/>
      <c r="AA42" s="6"/>
      <c r="AB42" s="6"/>
      <c r="AC42" s="6"/>
      <c r="AD42" s="6"/>
      <c r="AE42" s="6"/>
      <c r="AF42" s="6"/>
      <c r="AG42" s="6"/>
    </row>
    <row r="43" spans="1:33" s="5" customFormat="1" ht="24.75" customHeight="1" thickBot="1">
      <c r="A43" s="14" t="str">
        <f>+'Anexo 16 Planeta Rica'!A43</f>
        <v>TOTAL RENDIMIENTOS DISPONIBLES AL 31 DE JULIO DE 2023</v>
      </c>
      <c r="B43" s="15"/>
      <c r="C43" s="15"/>
      <c r="D43" s="15"/>
      <c r="E43" s="265"/>
      <c r="F43" s="266">
        <f>SUM(E9:E42)</f>
        <v>3056701.51</v>
      </c>
      <c r="G43" s="5">
        <f>+F43+Adhesiones!H75</f>
        <v>74907043.010000005</v>
      </c>
      <c r="H43" s="741">
        <f>+G43-F43</f>
        <v>71850341.5</v>
      </c>
      <c r="I43" s="5">
        <f>-'Anexo 3-Porcion C-NC'!B28</f>
        <v>-71850341</v>
      </c>
      <c r="J43" s="5">
        <f>+H43+I43</f>
        <v>0.5</v>
      </c>
      <c r="Z43" s="6"/>
      <c r="AA43" s="6"/>
      <c r="AB43" s="6"/>
      <c r="AC43" s="6"/>
      <c r="AD43" s="6"/>
      <c r="AE43" s="6"/>
      <c r="AF43" s="6"/>
      <c r="AG43" s="6"/>
    </row>
    <row r="44" spans="1:33" s="20" customFormat="1" ht="15.75">
      <c r="A44" s="6"/>
      <c r="B44" s="6"/>
      <c r="C44" s="16"/>
      <c r="D44" s="17"/>
      <c r="E44" s="18"/>
      <c r="F44" s="19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</row>
    <row r="45" spans="1:33" s="20" customFormat="1" ht="15.75">
      <c r="A45" s="6"/>
      <c r="B45" s="6"/>
      <c r="C45" s="16"/>
      <c r="D45" s="17"/>
      <c r="E45" s="21"/>
      <c r="F45" s="19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</row>
    <row r="46" spans="1:33" s="20" customFormat="1" ht="15.75">
      <c r="A46" s="6"/>
      <c r="B46" s="6"/>
      <c r="C46" s="16"/>
      <c r="D46" s="17"/>
      <c r="E46" s="22"/>
      <c r="F46" s="19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</row>
    <row r="47" spans="1:33" s="20" customFormat="1" ht="15.75">
      <c r="A47" s="6"/>
      <c r="B47" s="6"/>
      <c r="C47" s="16"/>
      <c r="D47" s="17"/>
      <c r="E47" s="22"/>
      <c r="F47" s="19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</row>
    <row r="48" spans="1:33" s="5" customFormat="1" ht="16.5" thickBot="1">
      <c r="A48" s="23"/>
      <c r="B48" s="24"/>
      <c r="C48" s="25"/>
      <c r="D48" s="131"/>
      <c r="E48" s="132"/>
      <c r="F48" s="133"/>
    </row>
    <row r="49" spans="1:25" s="5" customFormat="1" ht="15" customHeight="1">
      <c r="A49" s="1336" t="s">
        <v>135</v>
      </c>
      <c r="B49" s="1336"/>
      <c r="C49" s="1"/>
      <c r="D49" s="1336" t="s">
        <v>517</v>
      </c>
      <c r="E49" s="1336"/>
      <c r="F49" s="224"/>
    </row>
    <row r="50" spans="1:25" s="5" customFormat="1" ht="14.45" customHeight="1">
      <c r="A50" s="1332" t="s">
        <v>145</v>
      </c>
      <c r="B50" s="1332"/>
      <c r="C50" s="2"/>
      <c r="D50" s="1332" t="s">
        <v>519</v>
      </c>
      <c r="E50" s="1332"/>
      <c r="F50" s="225"/>
    </row>
    <row r="51" spans="1:25" s="5" customFormat="1" ht="15.75" customHeight="1">
      <c r="A51" s="1332" t="s">
        <v>48</v>
      </c>
      <c r="B51" s="1332"/>
      <c r="C51" s="2"/>
      <c r="D51" s="1332" t="s">
        <v>48</v>
      </c>
      <c r="E51" s="1332"/>
      <c r="F51" s="225"/>
    </row>
    <row r="52" spans="1:25" s="20" customFormat="1" ht="15.75" customHeight="1">
      <c r="A52" s="6"/>
      <c r="B52" s="6"/>
      <c r="C52" s="16"/>
      <c r="D52" s="1335" t="s">
        <v>518</v>
      </c>
      <c r="E52" s="1335"/>
      <c r="F52" s="22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</row>
    <row r="53" spans="1:25" s="20" customFormat="1" ht="15.75">
      <c r="A53" s="6"/>
      <c r="B53" s="6"/>
      <c r="C53" s="16"/>
      <c r="D53" s="17"/>
      <c r="E53" s="22"/>
      <c r="F53" s="19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</row>
    <row r="54" spans="1:25" s="20" customFormat="1" ht="15.75">
      <c r="A54" s="6"/>
      <c r="B54" s="6"/>
      <c r="C54" s="16"/>
      <c r="D54" s="17"/>
      <c r="E54" s="22"/>
      <c r="F54" s="19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</row>
    <row r="55" spans="1:25" s="20" customFormat="1" ht="15.75">
      <c r="A55" s="27"/>
      <c r="B55" s="27"/>
      <c r="C55" s="27"/>
      <c r="D55" s="27"/>
      <c r="E55" s="27"/>
      <c r="F55" s="19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</row>
    <row r="56" spans="1:25" s="5" customFormat="1" ht="15.75">
      <c r="A56" s="27"/>
      <c r="B56" s="27"/>
      <c r="C56" s="27"/>
      <c r="D56" s="27"/>
      <c r="E56" s="27"/>
      <c r="F56" s="26"/>
    </row>
    <row r="57" spans="1:25" s="5" customFormat="1" ht="15" customHeight="1">
      <c r="A57" s="27"/>
      <c r="B57" s="27"/>
      <c r="C57" s="27"/>
      <c r="D57" s="27"/>
      <c r="E57" s="27"/>
      <c r="F57" s="26"/>
    </row>
    <row r="58" spans="1:25" s="5" customFormat="1" ht="14.45" customHeight="1">
      <c r="A58" s="27"/>
      <c r="B58" s="27"/>
      <c r="C58" s="27"/>
      <c r="D58" s="27"/>
      <c r="E58" s="27"/>
      <c r="F58" s="26"/>
    </row>
    <row r="59" spans="1:25" s="5" customFormat="1" ht="14.45" customHeight="1">
      <c r="A59" s="27"/>
      <c r="B59" s="27"/>
      <c r="C59" s="27"/>
      <c r="D59" s="27"/>
      <c r="E59" s="27"/>
      <c r="F59" s="26"/>
    </row>
    <row r="60" spans="1:25" s="20" customFormat="1" ht="15.75">
      <c r="A60" s="27"/>
      <c r="B60" s="27"/>
      <c r="C60" s="27"/>
      <c r="D60" s="27"/>
      <c r="E60" s="27"/>
      <c r="F60" s="19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</row>
    <row r="61" spans="1:25" s="20" customFormat="1" ht="15.75">
      <c r="A61" s="6"/>
      <c r="B61" s="6"/>
      <c r="C61" s="16"/>
      <c r="D61" s="17"/>
      <c r="E61" s="6"/>
      <c r="F61" s="19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</row>
    <row r="62" spans="1:25" s="20" customFormat="1" ht="15.75">
      <c r="A62" s="6"/>
      <c r="B62" s="6"/>
      <c r="C62" s="16"/>
      <c r="D62" s="17"/>
      <c r="E62" s="6"/>
      <c r="F62" s="19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</row>
    <row r="63" spans="1:25" s="20" customFormat="1" ht="15.75">
      <c r="A63" s="6"/>
      <c r="B63" s="6"/>
      <c r="C63" s="16"/>
      <c r="D63" s="17"/>
      <c r="E63" s="6"/>
      <c r="F63" s="19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</row>
    <row r="64" spans="1:25" s="20" customFormat="1" ht="15.75">
      <c r="A64" s="6"/>
      <c r="B64" s="6"/>
      <c r="C64" s="16"/>
      <c r="D64" s="17"/>
      <c r="E64" s="6"/>
      <c r="F64" s="19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</row>
    <row r="65" spans="1:25" s="20" customFormat="1" ht="15.75">
      <c r="A65" s="6"/>
      <c r="B65" s="6"/>
      <c r="C65" s="16"/>
      <c r="D65" s="17"/>
      <c r="E65" s="6"/>
      <c r="F65" s="19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</row>
    <row r="66" spans="1:25" s="20" customFormat="1" ht="15.75">
      <c r="A66" s="6"/>
      <c r="B66" s="6"/>
      <c r="C66" s="16"/>
      <c r="D66" s="17"/>
      <c r="E66" s="6"/>
      <c r="F66" s="19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</row>
    <row r="67" spans="1:25" s="20" customFormat="1" ht="15.75">
      <c r="A67" s="6"/>
      <c r="B67" s="6"/>
      <c r="C67" s="16"/>
      <c r="D67" s="17"/>
      <c r="E67" s="6"/>
      <c r="F67" s="19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</row>
    <row r="68" spans="1:25" s="20" customFormat="1" ht="15.75">
      <c r="A68" s="6"/>
      <c r="B68" s="6"/>
      <c r="C68" s="16"/>
      <c r="D68" s="17"/>
      <c r="E68" s="6"/>
      <c r="F68" s="19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</row>
    <row r="69" spans="1:25" s="20" customFormat="1" ht="15.75">
      <c r="A69" s="6"/>
      <c r="B69" s="6"/>
      <c r="C69" s="16"/>
      <c r="D69" s="17"/>
      <c r="E69" s="6"/>
      <c r="F69" s="19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</row>
    <row r="70" spans="1:25" s="20" customFormat="1" ht="15.75">
      <c r="A70" s="6"/>
      <c r="B70" s="6"/>
      <c r="C70" s="16"/>
      <c r="D70" s="17"/>
      <c r="E70" s="6"/>
      <c r="F70" s="19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</row>
    <row r="71" spans="1:25" s="20" customFormat="1" ht="15.75">
      <c r="A71" s="6"/>
      <c r="B71" s="6"/>
      <c r="C71" s="16"/>
      <c r="D71" s="17"/>
      <c r="E71" s="6"/>
      <c r="F71" s="19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</row>
    <row r="72" spans="1:25" s="20" customFormat="1" ht="15.75">
      <c r="A72" s="6"/>
      <c r="B72" s="6"/>
      <c r="C72" s="16"/>
      <c r="D72" s="17"/>
      <c r="E72" s="6"/>
      <c r="F72" s="19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</row>
    <row r="73" spans="1:25" s="20" customFormat="1" ht="15.75">
      <c r="A73" s="6"/>
      <c r="B73" s="6"/>
      <c r="C73" s="16"/>
      <c r="D73" s="17"/>
      <c r="E73" s="6"/>
      <c r="F73" s="19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</row>
    <row r="74" spans="1:25" s="20" customFormat="1" ht="15.75">
      <c r="A74" s="6"/>
      <c r="B74" s="6"/>
      <c r="C74" s="16"/>
      <c r="D74" s="17"/>
      <c r="E74" s="6"/>
      <c r="F74" s="19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</row>
    <row r="75" spans="1:25" s="20" customFormat="1" ht="15.75">
      <c r="A75" s="6"/>
      <c r="B75" s="6"/>
      <c r="C75" s="16"/>
      <c r="D75" s="17"/>
      <c r="E75" s="6"/>
      <c r="F75" s="19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</row>
    <row r="76" spans="1:25" s="20" customFormat="1" ht="15.75">
      <c r="A76" s="6"/>
      <c r="B76" s="6"/>
      <c r="C76" s="16"/>
      <c r="D76" s="17"/>
      <c r="E76" s="6"/>
      <c r="F76" s="19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</row>
    <row r="77" spans="1:25" s="20" customFormat="1" ht="15.75">
      <c r="A77" s="6"/>
      <c r="B77" s="6"/>
      <c r="C77" s="16"/>
      <c r="D77" s="17"/>
      <c r="E77" s="6"/>
      <c r="F77" s="19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</row>
    <row r="78" spans="1:25" s="20" customFormat="1" ht="15.75">
      <c r="A78" s="6"/>
      <c r="B78" s="6"/>
      <c r="C78" s="16"/>
      <c r="D78" s="17"/>
      <c r="E78" s="6"/>
      <c r="F78" s="19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</row>
    <row r="79" spans="1:25" s="20" customFormat="1" ht="15.75">
      <c r="A79" s="6"/>
      <c r="B79" s="6"/>
      <c r="C79" s="16"/>
      <c r="D79" s="17"/>
      <c r="E79" s="6"/>
      <c r="F79" s="19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</row>
    <row r="80" spans="1:25" s="20" customFormat="1" ht="89.25" customHeight="1">
      <c r="A80" s="6"/>
      <c r="B80" s="6"/>
      <c r="C80" s="16"/>
      <c r="D80" s="17"/>
      <c r="E80" s="6"/>
      <c r="F80" s="19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</row>
    <row r="81" spans="1:25" s="20" customFormat="1" ht="89.25" customHeight="1">
      <c r="A81" s="6"/>
      <c r="B81" s="6"/>
      <c r="C81" s="16"/>
      <c r="D81" s="17"/>
      <c r="E81" s="6"/>
      <c r="F81" s="19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</row>
    <row r="82" spans="1:25" s="20" customFormat="1" ht="89.25" customHeight="1">
      <c r="A82" s="6"/>
      <c r="B82" s="6"/>
      <c r="C82" s="16"/>
      <c r="D82" s="17"/>
      <c r="E82" s="6"/>
      <c r="F82" s="19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</row>
    <row r="83" spans="1:25" s="20" customFormat="1" ht="89.25" customHeight="1">
      <c r="A83" s="6"/>
      <c r="B83" s="6"/>
      <c r="C83" s="16"/>
      <c r="D83" s="17"/>
      <c r="E83" s="6"/>
      <c r="F83" s="19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</row>
    <row r="84" spans="1:25" s="20" customFormat="1" ht="89.25" customHeight="1">
      <c r="A84" s="6"/>
      <c r="B84" s="6"/>
      <c r="C84" s="16"/>
      <c r="D84" s="17"/>
      <c r="E84" s="6"/>
      <c r="F84" s="19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</row>
    <row r="85" spans="1:25" s="20" customFormat="1" ht="89.25" customHeight="1">
      <c r="A85" s="6"/>
      <c r="B85" s="6"/>
      <c r="C85" s="16"/>
      <c r="D85" s="17"/>
      <c r="E85" s="6"/>
      <c r="F85" s="19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</row>
    <row r="86" spans="1:25" s="20" customFormat="1" ht="89.25" customHeight="1">
      <c r="A86" s="6"/>
      <c r="B86" s="6"/>
      <c r="C86" s="16"/>
      <c r="D86" s="17"/>
      <c r="E86" s="6"/>
      <c r="F86" s="19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</row>
    <row r="87" spans="1:25" s="20" customFormat="1" ht="89.25" customHeight="1">
      <c r="A87" s="6"/>
      <c r="B87" s="6"/>
      <c r="C87" s="16"/>
      <c r="D87" s="17"/>
      <c r="E87" s="6"/>
      <c r="F87" s="19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</row>
    <row r="88" spans="1:25" s="20" customFormat="1" ht="89.25" customHeight="1">
      <c r="A88" s="6"/>
      <c r="B88" s="6"/>
      <c r="C88" s="16"/>
      <c r="D88" s="17"/>
      <c r="E88" s="6"/>
      <c r="F88" s="19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</row>
    <row r="89" spans="1:25" s="20" customFormat="1" ht="89.25" customHeight="1">
      <c r="A89" s="6"/>
      <c r="B89" s="6"/>
      <c r="C89" s="16"/>
      <c r="D89" s="17"/>
      <c r="E89" s="6"/>
      <c r="F89" s="19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</row>
    <row r="90" spans="1:25" s="20" customFormat="1" ht="89.25" customHeight="1">
      <c r="A90" s="6"/>
      <c r="B90" s="6"/>
      <c r="C90" s="16"/>
      <c r="D90" s="17"/>
      <c r="E90" s="6"/>
      <c r="F90" s="19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</row>
    <row r="91" spans="1:25" s="20" customFormat="1" ht="89.25" customHeight="1">
      <c r="A91" s="6"/>
      <c r="B91" s="6"/>
      <c r="C91" s="16"/>
      <c r="D91" s="17"/>
      <c r="E91" s="6"/>
      <c r="F91" s="19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</row>
    <row r="92" spans="1:25" s="20" customFormat="1" ht="89.25" customHeight="1">
      <c r="A92" s="6"/>
      <c r="B92" s="6"/>
      <c r="C92" s="16"/>
      <c r="D92" s="17"/>
      <c r="E92" s="6"/>
      <c r="F92" s="19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</row>
    <row r="93" spans="1:25" s="20" customFormat="1" ht="89.25" customHeight="1">
      <c r="A93" s="6"/>
      <c r="B93" s="6"/>
      <c r="C93" s="16"/>
      <c r="D93" s="17"/>
      <c r="E93" s="6"/>
      <c r="F93" s="19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</row>
    <row r="94" spans="1:25" s="20" customFormat="1" ht="89.25" customHeight="1">
      <c r="A94" s="6"/>
      <c r="B94" s="6"/>
      <c r="C94" s="16"/>
      <c r="D94" s="17"/>
      <c r="E94" s="6"/>
      <c r="F94" s="19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</row>
    <row r="95" spans="1:25" s="20" customFormat="1" ht="89.25" customHeight="1">
      <c r="A95" s="6"/>
      <c r="B95" s="6"/>
      <c r="C95" s="16"/>
      <c r="D95" s="17"/>
      <c r="E95" s="6"/>
      <c r="F95" s="19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</row>
    <row r="96" spans="1:25" s="20" customFormat="1" ht="89.25" customHeight="1">
      <c r="A96" s="6"/>
      <c r="B96" s="6"/>
      <c r="C96" s="16"/>
      <c r="D96" s="17"/>
      <c r="E96" s="6"/>
      <c r="F96" s="19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</row>
    <row r="97" spans="1:25" s="20" customFormat="1" ht="89.25" customHeight="1">
      <c r="A97" s="6"/>
      <c r="B97" s="6"/>
      <c r="C97" s="16"/>
      <c r="D97" s="17"/>
      <c r="E97" s="6"/>
      <c r="F97" s="19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</row>
    <row r="98" spans="1:25" s="20" customFormat="1" ht="89.25" customHeight="1">
      <c r="A98" s="6"/>
      <c r="B98" s="6"/>
      <c r="C98" s="16"/>
      <c r="D98" s="17"/>
      <c r="E98" s="6"/>
      <c r="F98" s="19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</row>
    <row r="99" spans="1:25" s="20" customFormat="1" ht="89.25" customHeight="1">
      <c r="A99" s="6"/>
      <c r="B99" s="6"/>
      <c r="C99" s="16"/>
      <c r="D99" s="17"/>
      <c r="E99" s="6"/>
      <c r="F99" s="19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</row>
    <row r="100" spans="1:25" s="20" customFormat="1" ht="89.25" customHeight="1">
      <c r="A100" s="6"/>
      <c r="B100" s="6"/>
      <c r="C100" s="16"/>
      <c r="D100" s="17"/>
      <c r="E100" s="6"/>
      <c r="F100" s="19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</row>
    <row r="101" spans="1:25" s="20" customFormat="1" ht="89.25" customHeight="1">
      <c r="A101" s="6"/>
      <c r="B101" s="6"/>
      <c r="C101" s="16"/>
      <c r="D101" s="17"/>
      <c r="E101" s="6"/>
      <c r="F101" s="19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</row>
    <row r="102" spans="1:25" s="20" customFormat="1" ht="89.25" customHeight="1">
      <c r="A102" s="6"/>
      <c r="B102" s="6"/>
      <c r="C102" s="16"/>
      <c r="D102" s="17"/>
      <c r="E102" s="6"/>
      <c r="F102" s="19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</row>
    <row r="103" spans="1:25" s="20" customFormat="1" ht="89.25" customHeight="1">
      <c r="A103" s="6"/>
      <c r="B103" s="6"/>
      <c r="C103" s="16"/>
      <c r="D103" s="17"/>
      <c r="E103" s="6"/>
      <c r="F103" s="19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</row>
    <row r="104" spans="1:25" s="20" customFormat="1" ht="89.25" customHeight="1">
      <c r="A104" s="6"/>
      <c r="B104" s="6"/>
      <c r="C104" s="16"/>
      <c r="D104" s="17"/>
      <c r="E104" s="6"/>
      <c r="F104" s="19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</row>
    <row r="105" spans="1:25" s="20" customFormat="1" ht="89.25" customHeight="1">
      <c r="A105" s="6"/>
      <c r="B105" s="6"/>
      <c r="C105" s="16"/>
      <c r="D105" s="17"/>
      <c r="E105" s="6"/>
      <c r="F105" s="19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</row>
    <row r="106" spans="1:25" s="20" customFormat="1" ht="89.25" customHeight="1">
      <c r="A106" s="6"/>
      <c r="B106" s="6"/>
      <c r="C106" s="16"/>
      <c r="D106" s="17"/>
      <c r="E106" s="6"/>
      <c r="F106" s="19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</row>
    <row r="107" spans="1:25" s="20" customFormat="1" ht="89.25" customHeight="1">
      <c r="A107" s="6"/>
      <c r="B107" s="6"/>
      <c r="C107" s="16"/>
      <c r="D107" s="17"/>
      <c r="E107" s="6"/>
      <c r="F107" s="19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</row>
    <row r="108" spans="1:25" s="20" customFormat="1" ht="89.25" customHeight="1">
      <c r="A108" s="6"/>
      <c r="B108" s="6"/>
      <c r="C108" s="16"/>
      <c r="D108" s="17"/>
      <c r="E108" s="6"/>
      <c r="F108" s="19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</row>
    <row r="109" spans="1:25" s="20" customFormat="1" ht="89.25" customHeight="1">
      <c r="A109" s="6"/>
      <c r="B109" s="6"/>
      <c r="C109" s="16"/>
      <c r="D109" s="17"/>
      <c r="E109" s="6"/>
      <c r="F109" s="19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</row>
    <row r="110" spans="1:25" s="20" customFormat="1" ht="89.25" customHeight="1">
      <c r="A110" s="6"/>
      <c r="B110" s="6"/>
      <c r="C110" s="16"/>
      <c r="D110" s="17"/>
      <c r="E110" s="6"/>
      <c r="F110" s="19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</row>
    <row r="111" spans="1:25" s="20" customFormat="1" ht="89.25" customHeight="1">
      <c r="A111" s="6"/>
      <c r="B111" s="6"/>
      <c r="C111" s="16"/>
      <c r="D111" s="17"/>
      <c r="E111" s="6"/>
      <c r="F111" s="19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</row>
    <row r="112" spans="1:25" s="20" customFormat="1" ht="89.25" customHeight="1">
      <c r="A112" s="6"/>
      <c r="B112" s="6"/>
      <c r="C112" s="16"/>
      <c r="D112" s="17"/>
      <c r="E112" s="6"/>
      <c r="F112" s="19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</row>
    <row r="113" spans="1:25" s="20" customFormat="1" ht="89.25" customHeight="1">
      <c r="A113" s="6"/>
      <c r="B113" s="6"/>
      <c r="C113" s="16"/>
      <c r="D113" s="17"/>
      <c r="E113" s="6"/>
      <c r="F113" s="19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</row>
    <row r="114" spans="1:25" s="20" customFormat="1" ht="89.25" customHeight="1">
      <c r="A114" s="6"/>
      <c r="B114" s="6"/>
      <c r="C114" s="16"/>
      <c r="D114" s="17"/>
      <c r="E114" s="6"/>
      <c r="F114" s="19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</row>
    <row r="115" spans="1:25" s="20" customFormat="1" ht="89.25" customHeight="1">
      <c r="A115" s="6"/>
      <c r="B115" s="6"/>
      <c r="C115" s="16"/>
      <c r="D115" s="17"/>
      <c r="E115" s="6"/>
      <c r="F115" s="19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</row>
    <row r="116" spans="1:25" s="20" customFormat="1" ht="89.25" customHeight="1">
      <c r="A116" s="6"/>
      <c r="B116" s="6"/>
      <c r="C116" s="16"/>
      <c r="D116" s="17"/>
      <c r="E116" s="6"/>
      <c r="F116" s="19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</row>
    <row r="117" spans="1:25" s="20" customFormat="1" ht="89.25" customHeight="1">
      <c r="A117" s="6"/>
      <c r="B117" s="6"/>
      <c r="C117" s="16"/>
      <c r="D117" s="17"/>
      <c r="E117" s="6"/>
      <c r="F117" s="19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</row>
    <row r="118" spans="1:25" s="20" customFormat="1" ht="89.25" customHeight="1">
      <c r="A118" s="6"/>
      <c r="B118" s="6"/>
      <c r="C118" s="16"/>
      <c r="D118" s="17"/>
      <c r="E118" s="6"/>
      <c r="F118" s="19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</row>
    <row r="119" spans="1:25" s="20" customFormat="1" ht="89.25" customHeight="1">
      <c r="A119" s="6"/>
      <c r="B119" s="6"/>
      <c r="C119" s="16"/>
      <c r="D119" s="17"/>
      <c r="E119" s="6"/>
      <c r="F119" s="19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</row>
    <row r="120" spans="1:25" s="20" customFormat="1" ht="89.25" customHeight="1">
      <c r="A120" s="6"/>
      <c r="B120" s="6"/>
      <c r="C120" s="16"/>
      <c r="D120" s="17"/>
      <c r="E120" s="6"/>
      <c r="F120" s="19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</row>
    <row r="121" spans="1:25" s="20" customFormat="1" ht="89.25" customHeight="1">
      <c r="A121" s="6"/>
      <c r="B121" s="6"/>
      <c r="C121" s="16"/>
      <c r="D121" s="17"/>
      <c r="E121" s="6"/>
      <c r="F121" s="19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</row>
    <row r="122" spans="1:25" s="20" customFormat="1" ht="89.25" customHeight="1">
      <c r="A122" s="6"/>
      <c r="B122" s="6"/>
      <c r="C122" s="16"/>
      <c r="D122" s="17"/>
      <c r="E122" s="6"/>
      <c r="F122" s="19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</row>
    <row r="123" spans="1:25" s="20" customFormat="1" ht="89.25" customHeight="1">
      <c r="A123" s="6"/>
      <c r="B123" s="6"/>
      <c r="C123" s="16"/>
      <c r="D123" s="17"/>
      <c r="E123" s="6"/>
      <c r="F123" s="19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</row>
    <row r="124" spans="1:25" s="20" customFormat="1" ht="89.25" customHeight="1">
      <c r="A124" s="6"/>
      <c r="B124" s="6"/>
      <c r="C124" s="16"/>
      <c r="D124" s="17"/>
      <c r="E124" s="6"/>
      <c r="F124" s="19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</row>
    <row r="125" spans="1:25" s="20" customFormat="1" ht="89.25" customHeight="1">
      <c r="A125" s="6"/>
      <c r="B125" s="6"/>
      <c r="C125" s="16"/>
      <c r="D125" s="17"/>
      <c r="E125" s="6"/>
      <c r="F125" s="19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</row>
    <row r="126" spans="1:25" s="20" customFormat="1" ht="89.25" customHeight="1">
      <c r="A126" s="6"/>
      <c r="B126" s="6"/>
      <c r="C126" s="16"/>
      <c r="D126" s="17"/>
      <c r="E126" s="6"/>
      <c r="F126" s="19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</row>
    <row r="127" spans="1:25" s="20" customFormat="1" ht="89.25" customHeight="1">
      <c r="A127" s="6"/>
      <c r="B127" s="6"/>
      <c r="C127" s="16"/>
      <c r="D127" s="17"/>
      <c r="E127" s="6"/>
      <c r="F127" s="19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</row>
    <row r="128" spans="1:25" s="20" customFormat="1" ht="89.25" customHeight="1">
      <c r="A128" s="6"/>
      <c r="B128" s="6"/>
      <c r="C128" s="16"/>
      <c r="D128" s="17"/>
      <c r="E128" s="6"/>
      <c r="F128" s="19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</row>
    <row r="129" spans="1:25" s="20" customFormat="1" ht="89.25" customHeight="1">
      <c r="A129" s="6"/>
      <c r="B129" s="6"/>
      <c r="C129" s="16"/>
      <c r="D129" s="17"/>
      <c r="E129" s="6"/>
      <c r="F129" s="19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</row>
    <row r="130" spans="1:25" s="20" customFormat="1" ht="89.25" customHeight="1">
      <c r="A130" s="6"/>
      <c r="B130" s="6"/>
      <c r="C130" s="16"/>
      <c r="D130" s="17"/>
      <c r="E130" s="6"/>
      <c r="F130" s="19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</row>
    <row r="131" spans="1:25" s="20" customFormat="1" ht="89.25" customHeight="1">
      <c r="A131" s="6"/>
      <c r="B131" s="6"/>
      <c r="C131" s="16"/>
      <c r="D131" s="17"/>
      <c r="E131" s="6"/>
      <c r="F131" s="19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</row>
    <row r="132" spans="1:25" s="20" customFormat="1" ht="89.25" customHeight="1">
      <c r="A132" s="6"/>
      <c r="B132" s="6"/>
      <c r="C132" s="16"/>
      <c r="D132" s="17"/>
      <c r="E132" s="6"/>
      <c r="F132" s="19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</row>
    <row r="133" spans="1:25" s="20" customFormat="1" ht="89.25" customHeight="1">
      <c r="A133" s="6"/>
      <c r="B133" s="6"/>
      <c r="C133" s="16"/>
      <c r="D133" s="17"/>
      <c r="E133" s="6"/>
      <c r="F133" s="19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</row>
    <row r="134" spans="1:25" s="20" customFormat="1" ht="89.25" customHeight="1">
      <c r="A134" s="6"/>
      <c r="B134" s="6"/>
      <c r="C134" s="16"/>
      <c r="D134" s="17"/>
      <c r="E134" s="6"/>
      <c r="F134" s="19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</row>
    <row r="135" spans="1:25" s="20" customFormat="1" ht="89.25" customHeight="1">
      <c r="A135" s="6"/>
      <c r="B135" s="6"/>
      <c r="C135" s="16"/>
      <c r="D135" s="17"/>
      <c r="E135" s="6"/>
      <c r="F135" s="19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</row>
    <row r="136" spans="1:25" s="20" customFormat="1" ht="89.25" customHeight="1">
      <c r="A136" s="6"/>
      <c r="B136" s="6"/>
      <c r="C136" s="16"/>
      <c r="D136" s="17"/>
      <c r="E136" s="6"/>
      <c r="F136" s="19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</row>
    <row r="137" spans="1:25" s="20" customFormat="1" ht="89.25" customHeight="1">
      <c r="A137" s="6"/>
      <c r="B137" s="6"/>
      <c r="C137" s="16"/>
      <c r="D137" s="17"/>
      <c r="E137" s="6"/>
      <c r="F137" s="19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</row>
    <row r="138" spans="1:25" s="20" customFormat="1" ht="89.25" customHeight="1">
      <c r="A138" s="6"/>
      <c r="B138" s="6"/>
      <c r="C138" s="16"/>
      <c r="D138" s="17"/>
      <c r="E138" s="6"/>
      <c r="F138" s="19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</row>
    <row r="139" spans="1:25" s="20" customFormat="1" ht="89.25" customHeight="1">
      <c r="A139" s="6"/>
      <c r="B139" s="6"/>
      <c r="C139" s="16"/>
      <c r="D139" s="17"/>
      <c r="E139" s="6"/>
      <c r="F139" s="19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</row>
    <row r="140" spans="1:25" s="20" customFormat="1" ht="89.25" customHeight="1">
      <c r="A140" s="6"/>
      <c r="B140" s="6"/>
      <c r="C140" s="16"/>
      <c r="D140" s="17"/>
      <c r="E140" s="6"/>
      <c r="F140" s="19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</row>
    <row r="141" spans="1:25" s="20" customFormat="1" ht="89.25" customHeight="1">
      <c r="A141" s="6"/>
      <c r="B141" s="6"/>
      <c r="C141" s="16"/>
      <c r="D141" s="17"/>
      <c r="E141" s="6"/>
      <c r="F141" s="19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</row>
    <row r="142" spans="1:25" s="20" customFormat="1" ht="89.25" customHeight="1">
      <c r="A142" s="6"/>
      <c r="B142" s="6"/>
      <c r="C142" s="16"/>
      <c r="D142" s="17"/>
      <c r="E142" s="6"/>
      <c r="F142" s="19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</row>
    <row r="143" spans="1:25" s="20" customFormat="1" ht="89.25" customHeight="1">
      <c r="A143" s="6"/>
      <c r="B143" s="6"/>
      <c r="C143" s="16"/>
      <c r="D143" s="17"/>
      <c r="E143" s="6"/>
      <c r="F143" s="19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</row>
    <row r="144" spans="1:25" s="20" customFormat="1" ht="89.25" customHeight="1">
      <c r="A144" s="6"/>
      <c r="B144" s="6"/>
      <c r="C144" s="16"/>
      <c r="D144" s="17"/>
      <c r="E144" s="6"/>
      <c r="F144" s="19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</row>
    <row r="145" spans="1:25" s="20" customFormat="1" ht="89.25" customHeight="1">
      <c r="A145" s="6"/>
      <c r="B145" s="6"/>
      <c r="C145" s="16"/>
      <c r="D145" s="17"/>
      <c r="E145" s="6"/>
      <c r="F145" s="19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</row>
    <row r="146" spans="1:25" s="20" customFormat="1" ht="89.25" customHeight="1">
      <c r="A146" s="6"/>
      <c r="B146" s="6"/>
      <c r="C146" s="16"/>
      <c r="D146" s="17"/>
      <c r="E146" s="6"/>
      <c r="F146" s="19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</row>
    <row r="147" spans="1:25" s="20" customFormat="1" ht="89.25" customHeight="1">
      <c r="A147" s="6"/>
      <c r="B147" s="6"/>
      <c r="C147" s="16"/>
      <c r="D147" s="17"/>
      <c r="E147" s="6"/>
      <c r="F147" s="19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</row>
    <row r="148" spans="1:25" s="20" customFormat="1" ht="89.25" customHeight="1">
      <c r="A148" s="6"/>
      <c r="B148" s="6"/>
      <c r="C148" s="16"/>
      <c r="D148" s="17"/>
      <c r="E148" s="6"/>
      <c r="F148" s="19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</row>
    <row r="149" spans="1:25" s="20" customFormat="1" ht="89.25" customHeight="1">
      <c r="A149" s="6"/>
      <c r="B149" s="6"/>
      <c r="C149" s="16"/>
      <c r="D149" s="17"/>
      <c r="E149" s="6"/>
      <c r="F149" s="19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</row>
    <row r="150" spans="1:25" s="20" customFormat="1" ht="89.25" customHeight="1">
      <c r="A150" s="6"/>
      <c r="B150" s="6"/>
      <c r="C150" s="16"/>
      <c r="D150" s="17"/>
      <c r="E150" s="6"/>
      <c r="F150" s="19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</row>
    <row r="151" spans="1:25" s="20" customFormat="1" ht="89.25" customHeight="1">
      <c r="A151" s="6"/>
      <c r="B151" s="6"/>
      <c r="C151" s="16"/>
      <c r="D151" s="17"/>
      <c r="E151" s="6"/>
      <c r="F151" s="19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</row>
    <row r="152" spans="1:25" s="20" customFormat="1" ht="89.25" customHeight="1">
      <c r="A152" s="6"/>
      <c r="B152" s="6"/>
      <c r="C152" s="16"/>
      <c r="D152" s="17"/>
      <c r="E152" s="6"/>
      <c r="F152" s="19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</row>
    <row r="153" spans="1:25" s="20" customFormat="1" ht="89.25" customHeight="1">
      <c r="A153" s="6"/>
      <c r="B153" s="6"/>
      <c r="C153" s="16"/>
      <c r="D153" s="17"/>
      <c r="E153" s="6"/>
      <c r="F153" s="19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</row>
    <row r="154" spans="1:25" s="20" customFormat="1" ht="89.25" customHeight="1">
      <c r="A154" s="6"/>
      <c r="B154" s="6"/>
      <c r="C154" s="16"/>
      <c r="D154" s="17"/>
      <c r="E154" s="6"/>
      <c r="F154" s="19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</row>
    <row r="155" spans="1:25" s="20" customFormat="1" ht="89.25" customHeight="1">
      <c r="A155" s="6"/>
      <c r="B155" s="6"/>
      <c r="C155" s="16"/>
      <c r="D155" s="17"/>
      <c r="E155" s="6"/>
      <c r="F155" s="19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</row>
    <row r="156" spans="1:25" s="20" customFormat="1" ht="89.25" customHeight="1">
      <c r="A156" s="6"/>
      <c r="B156" s="6"/>
      <c r="C156" s="16"/>
      <c r="D156" s="17"/>
      <c r="E156" s="6"/>
      <c r="F156" s="19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</row>
    <row r="157" spans="1:25" s="20" customFormat="1" ht="89.25" customHeight="1">
      <c r="A157" s="6"/>
      <c r="B157" s="6"/>
      <c r="C157" s="16"/>
      <c r="D157" s="17"/>
      <c r="E157" s="6"/>
      <c r="F157" s="19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</row>
    <row r="158" spans="1:25" s="20" customFormat="1" ht="89.25" customHeight="1">
      <c r="A158" s="6"/>
      <c r="B158" s="6"/>
      <c r="C158" s="16"/>
      <c r="D158" s="17"/>
      <c r="E158" s="6"/>
      <c r="F158" s="19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</row>
    <row r="159" spans="1:25" s="20" customFormat="1" ht="89.25" customHeight="1">
      <c r="A159" s="6"/>
      <c r="B159" s="6"/>
      <c r="C159" s="16"/>
      <c r="D159" s="17"/>
      <c r="E159" s="6"/>
      <c r="F159" s="19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</row>
    <row r="160" spans="1:25" s="20" customFormat="1" ht="89.25" customHeight="1">
      <c r="A160" s="6"/>
      <c r="B160" s="6"/>
      <c r="C160" s="16"/>
      <c r="D160" s="17"/>
      <c r="E160" s="6"/>
      <c r="F160" s="19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</row>
    <row r="161" spans="1:25" s="20" customFormat="1" ht="89.25" customHeight="1">
      <c r="A161" s="6"/>
      <c r="B161" s="6"/>
      <c r="C161" s="16"/>
      <c r="D161" s="17"/>
      <c r="E161" s="6"/>
      <c r="F161" s="19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</row>
    <row r="162" spans="1:25" s="20" customFormat="1" ht="89.25" customHeight="1">
      <c r="A162" s="6"/>
      <c r="B162" s="6"/>
      <c r="C162" s="16"/>
      <c r="D162" s="17"/>
      <c r="E162" s="6"/>
      <c r="F162" s="19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</row>
    <row r="163" spans="1:25" s="20" customFormat="1" ht="89.25" customHeight="1">
      <c r="A163" s="6"/>
      <c r="B163" s="6"/>
      <c r="C163" s="16"/>
      <c r="D163" s="17"/>
      <c r="E163" s="6"/>
      <c r="F163" s="19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</row>
    <row r="164" spans="1:25" s="20" customFormat="1" ht="89.25" customHeight="1">
      <c r="A164" s="6"/>
      <c r="B164" s="6"/>
      <c r="C164" s="16"/>
      <c r="D164" s="17"/>
      <c r="E164" s="6"/>
      <c r="F164" s="19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</row>
    <row r="165" spans="1:25" s="20" customFormat="1" ht="89.25" customHeight="1">
      <c r="A165" s="6"/>
      <c r="B165" s="6"/>
      <c r="C165" s="16"/>
      <c r="D165" s="17"/>
      <c r="E165" s="6"/>
      <c r="F165" s="19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</row>
    <row r="166" spans="1:25" s="20" customFormat="1" ht="89.25" customHeight="1">
      <c r="A166" s="6"/>
      <c r="B166" s="6"/>
      <c r="C166" s="16"/>
      <c r="D166" s="17"/>
      <c r="E166" s="6"/>
      <c r="F166" s="19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</row>
    <row r="167" spans="1:25" s="20" customFormat="1" ht="89.25" customHeight="1">
      <c r="A167" s="6"/>
      <c r="B167" s="6"/>
      <c r="C167" s="16"/>
      <c r="D167" s="17"/>
      <c r="E167" s="6"/>
      <c r="F167" s="19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</row>
    <row r="168" spans="1:25" s="20" customFormat="1" ht="89.25" customHeight="1">
      <c r="A168" s="6"/>
      <c r="B168" s="6"/>
      <c r="C168" s="16"/>
      <c r="D168" s="17"/>
      <c r="E168" s="6"/>
      <c r="F168" s="19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</row>
    <row r="169" spans="1:25" s="20" customFormat="1" ht="89.25" customHeight="1">
      <c r="A169" s="6"/>
      <c r="B169" s="6"/>
      <c r="C169" s="16"/>
      <c r="D169" s="17"/>
      <c r="E169" s="6"/>
      <c r="F169" s="19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</row>
    <row r="170" spans="1:25" s="20" customFormat="1" ht="89.25" customHeight="1">
      <c r="A170" s="6"/>
      <c r="B170" s="6"/>
      <c r="C170" s="16"/>
      <c r="D170" s="17"/>
      <c r="E170" s="6"/>
      <c r="F170" s="19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</row>
    <row r="171" spans="1:25" s="20" customFormat="1" ht="89.25" customHeight="1">
      <c r="A171" s="6"/>
      <c r="B171" s="6"/>
      <c r="C171" s="16"/>
      <c r="D171" s="17"/>
      <c r="E171" s="6"/>
      <c r="F171" s="19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</row>
    <row r="172" spans="1:25" s="20" customFormat="1" ht="89.25" customHeight="1">
      <c r="A172" s="6"/>
      <c r="B172" s="6"/>
      <c r="C172" s="16"/>
      <c r="D172" s="17"/>
      <c r="E172" s="6"/>
      <c r="F172" s="19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</row>
    <row r="173" spans="1:25" s="20" customFormat="1" ht="89.25" customHeight="1">
      <c r="A173" s="6"/>
      <c r="B173" s="6"/>
      <c r="C173" s="16"/>
      <c r="D173" s="17"/>
      <c r="E173" s="6"/>
      <c r="F173" s="19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</row>
    <row r="174" spans="1:25" s="20" customFormat="1" ht="89.25" customHeight="1">
      <c r="A174" s="6"/>
      <c r="B174" s="6"/>
      <c r="C174" s="16"/>
      <c r="D174" s="17"/>
      <c r="E174" s="6"/>
      <c r="F174" s="19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</row>
    <row r="175" spans="1:25" s="20" customFormat="1" ht="89.25" customHeight="1">
      <c r="A175" s="6"/>
      <c r="B175" s="6"/>
      <c r="C175" s="16"/>
      <c r="D175" s="17"/>
      <c r="E175" s="6"/>
      <c r="F175" s="19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</row>
    <row r="176" spans="1:25" s="20" customFormat="1" ht="89.25" customHeight="1">
      <c r="A176" s="6"/>
      <c r="B176" s="6"/>
      <c r="C176" s="16"/>
      <c r="D176" s="17"/>
      <c r="E176" s="6"/>
      <c r="F176" s="19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</row>
    <row r="177" spans="1:25" s="20" customFormat="1" ht="89.25" customHeight="1">
      <c r="A177" s="6"/>
      <c r="B177" s="6"/>
      <c r="C177" s="16"/>
      <c r="D177" s="17"/>
      <c r="E177" s="6"/>
      <c r="F177" s="19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</row>
    <row r="178" spans="1:25" s="20" customFormat="1" ht="89.25" customHeight="1">
      <c r="A178" s="6"/>
      <c r="B178" s="6"/>
      <c r="C178" s="16"/>
      <c r="D178" s="17"/>
      <c r="E178" s="6"/>
      <c r="F178" s="19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</row>
    <row r="179" spans="1:25" s="20" customFormat="1" ht="89.25" customHeight="1">
      <c r="A179" s="6"/>
      <c r="B179" s="6"/>
      <c r="C179" s="16"/>
      <c r="D179" s="17"/>
      <c r="E179" s="6"/>
      <c r="F179" s="19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</row>
    <row r="180" spans="1:25" s="20" customFormat="1" ht="89.25" customHeight="1">
      <c r="A180" s="6"/>
      <c r="B180" s="6"/>
      <c r="C180" s="16"/>
      <c r="D180" s="17"/>
      <c r="E180" s="6"/>
      <c r="F180" s="19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</row>
    <row r="181" spans="1:25" s="20" customFormat="1" ht="89.25" customHeight="1">
      <c r="A181" s="6"/>
      <c r="B181" s="6"/>
      <c r="C181" s="16"/>
      <c r="D181" s="17"/>
      <c r="E181" s="6"/>
      <c r="F181" s="19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</row>
    <row r="182" spans="1:25" s="20" customFormat="1" ht="89.25" customHeight="1">
      <c r="A182" s="6"/>
      <c r="B182" s="6"/>
      <c r="C182" s="16"/>
      <c r="D182" s="17"/>
      <c r="E182" s="6"/>
      <c r="F182" s="19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</row>
    <row r="183" spans="1:25" s="20" customFormat="1" ht="89.25" customHeight="1">
      <c r="A183" s="6"/>
      <c r="B183" s="6"/>
      <c r="C183" s="16"/>
      <c r="D183" s="17"/>
      <c r="E183" s="6"/>
      <c r="F183" s="19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</row>
    <row r="184" spans="1:25" s="20" customFormat="1" ht="89.25" customHeight="1">
      <c r="A184" s="6"/>
      <c r="B184" s="6"/>
      <c r="C184" s="16"/>
      <c r="D184" s="17"/>
      <c r="E184" s="6"/>
      <c r="F184" s="19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</row>
    <row r="185" spans="1:25" s="20" customFormat="1" ht="89.25" customHeight="1">
      <c r="A185" s="6"/>
      <c r="B185" s="6"/>
      <c r="C185" s="16"/>
      <c r="D185" s="17"/>
      <c r="E185" s="6"/>
      <c r="F185" s="19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</row>
    <row r="186" spans="1:25" s="20" customFormat="1" ht="89.25" customHeight="1">
      <c r="A186" s="6"/>
      <c r="B186" s="6"/>
      <c r="C186" s="16"/>
      <c r="D186" s="17"/>
      <c r="E186" s="6"/>
      <c r="F186" s="19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</row>
    <row r="187" spans="1:25" s="20" customFormat="1" ht="89.25" customHeight="1">
      <c r="A187" s="6"/>
      <c r="B187" s="6"/>
      <c r="C187" s="16"/>
      <c r="D187" s="17"/>
      <c r="E187" s="6"/>
      <c r="F187" s="19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</row>
    <row r="188" spans="1:25" s="20" customFormat="1" ht="89.25" customHeight="1">
      <c r="A188" s="6"/>
      <c r="B188" s="6"/>
      <c r="C188" s="16"/>
      <c r="D188" s="17"/>
      <c r="E188" s="6"/>
      <c r="F188" s="19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</row>
    <row r="189" spans="1:25" s="20" customFormat="1" ht="89.25" customHeight="1">
      <c r="A189" s="6"/>
      <c r="B189" s="6"/>
      <c r="C189" s="16"/>
      <c r="D189" s="17"/>
      <c r="E189" s="6"/>
      <c r="F189" s="19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</row>
    <row r="190" spans="1:25" s="20" customFormat="1" ht="89.25" customHeight="1">
      <c r="A190" s="6"/>
      <c r="B190" s="6"/>
      <c r="C190" s="16"/>
      <c r="D190" s="17"/>
      <c r="E190" s="6"/>
      <c r="F190" s="19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</row>
    <row r="191" spans="1:25" s="20" customFormat="1" ht="89.25" customHeight="1">
      <c r="A191" s="6"/>
      <c r="B191" s="6"/>
      <c r="C191" s="16"/>
      <c r="D191" s="17"/>
      <c r="E191" s="6"/>
      <c r="F191" s="19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</row>
    <row r="192" spans="1:25" s="20" customFormat="1" ht="89.25" customHeight="1">
      <c r="A192" s="6"/>
      <c r="B192" s="6"/>
      <c r="C192" s="16"/>
      <c r="D192" s="17"/>
      <c r="E192" s="6"/>
      <c r="F192" s="19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</row>
    <row r="193" spans="1:25" s="20" customFormat="1" ht="89.25" customHeight="1">
      <c r="A193" s="6"/>
      <c r="B193" s="6"/>
      <c r="C193" s="16"/>
      <c r="D193" s="17"/>
      <c r="E193" s="6"/>
      <c r="F193" s="19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</row>
    <row r="194" spans="1:25" s="20" customFormat="1" ht="89.25" customHeight="1">
      <c r="A194" s="6"/>
      <c r="B194" s="6"/>
      <c r="C194" s="16"/>
      <c r="D194" s="17"/>
      <c r="E194" s="6"/>
      <c r="F194" s="19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</row>
    <row r="195" spans="1:25" s="20" customFormat="1" ht="89.25" customHeight="1">
      <c r="A195" s="6"/>
      <c r="B195" s="6"/>
      <c r="C195" s="16"/>
      <c r="D195" s="17"/>
      <c r="E195" s="6"/>
      <c r="F195" s="19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</row>
    <row r="196" spans="1:25" s="20" customFormat="1" ht="89.25" customHeight="1">
      <c r="A196" s="6"/>
      <c r="B196" s="6"/>
      <c r="C196" s="16"/>
      <c r="D196" s="17"/>
      <c r="E196" s="6"/>
      <c r="F196" s="19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</row>
    <row r="197" spans="1:25" s="20" customFormat="1" ht="89.25" customHeight="1">
      <c r="A197" s="6"/>
      <c r="B197" s="6"/>
      <c r="C197" s="16"/>
      <c r="D197" s="17"/>
      <c r="E197" s="6"/>
      <c r="F197" s="19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</row>
    <row r="198" spans="1:25" s="20" customFormat="1" ht="89.25" customHeight="1">
      <c r="A198" s="6"/>
      <c r="B198" s="6"/>
      <c r="C198" s="16"/>
      <c r="D198" s="17"/>
      <c r="E198" s="6"/>
      <c r="F198" s="19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</row>
    <row r="199" spans="1:25" s="20" customFormat="1" ht="89.25" customHeight="1">
      <c r="A199" s="6"/>
      <c r="B199" s="6"/>
      <c r="C199" s="16"/>
      <c r="D199" s="17"/>
      <c r="E199" s="6"/>
      <c r="F199" s="19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</row>
    <row r="200" spans="1:25" s="20" customFormat="1" ht="89.25" customHeight="1">
      <c r="A200" s="6"/>
      <c r="B200" s="6"/>
      <c r="C200" s="16"/>
      <c r="D200" s="17"/>
      <c r="E200" s="6"/>
      <c r="F200" s="19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</row>
    <row r="201" spans="1:25" s="20" customFormat="1" ht="89.25" customHeight="1">
      <c r="A201" s="6"/>
      <c r="B201" s="6"/>
      <c r="C201" s="16"/>
      <c r="D201" s="17"/>
      <c r="E201" s="6"/>
      <c r="F201" s="19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</row>
    <row r="202" spans="1:25" s="20" customFormat="1" ht="89.25" customHeight="1">
      <c r="A202" s="6"/>
      <c r="B202" s="6"/>
      <c r="C202" s="16"/>
      <c r="D202" s="17"/>
      <c r="E202" s="6"/>
      <c r="F202" s="19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</row>
    <row r="203" spans="1:25" s="20" customFormat="1" ht="89.25" customHeight="1">
      <c r="A203" s="6"/>
      <c r="B203" s="6"/>
      <c r="C203" s="16"/>
      <c r="D203" s="17"/>
      <c r="E203" s="6"/>
      <c r="F203" s="19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</row>
    <row r="204" spans="1:25" s="20" customFormat="1" ht="89.25" customHeight="1">
      <c r="A204" s="6"/>
      <c r="B204" s="6"/>
      <c r="C204" s="16"/>
      <c r="D204" s="17"/>
      <c r="E204" s="6"/>
      <c r="F204" s="19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</row>
    <row r="205" spans="1:25" s="20" customFormat="1" ht="89.25" customHeight="1">
      <c r="A205" s="6"/>
      <c r="B205" s="6"/>
      <c r="C205" s="16"/>
      <c r="D205" s="17"/>
      <c r="E205" s="6"/>
      <c r="F205" s="19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</row>
    <row r="206" spans="1:25" s="20" customFormat="1" ht="89.25" customHeight="1">
      <c r="A206" s="6"/>
      <c r="B206" s="6"/>
      <c r="C206" s="16"/>
      <c r="D206" s="17"/>
      <c r="E206" s="6"/>
      <c r="F206" s="19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</row>
    <row r="207" spans="1:25" s="20" customFormat="1" ht="89.25" customHeight="1">
      <c r="A207" s="6"/>
      <c r="B207" s="6"/>
      <c r="C207" s="16"/>
      <c r="D207" s="17"/>
      <c r="E207" s="6"/>
      <c r="F207" s="19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</row>
    <row r="208" spans="1:25" s="20" customFormat="1" ht="89.25" customHeight="1">
      <c r="A208" s="6"/>
      <c r="B208" s="6"/>
      <c r="C208" s="16"/>
      <c r="D208" s="17"/>
      <c r="E208" s="6"/>
      <c r="F208" s="19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</row>
    <row r="209" spans="1:25" s="20" customFormat="1" ht="89.25" customHeight="1">
      <c r="A209" s="6"/>
      <c r="B209" s="6"/>
      <c r="C209" s="16"/>
      <c r="D209" s="17"/>
      <c r="E209" s="6"/>
      <c r="F209" s="19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</row>
    <row r="210" spans="1:25" s="20" customFormat="1" ht="89.25" customHeight="1">
      <c r="A210" s="6"/>
      <c r="B210" s="6"/>
      <c r="C210" s="16"/>
      <c r="D210" s="17"/>
      <c r="E210" s="6"/>
      <c r="F210" s="19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</row>
    <row r="211" spans="1:25" s="20" customFormat="1" ht="89.25" customHeight="1">
      <c r="A211" s="6"/>
      <c r="B211" s="6"/>
      <c r="C211" s="16"/>
      <c r="D211" s="17"/>
      <c r="E211" s="6"/>
      <c r="F211" s="19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</row>
    <row r="212" spans="1:25" s="20" customFormat="1" ht="89.25" customHeight="1">
      <c r="A212" s="6"/>
      <c r="B212" s="6"/>
      <c r="C212" s="16"/>
      <c r="D212" s="17"/>
      <c r="E212" s="6"/>
      <c r="F212" s="19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</row>
    <row r="213" spans="1:25" s="20" customFormat="1" ht="89.25" customHeight="1">
      <c r="A213" s="6"/>
      <c r="B213" s="6"/>
      <c r="C213" s="16"/>
      <c r="D213" s="17"/>
      <c r="E213" s="6"/>
      <c r="F213" s="19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</row>
    <row r="214" spans="1:25" s="20" customFormat="1" ht="89.25" customHeight="1">
      <c r="A214" s="6"/>
      <c r="B214" s="6"/>
      <c r="C214" s="16"/>
      <c r="D214" s="17"/>
      <c r="E214" s="6"/>
      <c r="F214" s="19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</row>
    <row r="215" spans="1:25" s="20" customFormat="1" ht="89.25" customHeight="1">
      <c r="A215" s="6"/>
      <c r="B215" s="6"/>
      <c r="C215" s="16"/>
      <c r="D215" s="17"/>
      <c r="E215" s="6"/>
      <c r="F215" s="19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</row>
    <row r="216" spans="1:25" s="20" customFormat="1" ht="89.25" customHeight="1">
      <c r="A216" s="6"/>
      <c r="B216" s="6"/>
      <c r="C216" s="16"/>
      <c r="D216" s="17"/>
      <c r="E216" s="6"/>
      <c r="F216" s="19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</row>
    <row r="217" spans="1:25" s="20" customFormat="1" ht="89.25" customHeight="1">
      <c r="A217" s="6"/>
      <c r="B217" s="6"/>
      <c r="C217" s="16"/>
      <c r="D217" s="17"/>
      <c r="E217" s="6"/>
      <c r="F217" s="19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</row>
    <row r="218" spans="1:25" s="20" customFormat="1" ht="89.25" customHeight="1">
      <c r="A218" s="6"/>
      <c r="B218" s="6"/>
      <c r="C218" s="16"/>
      <c r="D218" s="17"/>
      <c r="E218" s="6"/>
      <c r="F218" s="19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</row>
    <row r="219" spans="1:25" s="20" customFormat="1" ht="89.25" customHeight="1">
      <c r="A219" s="6"/>
      <c r="B219" s="6"/>
      <c r="C219" s="16"/>
      <c r="D219" s="17"/>
      <c r="E219" s="6"/>
      <c r="F219" s="19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</row>
    <row r="220" spans="1:25" s="20" customFormat="1" ht="89.25" customHeight="1">
      <c r="A220" s="6"/>
      <c r="B220" s="6"/>
      <c r="C220" s="16"/>
      <c r="D220" s="17"/>
      <c r="E220" s="6"/>
      <c r="F220" s="19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</row>
    <row r="221" spans="1:25" s="20" customFormat="1" ht="89.25" customHeight="1">
      <c r="A221" s="6"/>
      <c r="B221" s="6"/>
      <c r="C221" s="16"/>
      <c r="D221" s="17"/>
      <c r="E221" s="6"/>
      <c r="F221" s="19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</row>
    <row r="222" spans="1:25" s="20" customFormat="1" ht="89.25" customHeight="1">
      <c r="A222" s="6"/>
      <c r="B222" s="6"/>
      <c r="C222" s="16"/>
      <c r="D222" s="17"/>
      <c r="E222" s="6"/>
      <c r="F222" s="19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</row>
    <row r="223" spans="1:25" s="20" customFormat="1" ht="89.25" customHeight="1">
      <c r="A223" s="6"/>
      <c r="B223" s="6"/>
      <c r="C223" s="16"/>
      <c r="D223" s="17"/>
      <c r="E223" s="6"/>
      <c r="F223" s="19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</row>
    <row r="224" spans="1:25" s="20" customFormat="1" ht="89.25" customHeight="1">
      <c r="A224" s="6"/>
      <c r="B224" s="6"/>
      <c r="C224" s="16"/>
      <c r="D224" s="17"/>
      <c r="E224" s="6"/>
      <c r="F224" s="19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</row>
    <row r="225" spans="1:25" s="20" customFormat="1" ht="89.25" customHeight="1">
      <c r="A225" s="6"/>
      <c r="B225" s="6"/>
      <c r="C225" s="16"/>
      <c r="D225" s="17"/>
      <c r="E225" s="6"/>
      <c r="F225" s="19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</row>
    <row r="226" spans="1:25" s="20" customFormat="1" ht="89.25" customHeight="1">
      <c r="A226" s="6"/>
      <c r="B226" s="6"/>
      <c r="C226" s="16"/>
      <c r="D226" s="17"/>
      <c r="E226" s="6"/>
      <c r="F226" s="19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</row>
    <row r="227" spans="1:25" s="20" customFormat="1" ht="89.25" customHeight="1">
      <c r="A227" s="6"/>
      <c r="B227" s="6"/>
      <c r="C227" s="16"/>
      <c r="D227" s="17"/>
      <c r="E227" s="6"/>
      <c r="F227" s="19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</row>
    <row r="228" spans="1:25" s="20" customFormat="1" ht="89.25" customHeight="1">
      <c r="A228" s="6"/>
      <c r="B228" s="6"/>
      <c r="C228" s="16"/>
      <c r="D228" s="17"/>
      <c r="E228" s="6"/>
      <c r="F228" s="19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</row>
    <row r="229" spans="1:25" s="20" customFormat="1" ht="89.25" customHeight="1">
      <c r="A229" s="6"/>
      <c r="B229" s="6"/>
      <c r="C229" s="16"/>
      <c r="D229" s="17"/>
      <c r="E229" s="6"/>
      <c r="F229" s="19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</row>
    <row r="230" spans="1:25" s="20" customFormat="1" ht="89.25" customHeight="1">
      <c r="A230" s="6"/>
      <c r="B230" s="6"/>
      <c r="C230" s="16"/>
      <c r="D230" s="17"/>
      <c r="E230" s="6"/>
      <c r="F230" s="19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</row>
    <row r="231" spans="1:25" s="20" customFormat="1" ht="89.25" customHeight="1">
      <c r="A231" s="6"/>
      <c r="B231" s="6"/>
      <c r="C231" s="16"/>
      <c r="D231" s="17"/>
      <c r="E231" s="6"/>
      <c r="F231" s="19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</row>
    <row r="232" spans="1:25" s="20" customFormat="1" ht="89.25" customHeight="1">
      <c r="A232" s="6"/>
      <c r="B232" s="6"/>
      <c r="C232" s="16"/>
      <c r="D232" s="17"/>
      <c r="E232" s="6"/>
      <c r="F232" s="19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</row>
    <row r="233" spans="1:25" s="20" customFormat="1" ht="89.25" customHeight="1">
      <c r="A233" s="6"/>
      <c r="B233" s="6"/>
      <c r="C233" s="16"/>
      <c r="D233" s="17"/>
      <c r="E233" s="6"/>
      <c r="F233" s="19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</row>
    <row r="234" spans="1:25" s="20" customFormat="1" ht="89.25" customHeight="1">
      <c r="A234" s="6"/>
      <c r="B234" s="6"/>
      <c r="C234" s="16"/>
      <c r="D234" s="17"/>
      <c r="E234" s="6"/>
      <c r="F234" s="19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</row>
    <row r="235" spans="1:25" s="20" customFormat="1" ht="89.25" customHeight="1">
      <c r="A235" s="6"/>
      <c r="B235" s="6"/>
      <c r="C235" s="16"/>
      <c r="D235" s="17"/>
      <c r="E235" s="6"/>
      <c r="F235" s="19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</row>
    <row r="236" spans="1:25" s="20" customFormat="1" ht="89.25" customHeight="1">
      <c r="A236" s="6"/>
      <c r="B236" s="6"/>
      <c r="C236" s="16"/>
      <c r="D236" s="17"/>
      <c r="E236" s="6"/>
      <c r="F236" s="19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</row>
    <row r="237" spans="1:25" s="20" customFormat="1" ht="89.25" customHeight="1">
      <c r="A237" s="6"/>
      <c r="B237" s="6"/>
      <c r="C237" s="16"/>
      <c r="D237" s="17"/>
      <c r="E237" s="6"/>
      <c r="F237" s="19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</row>
  </sheetData>
  <mergeCells count="22">
    <mergeCell ref="D52:E52"/>
    <mergeCell ref="A49:B49"/>
    <mergeCell ref="A14:D14"/>
    <mergeCell ref="A18:D18"/>
    <mergeCell ref="A16:D16"/>
    <mergeCell ref="A17:D17"/>
    <mergeCell ref="A51:B51"/>
    <mergeCell ref="A50:B50"/>
    <mergeCell ref="D51:E51"/>
    <mergeCell ref="D50:E50"/>
    <mergeCell ref="A1:F3"/>
    <mergeCell ref="A5:F5"/>
    <mergeCell ref="A6:F6"/>
    <mergeCell ref="A7:E7"/>
    <mergeCell ref="A9:D9"/>
    <mergeCell ref="A4:F4"/>
    <mergeCell ref="A10:D10"/>
    <mergeCell ref="A13:D13"/>
    <mergeCell ref="A12:D12"/>
    <mergeCell ref="A11:D11"/>
    <mergeCell ref="D49:E49"/>
    <mergeCell ref="A15:D15"/>
  </mergeCells>
  <printOptions horizontalCentered="1" verticalCentered="1"/>
  <pageMargins left="0.59055118110236227" right="0.59055118110236227" top="0.59055118110236227" bottom="0.59055118110236227" header="0.31496062992125984" footer="0.31496062992125984"/>
  <pageSetup paperSize="9" scale="47" orientation="landscape" r:id="rId1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Hoja29">
    <tabColor rgb="FF00B0F0"/>
    <pageSetUpPr fitToPage="1"/>
  </sheetPr>
  <dimension ref="A1:AG239"/>
  <sheetViews>
    <sheetView showGridLines="0" topLeftCell="A25" zoomScale="80" zoomScaleNormal="80" workbookViewId="0">
      <selection activeCell="F43" sqref="F43"/>
    </sheetView>
  </sheetViews>
  <sheetFormatPr baseColWidth="10" defaultRowHeight="89.25" customHeight="1"/>
  <cols>
    <col min="1" max="2" width="25.28515625" style="6" customWidth="1"/>
    <col min="3" max="3" width="25.28515625" style="16" customWidth="1"/>
    <col min="4" max="4" width="25.28515625" style="17" customWidth="1"/>
    <col min="5" max="5" width="17.85546875" style="6" bestFit="1" customWidth="1"/>
    <col min="6" max="6" width="21.7109375" style="19" bestFit="1" customWidth="1"/>
    <col min="7" max="7" width="19.140625" style="5" bestFit="1" customWidth="1"/>
    <col min="8" max="8" width="18.140625" style="5" bestFit="1" customWidth="1"/>
    <col min="9" max="10" width="18.7109375" style="5" customWidth="1"/>
    <col min="11" max="25" width="11.42578125" style="5"/>
    <col min="26" max="16384" width="11.42578125" style="6"/>
  </cols>
  <sheetData>
    <row r="1" spans="1:25" s="4" customFormat="1" ht="33.75" customHeight="1">
      <c r="A1" s="1339" t="s">
        <v>762</v>
      </c>
      <c r="B1" s="1339"/>
      <c r="C1" s="1339"/>
      <c r="D1" s="1339"/>
      <c r="E1" s="1339"/>
      <c r="F1" s="1339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spans="1:25" s="4" customFormat="1" ht="33.75" customHeight="1">
      <c r="A2" s="1339"/>
      <c r="B2" s="1339"/>
      <c r="C2" s="1339"/>
      <c r="D2" s="1339"/>
      <c r="E2" s="1339"/>
      <c r="F2" s="1339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 s="4" customFormat="1" ht="15.75">
      <c r="A3" s="1339"/>
      <c r="B3" s="1339"/>
      <c r="C3" s="1339"/>
      <c r="D3" s="1339"/>
      <c r="E3" s="1339"/>
      <c r="F3" s="1339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</row>
    <row r="4" spans="1:25" s="4" customFormat="1" ht="15.75">
      <c r="A4" s="1345" t="str">
        <f>+'Anexo 17 Barrancabermeja'!A4:F4</f>
        <v>AL 31 DE JULIO DE 2023</v>
      </c>
      <c r="B4" s="1345"/>
      <c r="C4" s="1345"/>
      <c r="D4" s="1345"/>
      <c r="E4" s="1345"/>
      <c r="F4" s="1345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</row>
    <row r="5" spans="1:25" ht="30" customHeight="1">
      <c r="A5" s="1339" t="s">
        <v>205</v>
      </c>
      <c r="B5" s="1339"/>
      <c r="C5" s="1339"/>
      <c r="D5" s="1339"/>
      <c r="E5" s="1339"/>
      <c r="F5" s="1339"/>
    </row>
    <row r="6" spans="1:25" ht="30" customHeight="1" thickBot="1">
      <c r="A6" s="1339" t="s">
        <v>203</v>
      </c>
      <c r="B6" s="1339"/>
      <c r="C6" s="1339"/>
      <c r="D6" s="1339"/>
      <c r="E6" s="1339"/>
      <c r="F6" s="1339"/>
    </row>
    <row r="7" spans="1:25" ht="30" customHeight="1" thickBot="1">
      <c r="A7" s="1346" t="s">
        <v>1</v>
      </c>
      <c r="B7" s="1347"/>
      <c r="C7" s="1347"/>
      <c r="D7" s="1347"/>
      <c r="E7" s="1347"/>
      <c r="F7" s="7" t="s">
        <v>2</v>
      </c>
    </row>
    <row r="8" spans="1:25" ht="18.600000000000001" customHeight="1">
      <c r="A8" s="8"/>
      <c r="B8" s="9"/>
      <c r="C8" s="9"/>
      <c r="D8" s="9"/>
      <c r="E8" s="10"/>
      <c r="F8" s="11"/>
      <c r="I8" s="12"/>
      <c r="J8" s="12"/>
    </row>
    <row r="9" spans="1:25" ht="18.600000000000001" customHeight="1">
      <c r="A9" s="1342" t="str">
        <f>+'Anexo 17 Barrancabermeja'!A9:D9</f>
        <v>TOTAL RENDIMIENTOS GENERADOS POR LOS RECURSOS DEL FONDO DE JULIO DE 2023</v>
      </c>
      <c r="B9" s="1343"/>
      <c r="C9" s="1343"/>
      <c r="D9" s="1343"/>
      <c r="E9" s="259"/>
      <c r="F9" s="260">
        <f>+SUM(E10:E41)</f>
        <v>1733929.5099999998</v>
      </c>
      <c r="I9" s="13"/>
      <c r="J9" s="12"/>
    </row>
    <row r="10" spans="1:25" ht="18.600000000000001" customHeight="1">
      <c r="A10" s="1333" t="s">
        <v>213</v>
      </c>
      <c r="B10" s="1334"/>
      <c r="C10" s="1334"/>
      <c r="D10" s="1334"/>
      <c r="E10" s="261">
        <v>0</v>
      </c>
      <c r="F10" s="262"/>
    </row>
    <row r="11" spans="1:25" ht="18.600000000000001" customHeight="1">
      <c r="A11" s="1333" t="s">
        <v>212</v>
      </c>
      <c r="B11" s="1334"/>
      <c r="C11" s="1334"/>
      <c r="D11" s="1334"/>
      <c r="E11" s="261">
        <v>36702.980000000003</v>
      </c>
      <c r="F11" s="262"/>
    </row>
    <row r="12" spans="1:25" ht="18.600000000000001" customHeight="1">
      <c r="A12" s="1333" t="s">
        <v>223</v>
      </c>
      <c r="B12" s="1334"/>
      <c r="C12" s="1334"/>
      <c r="D12" s="1334"/>
      <c r="E12" s="261">
        <v>57455.03</v>
      </c>
      <c r="F12" s="262"/>
    </row>
    <row r="13" spans="1:25" ht="18.600000000000001" customHeight="1">
      <c r="A13" s="1333" t="s">
        <v>231</v>
      </c>
      <c r="B13" s="1334"/>
      <c r="C13" s="1334"/>
      <c r="D13" s="1334"/>
      <c r="E13" s="261">
        <v>63429.27</v>
      </c>
      <c r="F13" s="262"/>
    </row>
    <row r="14" spans="1:25" ht="18.600000000000001" customHeight="1">
      <c r="A14" s="1333" t="s">
        <v>244</v>
      </c>
      <c r="B14" s="1334"/>
      <c r="C14" s="1334"/>
      <c r="D14" s="1334"/>
      <c r="E14" s="261">
        <v>61195.79</v>
      </c>
      <c r="F14" s="262"/>
    </row>
    <row r="15" spans="1:25" ht="15.75" customHeight="1">
      <c r="A15" s="1333" t="s">
        <v>272</v>
      </c>
      <c r="B15" s="1334"/>
      <c r="C15" s="1334"/>
      <c r="D15" s="1334"/>
      <c r="E15" s="261">
        <v>63439.86</v>
      </c>
      <c r="F15" s="262"/>
    </row>
    <row r="16" spans="1:25" ht="18.600000000000001" customHeight="1">
      <c r="A16" s="1333" t="s">
        <v>276</v>
      </c>
      <c r="B16" s="1334"/>
      <c r="C16" s="1334"/>
      <c r="D16" s="1334"/>
      <c r="E16" s="261">
        <v>61206.01</v>
      </c>
      <c r="F16" s="262"/>
    </row>
    <row r="17" spans="1:7" ht="18.600000000000001" customHeight="1">
      <c r="A17" s="1333" t="s">
        <v>294</v>
      </c>
      <c r="B17" s="1334"/>
      <c r="C17" s="1334"/>
      <c r="D17" s="1334"/>
      <c r="E17" s="261">
        <v>63450.45</v>
      </c>
      <c r="F17" s="262"/>
    </row>
    <row r="18" spans="1:7" ht="18.600000000000001" customHeight="1">
      <c r="A18" s="1333" t="s">
        <v>307</v>
      </c>
      <c r="B18" s="1334"/>
      <c r="C18" s="1334"/>
      <c r="D18" s="1334"/>
      <c r="E18" s="261">
        <v>63455.85</v>
      </c>
      <c r="F18" s="262"/>
    </row>
    <row r="19" spans="1:7" ht="18.600000000000001" customHeight="1">
      <c r="A19" s="543" t="s">
        <v>365</v>
      </c>
      <c r="B19" s="544"/>
      <c r="C19" s="544"/>
      <c r="D19" s="544"/>
      <c r="E19" s="261">
        <f>56303.43+1</f>
        <v>56304.43</v>
      </c>
      <c r="F19" s="262"/>
      <c r="G19" s="5" t="str">
        <f>+"+1"</f>
        <v>+1</v>
      </c>
    </row>
    <row r="20" spans="1:7" ht="18.600000000000001" customHeight="1">
      <c r="A20" s="574" t="s">
        <v>427</v>
      </c>
      <c r="B20" s="575"/>
      <c r="C20" s="575"/>
      <c r="D20" s="575"/>
      <c r="E20" s="261">
        <v>42759.98</v>
      </c>
      <c r="F20" s="262"/>
    </row>
    <row r="21" spans="1:7" ht="18.600000000000001" customHeight="1">
      <c r="A21" s="651" t="s">
        <v>462</v>
      </c>
      <c r="B21" s="652"/>
      <c r="C21" s="652"/>
      <c r="D21" s="652"/>
      <c r="E21" s="261">
        <v>25200.5</v>
      </c>
      <c r="F21" s="262"/>
    </row>
    <row r="22" spans="1:7" ht="18.600000000000001" customHeight="1">
      <c r="A22" s="670" t="s">
        <v>494</v>
      </c>
      <c r="B22" s="671"/>
      <c r="C22" s="671"/>
      <c r="D22" s="671"/>
      <c r="E22" s="261">
        <v>13628.47</v>
      </c>
      <c r="F22" s="262"/>
    </row>
    <row r="23" spans="1:7" ht="18.600000000000001" customHeight="1">
      <c r="A23" s="689" t="s">
        <v>501</v>
      </c>
      <c r="B23" s="690"/>
      <c r="C23" s="690"/>
      <c r="D23" s="690"/>
      <c r="E23" s="261">
        <v>5737.33</v>
      </c>
      <c r="F23" s="262"/>
    </row>
    <row r="24" spans="1:7" ht="18.600000000000001" customHeight="1">
      <c r="A24" s="725" t="s">
        <v>515</v>
      </c>
      <c r="B24" s="726"/>
      <c r="C24" s="726"/>
      <c r="D24" s="726"/>
      <c r="E24" s="261">
        <v>5197.79</v>
      </c>
      <c r="F24" s="262"/>
    </row>
    <row r="25" spans="1:7" ht="18.600000000000001" customHeight="1">
      <c r="A25" s="743" t="s">
        <v>520</v>
      </c>
      <c r="B25" s="744"/>
      <c r="C25" s="744"/>
      <c r="D25" s="744"/>
      <c r="E25" s="261">
        <v>5738.26</v>
      </c>
      <c r="F25" s="262"/>
    </row>
    <row r="26" spans="1:7" ht="18.600000000000001" customHeight="1">
      <c r="A26" s="773" t="s">
        <v>537</v>
      </c>
      <c r="B26" s="774"/>
      <c r="C26" s="774"/>
      <c r="D26" s="774"/>
      <c r="E26" s="261">
        <f>624.84-1</f>
        <v>623.84</v>
      </c>
      <c r="F26" s="262"/>
      <c r="G26" s="785" t="str">
        <f>"-1"</f>
        <v>-1</v>
      </c>
    </row>
    <row r="27" spans="1:7" ht="18.600000000000001" customHeight="1">
      <c r="A27" s="793" t="s">
        <v>567</v>
      </c>
      <c r="B27" s="794"/>
      <c r="C27" s="794"/>
      <c r="D27" s="794"/>
      <c r="E27" s="261">
        <v>82.08</v>
      </c>
      <c r="F27" s="262"/>
      <c r="G27" s="785"/>
    </row>
    <row r="28" spans="1:7" ht="18.600000000000001" customHeight="1">
      <c r="A28" s="811" t="s">
        <v>577</v>
      </c>
      <c r="B28" s="812"/>
      <c r="C28" s="812"/>
      <c r="D28" s="812"/>
      <c r="E28" s="261">
        <v>79.19</v>
      </c>
      <c r="F28" s="262"/>
      <c r="G28" s="785"/>
    </row>
    <row r="29" spans="1:7" ht="18.600000000000001" customHeight="1">
      <c r="A29" s="874" t="s">
        <v>625</v>
      </c>
      <c r="B29" s="875"/>
      <c r="C29" s="875"/>
      <c r="D29" s="875"/>
      <c r="E29" s="261">
        <v>82.09</v>
      </c>
      <c r="F29" s="262"/>
      <c r="G29" s="785"/>
    </row>
    <row r="30" spans="1:7" ht="18.600000000000001" customHeight="1">
      <c r="A30" s="895" t="s">
        <v>720</v>
      </c>
      <c r="B30" s="896"/>
      <c r="C30" s="896"/>
      <c r="D30" s="896"/>
      <c r="E30" s="261">
        <v>82.1</v>
      </c>
      <c r="F30" s="262"/>
      <c r="G30" s="785"/>
    </row>
    <row r="31" spans="1:7" ht="18.600000000000001" customHeight="1">
      <c r="A31" s="904" t="s">
        <v>647</v>
      </c>
      <c r="B31" s="905"/>
      <c r="C31" s="905"/>
      <c r="D31" s="905"/>
      <c r="E31" s="261">
        <v>79.209999999999994</v>
      </c>
      <c r="F31" s="262"/>
      <c r="G31" s="785"/>
    </row>
    <row r="32" spans="1:7" ht="18.600000000000001" customHeight="1">
      <c r="A32" s="924" t="s">
        <v>655</v>
      </c>
      <c r="B32" s="925"/>
      <c r="C32" s="925"/>
      <c r="D32" s="925"/>
      <c r="E32" s="261">
        <v>82.11</v>
      </c>
      <c r="F32" s="262"/>
      <c r="G32" s="785"/>
    </row>
    <row r="33" spans="1:33" ht="18.600000000000001" customHeight="1">
      <c r="A33" s="948" t="s">
        <v>665</v>
      </c>
      <c r="B33" s="949"/>
      <c r="C33" s="949"/>
      <c r="D33" s="949"/>
      <c r="E33" s="261">
        <v>894.99</v>
      </c>
      <c r="F33" s="262"/>
      <c r="G33" s="785"/>
    </row>
    <row r="34" spans="1:33" ht="18.600000000000001" customHeight="1">
      <c r="A34" s="966" t="s">
        <v>677</v>
      </c>
      <c r="B34" s="967"/>
      <c r="C34" s="967"/>
      <c r="D34" s="967"/>
      <c r="E34" s="261">
        <v>2900.9</v>
      </c>
      <c r="F34" s="262"/>
      <c r="G34" s="785" t="s">
        <v>713</v>
      </c>
    </row>
    <row r="35" spans="1:33" ht="18.600000000000001" customHeight="1">
      <c r="A35" s="989" t="s">
        <v>687</v>
      </c>
      <c r="B35" s="990"/>
      <c r="C35" s="990"/>
      <c r="D35" s="990"/>
      <c r="E35" s="261">
        <v>2901.14</v>
      </c>
      <c r="F35" s="262"/>
      <c r="G35" s="785"/>
    </row>
    <row r="36" spans="1:33" ht="18.600000000000001" customHeight="1">
      <c r="A36" s="1015" t="s">
        <v>720</v>
      </c>
      <c r="B36" s="1016"/>
      <c r="C36" s="1016"/>
      <c r="D36" s="1016"/>
      <c r="E36" s="261">
        <v>2593.6999999999998</v>
      </c>
      <c r="F36" s="262"/>
      <c r="G36" s="785"/>
    </row>
    <row r="37" spans="1:33" ht="18.600000000000001" customHeight="1">
      <c r="A37" s="1032" t="s">
        <v>729</v>
      </c>
      <c r="B37" s="1033"/>
      <c r="C37" s="1033"/>
      <c r="D37" s="1033"/>
      <c r="E37" s="261">
        <v>219740.53</v>
      </c>
      <c r="F37" s="262"/>
      <c r="G37" s="785"/>
    </row>
    <row r="38" spans="1:33" ht="18.600000000000001" customHeight="1">
      <c r="A38" s="1069" t="s">
        <v>748</v>
      </c>
      <c r="B38" s="1070"/>
      <c r="C38" s="1070"/>
      <c r="D38" s="1070"/>
      <c r="E38" s="261">
        <v>214031.47</v>
      </c>
      <c r="F38" s="262"/>
      <c r="G38" s="785"/>
    </row>
    <row r="39" spans="1:33" ht="18.600000000000001" customHeight="1">
      <c r="A39" s="1090" t="str">
        <f>+'Anexo 17 Barrancabermeja'!A39</f>
        <v>Rendimientos financieros AL 31 DE MAYO DE 2023</v>
      </c>
      <c r="B39" s="1091"/>
      <c r="C39" s="1091"/>
      <c r="D39" s="1091"/>
      <c r="E39" s="261">
        <v>222585.21</v>
      </c>
      <c r="F39" s="262"/>
      <c r="G39" s="785">
        <f>+SUM(E10:E39)</f>
        <v>1291660.5599999998</v>
      </c>
    </row>
    <row r="40" spans="1:33" ht="18.600000000000001" customHeight="1">
      <c r="A40" s="1100" t="str">
        <f>+'Anexo 17 Barrancabermeja'!A40</f>
        <v>Rendimientos financieros AL 30 DE JUNIO DE 2023</v>
      </c>
      <c r="B40" s="1101"/>
      <c r="C40" s="1101"/>
      <c r="D40" s="1101"/>
      <c r="E40" s="261">
        <v>216802.24</v>
      </c>
      <c r="F40" s="262"/>
      <c r="G40" s="785"/>
    </row>
    <row r="41" spans="1:33" ht="18.600000000000001" customHeight="1">
      <c r="A41" s="1128" t="str">
        <f>+'Anexo 17 Barrancabermeja'!A41</f>
        <v>Rendimientos financieros AL 31 DE JULIO DE 2023</v>
      </c>
      <c r="B41" s="1129"/>
      <c r="C41" s="1129"/>
      <c r="D41" s="1129"/>
      <c r="E41" s="261">
        <v>225466.71</v>
      </c>
      <c r="F41" s="262"/>
      <c r="G41" s="785"/>
    </row>
    <row r="42" spans="1:33" ht="18.600000000000001" customHeight="1">
      <c r="A42" s="268" t="s">
        <v>495</v>
      </c>
      <c r="B42" s="1016"/>
      <c r="C42" s="1016"/>
      <c r="D42" s="1016"/>
      <c r="E42" s="261"/>
      <c r="F42" s="251">
        <f>-E43</f>
        <v>-629416</v>
      </c>
      <c r="G42" s="785"/>
    </row>
    <row r="43" spans="1:33" ht="18.600000000000001" customHeight="1">
      <c r="A43" s="1028" t="s">
        <v>725</v>
      </c>
      <c r="B43" s="1016"/>
      <c r="C43" s="1016"/>
      <c r="D43" s="1016"/>
      <c r="E43" s="252">
        <v>629416</v>
      </c>
      <c r="F43" s="262"/>
      <c r="G43" s="785"/>
    </row>
    <row r="44" spans="1:33" s="5" customFormat="1" ht="18.600000000000001" customHeight="1">
      <c r="A44" s="226"/>
      <c r="B44" s="227"/>
      <c r="C44" s="227"/>
      <c r="D44" s="227"/>
      <c r="E44" s="263"/>
      <c r="F44" s="264"/>
      <c r="G44" s="776" t="s">
        <v>535</v>
      </c>
      <c r="H44" s="775" t="s">
        <v>536</v>
      </c>
      <c r="I44" s="775" t="s">
        <v>516</v>
      </c>
      <c r="J44" s="742" t="s">
        <v>65</v>
      </c>
      <c r="Z44" s="6"/>
      <c r="AA44" s="6"/>
      <c r="AB44" s="6"/>
      <c r="AC44" s="6"/>
      <c r="AD44" s="6"/>
      <c r="AE44" s="6"/>
      <c r="AF44" s="6"/>
      <c r="AG44" s="6"/>
    </row>
    <row r="45" spans="1:33" s="5" customFormat="1" ht="24.75" customHeight="1" thickBot="1">
      <c r="A45" s="14" t="str">
        <f>+'Anexo 17 Barrancabermeja'!A43</f>
        <v>TOTAL RENDIMIENTOS DISPONIBLES AL 31 DE JULIO DE 2023</v>
      </c>
      <c r="B45" s="15"/>
      <c r="C45" s="15"/>
      <c r="D45" s="15"/>
      <c r="E45" s="265"/>
      <c r="F45" s="266">
        <f>+SUM(F9:F42)</f>
        <v>1104513.5099999998</v>
      </c>
      <c r="G45" s="5">
        <f>+F45+Adhesiones!H78</f>
        <v>34605873.009999998</v>
      </c>
      <c r="H45" s="741">
        <f>+G45-F45</f>
        <v>33501359.5</v>
      </c>
      <c r="I45" s="5">
        <f>-'Anexo 3-Porcion C-NC'!B19</f>
        <v>-33501360</v>
      </c>
      <c r="J45" s="5">
        <f>+H45+I45</f>
        <v>-0.5</v>
      </c>
      <c r="K45" s="1017" t="s">
        <v>722</v>
      </c>
      <c r="Z45" s="6"/>
      <c r="AA45" s="6"/>
      <c r="AB45" s="6"/>
      <c r="AC45" s="6"/>
      <c r="AD45" s="6"/>
      <c r="AE45" s="6"/>
      <c r="AF45" s="6"/>
      <c r="AG45" s="6"/>
    </row>
    <row r="46" spans="1:33" s="20" customFormat="1" ht="15.75">
      <c r="A46" s="6"/>
      <c r="B46" s="6"/>
      <c r="C46" s="16"/>
      <c r="D46" s="17"/>
      <c r="E46" s="18"/>
      <c r="F46" s="1022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</row>
    <row r="47" spans="1:33" s="20" customFormat="1" ht="15.75">
      <c r="A47" s="6"/>
      <c r="B47" s="6"/>
      <c r="C47" s="16"/>
      <c r="D47" s="17"/>
      <c r="E47" s="21"/>
      <c r="F47" s="1022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</row>
    <row r="48" spans="1:33" s="20" customFormat="1" ht="15.75">
      <c r="A48" s="6"/>
      <c r="B48" s="6"/>
      <c r="C48" s="16"/>
      <c r="D48" s="17"/>
      <c r="E48" s="22"/>
      <c r="F48" s="1022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</row>
    <row r="49" spans="1:25" s="20" customFormat="1" ht="15.75">
      <c r="A49" s="6"/>
      <c r="B49" s="6"/>
      <c r="C49" s="16"/>
      <c r="D49" s="17"/>
      <c r="E49" s="22"/>
      <c r="F49" s="19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</row>
    <row r="50" spans="1:25" s="5" customFormat="1" ht="16.5" thickBot="1">
      <c r="A50" s="23"/>
      <c r="B50" s="24"/>
      <c r="C50" s="25"/>
      <c r="D50" s="131"/>
      <c r="E50" s="132"/>
      <c r="F50" s="133"/>
    </row>
    <row r="51" spans="1:25" s="5" customFormat="1" ht="15" customHeight="1">
      <c r="A51" s="1336" t="s">
        <v>135</v>
      </c>
      <c r="B51" s="1336"/>
      <c r="C51" s="1"/>
      <c r="D51" s="1336" t="s">
        <v>517</v>
      </c>
      <c r="E51" s="1336"/>
      <c r="F51" s="224"/>
    </row>
    <row r="52" spans="1:25" s="5" customFormat="1" ht="14.45" customHeight="1">
      <c r="A52" s="1332" t="s">
        <v>145</v>
      </c>
      <c r="B52" s="1332"/>
      <c r="C52" s="2"/>
      <c r="D52" s="1332" t="s">
        <v>519</v>
      </c>
      <c r="E52" s="1332"/>
      <c r="F52" s="225"/>
    </row>
    <row r="53" spans="1:25" s="5" customFormat="1" ht="15.75" customHeight="1">
      <c r="A53" s="1332" t="s">
        <v>48</v>
      </c>
      <c r="B53" s="1332"/>
      <c r="C53" s="2"/>
      <c r="D53" s="1332" t="s">
        <v>48</v>
      </c>
      <c r="E53" s="1332"/>
      <c r="F53" s="225"/>
    </row>
    <row r="54" spans="1:25" s="20" customFormat="1" ht="15.75" customHeight="1">
      <c r="A54" s="6"/>
      <c r="B54" s="6"/>
      <c r="C54" s="16"/>
      <c r="D54" s="1335" t="s">
        <v>518</v>
      </c>
      <c r="E54" s="1335"/>
      <c r="F54" s="22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</row>
    <row r="55" spans="1:25" s="20" customFormat="1" ht="15.75">
      <c r="A55" s="6"/>
      <c r="B55" s="6"/>
      <c r="C55" s="16"/>
      <c r="D55" s="17"/>
      <c r="E55" s="22"/>
      <c r="F55" s="19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</row>
    <row r="56" spans="1:25" s="20" customFormat="1" ht="15.75">
      <c r="A56" s="6"/>
      <c r="B56" s="6"/>
      <c r="C56" s="16"/>
      <c r="D56" s="17"/>
      <c r="E56" s="22"/>
      <c r="F56" s="19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</row>
    <row r="57" spans="1:25" s="20" customFormat="1" ht="15.75">
      <c r="A57" s="27"/>
      <c r="B57" s="27"/>
      <c r="C57" s="27"/>
      <c r="D57" s="27"/>
      <c r="E57" s="27"/>
      <c r="F57" s="19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</row>
    <row r="58" spans="1:25" s="5" customFormat="1" ht="15.75">
      <c r="A58" s="27"/>
      <c r="B58" s="27"/>
      <c r="C58" s="27"/>
      <c r="D58" s="27"/>
      <c r="E58" s="27"/>
      <c r="F58" s="26"/>
    </row>
    <row r="59" spans="1:25" s="5" customFormat="1" ht="15" customHeight="1">
      <c r="A59" s="27"/>
      <c r="B59" s="27"/>
      <c r="C59" s="27"/>
      <c r="D59" s="27"/>
      <c r="E59" s="27"/>
      <c r="F59" s="26"/>
    </row>
    <row r="60" spans="1:25" s="5" customFormat="1" ht="14.45" customHeight="1">
      <c r="A60" s="27"/>
      <c r="B60" s="27"/>
      <c r="C60" s="27"/>
      <c r="D60" s="27"/>
      <c r="E60" s="27"/>
      <c r="F60" s="26"/>
    </row>
    <row r="61" spans="1:25" s="5" customFormat="1" ht="14.45" customHeight="1">
      <c r="A61" s="27"/>
      <c r="B61" s="27"/>
      <c r="C61" s="27"/>
      <c r="D61" s="27"/>
      <c r="E61" s="27"/>
      <c r="F61" s="26"/>
    </row>
    <row r="62" spans="1:25" s="20" customFormat="1" ht="15.75">
      <c r="A62" s="27"/>
      <c r="B62" s="27"/>
      <c r="C62" s="27"/>
      <c r="D62" s="27"/>
      <c r="E62" s="27"/>
      <c r="F62" s="19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</row>
    <row r="63" spans="1:25" s="20" customFormat="1" ht="15.75">
      <c r="A63" s="6"/>
      <c r="B63" s="6"/>
      <c r="C63" s="16"/>
      <c r="D63" s="17"/>
      <c r="E63" s="6"/>
      <c r="F63" s="19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</row>
    <row r="64" spans="1:25" s="20" customFormat="1" ht="15.75">
      <c r="A64" s="6"/>
      <c r="B64" s="6"/>
      <c r="C64" s="16"/>
      <c r="D64" s="17"/>
      <c r="E64" s="6"/>
      <c r="F64" s="19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</row>
    <row r="65" spans="1:25" s="20" customFormat="1" ht="15.75">
      <c r="A65" s="6"/>
      <c r="B65" s="6"/>
      <c r="C65" s="16"/>
      <c r="D65" s="17"/>
      <c r="E65" s="6"/>
      <c r="F65" s="19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</row>
    <row r="66" spans="1:25" s="20" customFormat="1" ht="15.75">
      <c r="A66" s="6"/>
      <c r="B66" s="6"/>
      <c r="C66" s="16"/>
      <c r="D66" s="17"/>
      <c r="E66" s="6"/>
      <c r="F66" s="19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</row>
    <row r="67" spans="1:25" s="20" customFormat="1" ht="15.75">
      <c r="A67" s="6"/>
      <c r="B67" s="6"/>
      <c r="C67" s="16"/>
      <c r="D67" s="17"/>
      <c r="E67" s="6"/>
      <c r="F67" s="19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</row>
    <row r="68" spans="1:25" s="20" customFormat="1" ht="15.75">
      <c r="A68" s="6"/>
      <c r="B68" s="6"/>
      <c r="C68" s="16"/>
      <c r="D68" s="17"/>
      <c r="E68" s="6"/>
      <c r="F68" s="19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</row>
    <row r="69" spans="1:25" s="20" customFormat="1" ht="15.75">
      <c r="A69" s="6"/>
      <c r="B69" s="6"/>
      <c r="C69" s="16"/>
      <c r="D69" s="17"/>
      <c r="E69" s="6"/>
      <c r="F69" s="19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</row>
    <row r="70" spans="1:25" s="20" customFormat="1" ht="15.75">
      <c r="A70" s="6"/>
      <c r="B70" s="6"/>
      <c r="C70" s="16"/>
      <c r="D70" s="17"/>
      <c r="E70" s="6"/>
      <c r="F70" s="19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</row>
    <row r="71" spans="1:25" s="20" customFormat="1" ht="15.75">
      <c r="A71" s="6"/>
      <c r="B71" s="6"/>
      <c r="C71" s="16"/>
      <c r="D71" s="17"/>
      <c r="E71" s="6"/>
      <c r="F71" s="19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</row>
    <row r="72" spans="1:25" s="20" customFormat="1" ht="15.75">
      <c r="A72" s="6"/>
      <c r="B72" s="6"/>
      <c r="C72" s="16"/>
      <c r="D72" s="17"/>
      <c r="E72" s="6"/>
      <c r="F72" s="19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</row>
    <row r="73" spans="1:25" s="20" customFormat="1" ht="15.75">
      <c r="A73" s="6"/>
      <c r="B73" s="6"/>
      <c r="C73" s="16"/>
      <c r="D73" s="17"/>
      <c r="E73" s="6"/>
      <c r="F73" s="19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</row>
    <row r="74" spans="1:25" s="20" customFormat="1" ht="15.75">
      <c r="A74" s="6"/>
      <c r="B74" s="6"/>
      <c r="C74" s="16"/>
      <c r="D74" s="17"/>
      <c r="E74" s="6"/>
      <c r="F74" s="19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</row>
    <row r="75" spans="1:25" s="20" customFormat="1" ht="15.75">
      <c r="A75" s="6"/>
      <c r="B75" s="6"/>
      <c r="C75" s="16"/>
      <c r="D75" s="17"/>
      <c r="E75" s="6"/>
      <c r="F75" s="19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</row>
    <row r="76" spans="1:25" s="20" customFormat="1" ht="15.75">
      <c r="A76" s="6"/>
      <c r="B76" s="6"/>
      <c r="C76" s="16"/>
      <c r="D76" s="17"/>
      <c r="E76" s="6"/>
      <c r="F76" s="19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</row>
    <row r="77" spans="1:25" s="20" customFormat="1" ht="15.75">
      <c r="A77" s="6"/>
      <c r="B77" s="6"/>
      <c r="C77" s="16"/>
      <c r="D77" s="17"/>
      <c r="E77" s="6"/>
      <c r="F77" s="19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</row>
    <row r="78" spans="1:25" s="20" customFormat="1" ht="15.75">
      <c r="A78" s="6"/>
      <c r="B78" s="6"/>
      <c r="C78" s="16"/>
      <c r="D78" s="17"/>
      <c r="E78" s="6"/>
      <c r="F78" s="19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</row>
    <row r="79" spans="1:25" s="20" customFormat="1" ht="15.75">
      <c r="A79" s="6"/>
      <c r="B79" s="6"/>
      <c r="C79" s="16"/>
      <c r="D79" s="17"/>
      <c r="E79" s="6"/>
      <c r="F79" s="19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</row>
    <row r="80" spans="1:25" s="20" customFormat="1" ht="15.75">
      <c r="A80" s="6"/>
      <c r="B80" s="6"/>
      <c r="C80" s="16"/>
      <c r="D80" s="17"/>
      <c r="E80" s="6"/>
      <c r="F80" s="19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</row>
    <row r="81" spans="1:25" s="20" customFormat="1" ht="15.75">
      <c r="A81" s="6"/>
      <c r="B81" s="6"/>
      <c r="C81" s="16"/>
      <c r="D81" s="17"/>
      <c r="E81" s="6"/>
      <c r="F81" s="19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</row>
    <row r="82" spans="1:25" s="20" customFormat="1" ht="89.25" customHeight="1">
      <c r="A82" s="6"/>
      <c r="B82" s="6"/>
      <c r="C82" s="16"/>
      <c r="D82" s="17"/>
      <c r="E82" s="6"/>
      <c r="F82" s="19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</row>
    <row r="83" spans="1:25" s="20" customFormat="1" ht="89.25" customHeight="1">
      <c r="A83" s="6"/>
      <c r="B83" s="6"/>
      <c r="C83" s="16"/>
      <c r="D83" s="17"/>
      <c r="E83" s="6"/>
      <c r="F83" s="19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</row>
    <row r="84" spans="1:25" s="20" customFormat="1" ht="89.25" customHeight="1">
      <c r="A84" s="6"/>
      <c r="B84" s="6"/>
      <c r="C84" s="16"/>
      <c r="D84" s="17"/>
      <c r="E84" s="6"/>
      <c r="F84" s="19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</row>
    <row r="85" spans="1:25" s="20" customFormat="1" ht="89.25" customHeight="1">
      <c r="A85" s="6"/>
      <c r="B85" s="6"/>
      <c r="C85" s="16"/>
      <c r="D85" s="17"/>
      <c r="E85" s="6"/>
      <c r="F85" s="19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</row>
    <row r="86" spans="1:25" s="20" customFormat="1" ht="89.25" customHeight="1">
      <c r="A86" s="6"/>
      <c r="B86" s="6"/>
      <c r="C86" s="16"/>
      <c r="D86" s="17"/>
      <c r="E86" s="6"/>
      <c r="F86" s="19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</row>
    <row r="87" spans="1:25" s="20" customFormat="1" ht="89.25" customHeight="1">
      <c r="A87" s="6"/>
      <c r="B87" s="6"/>
      <c r="C87" s="16"/>
      <c r="D87" s="17"/>
      <c r="E87" s="6"/>
      <c r="F87" s="19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</row>
    <row r="88" spans="1:25" s="20" customFormat="1" ht="89.25" customHeight="1">
      <c r="A88" s="6"/>
      <c r="B88" s="6"/>
      <c r="C88" s="16"/>
      <c r="D88" s="17"/>
      <c r="E88" s="6"/>
      <c r="F88" s="19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</row>
    <row r="89" spans="1:25" s="20" customFormat="1" ht="89.25" customHeight="1">
      <c r="A89" s="6"/>
      <c r="B89" s="6"/>
      <c r="C89" s="16"/>
      <c r="D89" s="17"/>
      <c r="E89" s="6"/>
      <c r="F89" s="19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</row>
    <row r="90" spans="1:25" s="20" customFormat="1" ht="89.25" customHeight="1">
      <c r="A90" s="6"/>
      <c r="B90" s="6"/>
      <c r="C90" s="16"/>
      <c r="D90" s="17"/>
      <c r="E90" s="6"/>
      <c r="F90" s="19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</row>
    <row r="91" spans="1:25" s="20" customFormat="1" ht="89.25" customHeight="1">
      <c r="A91" s="6"/>
      <c r="B91" s="6"/>
      <c r="C91" s="16"/>
      <c r="D91" s="17"/>
      <c r="E91" s="6"/>
      <c r="F91" s="19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</row>
    <row r="92" spans="1:25" s="20" customFormat="1" ht="89.25" customHeight="1">
      <c r="A92" s="6"/>
      <c r="B92" s="6"/>
      <c r="C92" s="16"/>
      <c r="D92" s="17"/>
      <c r="E92" s="6"/>
      <c r="F92" s="19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</row>
    <row r="93" spans="1:25" s="20" customFormat="1" ht="89.25" customHeight="1">
      <c r="A93" s="6"/>
      <c r="B93" s="6"/>
      <c r="C93" s="16"/>
      <c r="D93" s="17"/>
      <c r="E93" s="6"/>
      <c r="F93" s="19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</row>
    <row r="94" spans="1:25" s="20" customFormat="1" ht="89.25" customHeight="1">
      <c r="A94" s="6"/>
      <c r="B94" s="6"/>
      <c r="C94" s="16"/>
      <c r="D94" s="17"/>
      <c r="E94" s="6"/>
      <c r="F94" s="19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</row>
    <row r="95" spans="1:25" s="20" customFormat="1" ht="89.25" customHeight="1">
      <c r="A95" s="6"/>
      <c r="B95" s="6"/>
      <c r="C95" s="16"/>
      <c r="D95" s="17"/>
      <c r="E95" s="6"/>
      <c r="F95" s="19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</row>
    <row r="96" spans="1:25" s="20" customFormat="1" ht="89.25" customHeight="1">
      <c r="A96" s="6"/>
      <c r="B96" s="6"/>
      <c r="C96" s="16"/>
      <c r="D96" s="17"/>
      <c r="E96" s="6"/>
      <c r="F96" s="19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</row>
    <row r="97" spans="1:25" s="20" customFormat="1" ht="89.25" customHeight="1">
      <c r="A97" s="6"/>
      <c r="B97" s="6"/>
      <c r="C97" s="16"/>
      <c r="D97" s="17"/>
      <c r="E97" s="6"/>
      <c r="F97" s="19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</row>
    <row r="98" spans="1:25" s="20" customFormat="1" ht="89.25" customHeight="1">
      <c r="A98" s="6"/>
      <c r="B98" s="6"/>
      <c r="C98" s="16"/>
      <c r="D98" s="17"/>
      <c r="E98" s="6"/>
      <c r="F98" s="19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</row>
    <row r="99" spans="1:25" s="20" customFormat="1" ht="89.25" customHeight="1">
      <c r="A99" s="6"/>
      <c r="B99" s="6"/>
      <c r="C99" s="16"/>
      <c r="D99" s="17"/>
      <c r="E99" s="6"/>
      <c r="F99" s="19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</row>
    <row r="100" spans="1:25" s="20" customFormat="1" ht="89.25" customHeight="1">
      <c r="A100" s="6"/>
      <c r="B100" s="6"/>
      <c r="C100" s="16"/>
      <c r="D100" s="17"/>
      <c r="E100" s="6"/>
      <c r="F100" s="19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</row>
    <row r="101" spans="1:25" s="20" customFormat="1" ht="89.25" customHeight="1">
      <c r="A101" s="6"/>
      <c r="B101" s="6"/>
      <c r="C101" s="16"/>
      <c r="D101" s="17"/>
      <c r="E101" s="6"/>
      <c r="F101" s="19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</row>
    <row r="102" spans="1:25" s="20" customFormat="1" ht="89.25" customHeight="1">
      <c r="A102" s="6"/>
      <c r="B102" s="6"/>
      <c r="C102" s="16"/>
      <c r="D102" s="17"/>
      <c r="E102" s="6"/>
      <c r="F102" s="19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</row>
    <row r="103" spans="1:25" s="20" customFormat="1" ht="89.25" customHeight="1">
      <c r="A103" s="6"/>
      <c r="B103" s="6"/>
      <c r="C103" s="16"/>
      <c r="D103" s="17"/>
      <c r="E103" s="6"/>
      <c r="F103" s="19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</row>
    <row r="104" spans="1:25" s="20" customFormat="1" ht="89.25" customHeight="1">
      <c r="A104" s="6"/>
      <c r="B104" s="6"/>
      <c r="C104" s="16"/>
      <c r="D104" s="17"/>
      <c r="E104" s="6"/>
      <c r="F104" s="19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</row>
    <row r="105" spans="1:25" s="20" customFormat="1" ht="89.25" customHeight="1">
      <c r="A105" s="6"/>
      <c r="B105" s="6"/>
      <c r="C105" s="16"/>
      <c r="D105" s="17"/>
      <c r="E105" s="6"/>
      <c r="F105" s="19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</row>
    <row r="106" spans="1:25" s="20" customFormat="1" ht="89.25" customHeight="1">
      <c r="A106" s="6"/>
      <c r="B106" s="6"/>
      <c r="C106" s="16"/>
      <c r="D106" s="17"/>
      <c r="E106" s="6"/>
      <c r="F106" s="19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</row>
    <row r="107" spans="1:25" s="20" customFormat="1" ht="89.25" customHeight="1">
      <c r="A107" s="6"/>
      <c r="B107" s="6"/>
      <c r="C107" s="16"/>
      <c r="D107" s="17"/>
      <c r="E107" s="6"/>
      <c r="F107" s="19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</row>
    <row r="108" spans="1:25" s="20" customFormat="1" ht="89.25" customHeight="1">
      <c r="A108" s="6"/>
      <c r="B108" s="6"/>
      <c r="C108" s="16"/>
      <c r="D108" s="17"/>
      <c r="E108" s="6"/>
      <c r="F108" s="19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</row>
    <row r="109" spans="1:25" s="20" customFormat="1" ht="89.25" customHeight="1">
      <c r="A109" s="6"/>
      <c r="B109" s="6"/>
      <c r="C109" s="16"/>
      <c r="D109" s="17"/>
      <c r="E109" s="6"/>
      <c r="F109" s="19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</row>
    <row r="110" spans="1:25" s="20" customFormat="1" ht="89.25" customHeight="1">
      <c r="A110" s="6"/>
      <c r="B110" s="6"/>
      <c r="C110" s="16"/>
      <c r="D110" s="17"/>
      <c r="E110" s="6"/>
      <c r="F110" s="19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</row>
    <row r="111" spans="1:25" s="20" customFormat="1" ht="89.25" customHeight="1">
      <c r="A111" s="6"/>
      <c r="B111" s="6"/>
      <c r="C111" s="16"/>
      <c r="D111" s="17"/>
      <c r="E111" s="6"/>
      <c r="F111" s="19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</row>
    <row r="112" spans="1:25" s="20" customFormat="1" ht="89.25" customHeight="1">
      <c r="A112" s="6"/>
      <c r="B112" s="6"/>
      <c r="C112" s="16"/>
      <c r="D112" s="17"/>
      <c r="E112" s="6"/>
      <c r="F112" s="19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</row>
    <row r="113" spans="1:25" s="20" customFormat="1" ht="89.25" customHeight="1">
      <c r="A113" s="6"/>
      <c r="B113" s="6"/>
      <c r="C113" s="16"/>
      <c r="D113" s="17"/>
      <c r="E113" s="6"/>
      <c r="F113" s="19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</row>
    <row r="114" spans="1:25" s="20" customFormat="1" ht="89.25" customHeight="1">
      <c r="A114" s="6"/>
      <c r="B114" s="6"/>
      <c r="C114" s="16"/>
      <c r="D114" s="17"/>
      <c r="E114" s="6"/>
      <c r="F114" s="19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</row>
    <row r="115" spans="1:25" s="20" customFormat="1" ht="89.25" customHeight="1">
      <c r="A115" s="6"/>
      <c r="B115" s="6"/>
      <c r="C115" s="16"/>
      <c r="D115" s="17"/>
      <c r="E115" s="6"/>
      <c r="F115" s="19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</row>
    <row r="116" spans="1:25" s="20" customFormat="1" ht="89.25" customHeight="1">
      <c r="A116" s="6"/>
      <c r="B116" s="6"/>
      <c r="C116" s="16"/>
      <c r="D116" s="17"/>
      <c r="E116" s="6"/>
      <c r="F116" s="19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</row>
    <row r="117" spans="1:25" s="20" customFormat="1" ht="89.25" customHeight="1">
      <c r="A117" s="6"/>
      <c r="B117" s="6"/>
      <c r="C117" s="16"/>
      <c r="D117" s="17"/>
      <c r="E117" s="6"/>
      <c r="F117" s="19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</row>
    <row r="118" spans="1:25" s="20" customFormat="1" ht="89.25" customHeight="1">
      <c r="A118" s="6"/>
      <c r="B118" s="6"/>
      <c r="C118" s="16"/>
      <c r="D118" s="17"/>
      <c r="E118" s="6"/>
      <c r="F118" s="19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</row>
    <row r="119" spans="1:25" s="20" customFormat="1" ht="89.25" customHeight="1">
      <c r="A119" s="6"/>
      <c r="B119" s="6"/>
      <c r="C119" s="16"/>
      <c r="D119" s="17"/>
      <c r="E119" s="6"/>
      <c r="F119" s="19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</row>
    <row r="120" spans="1:25" s="20" customFormat="1" ht="89.25" customHeight="1">
      <c r="A120" s="6"/>
      <c r="B120" s="6"/>
      <c r="C120" s="16"/>
      <c r="D120" s="17"/>
      <c r="E120" s="6"/>
      <c r="F120" s="19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</row>
    <row r="121" spans="1:25" s="20" customFormat="1" ht="89.25" customHeight="1">
      <c r="A121" s="6"/>
      <c r="B121" s="6"/>
      <c r="C121" s="16"/>
      <c r="D121" s="17"/>
      <c r="E121" s="6"/>
      <c r="F121" s="19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</row>
    <row r="122" spans="1:25" s="20" customFormat="1" ht="89.25" customHeight="1">
      <c r="A122" s="6"/>
      <c r="B122" s="6"/>
      <c r="C122" s="16"/>
      <c r="D122" s="17"/>
      <c r="E122" s="6"/>
      <c r="F122" s="19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</row>
    <row r="123" spans="1:25" s="20" customFormat="1" ht="89.25" customHeight="1">
      <c r="A123" s="6"/>
      <c r="B123" s="6"/>
      <c r="C123" s="16"/>
      <c r="D123" s="17"/>
      <c r="E123" s="6"/>
      <c r="F123" s="19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</row>
    <row r="124" spans="1:25" s="20" customFormat="1" ht="89.25" customHeight="1">
      <c r="A124" s="6"/>
      <c r="B124" s="6"/>
      <c r="C124" s="16"/>
      <c r="D124" s="17"/>
      <c r="E124" s="6"/>
      <c r="F124" s="19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</row>
    <row r="125" spans="1:25" s="20" customFormat="1" ht="89.25" customHeight="1">
      <c r="A125" s="6"/>
      <c r="B125" s="6"/>
      <c r="C125" s="16"/>
      <c r="D125" s="17"/>
      <c r="E125" s="6"/>
      <c r="F125" s="19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</row>
    <row r="126" spans="1:25" s="20" customFormat="1" ht="89.25" customHeight="1">
      <c r="A126" s="6"/>
      <c r="B126" s="6"/>
      <c r="C126" s="16"/>
      <c r="D126" s="17"/>
      <c r="E126" s="6"/>
      <c r="F126" s="19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</row>
    <row r="127" spans="1:25" s="20" customFormat="1" ht="89.25" customHeight="1">
      <c r="A127" s="6"/>
      <c r="B127" s="6"/>
      <c r="C127" s="16"/>
      <c r="D127" s="17"/>
      <c r="E127" s="6"/>
      <c r="F127" s="19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</row>
    <row r="128" spans="1:25" s="20" customFormat="1" ht="89.25" customHeight="1">
      <c r="A128" s="6"/>
      <c r="B128" s="6"/>
      <c r="C128" s="16"/>
      <c r="D128" s="17"/>
      <c r="E128" s="6"/>
      <c r="F128" s="19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</row>
    <row r="129" spans="1:25" s="20" customFormat="1" ht="89.25" customHeight="1">
      <c r="A129" s="6"/>
      <c r="B129" s="6"/>
      <c r="C129" s="16"/>
      <c r="D129" s="17"/>
      <c r="E129" s="6"/>
      <c r="F129" s="19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</row>
    <row r="130" spans="1:25" s="20" customFormat="1" ht="89.25" customHeight="1">
      <c r="A130" s="6"/>
      <c r="B130" s="6"/>
      <c r="C130" s="16"/>
      <c r="D130" s="17"/>
      <c r="E130" s="6"/>
      <c r="F130" s="19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</row>
    <row r="131" spans="1:25" s="20" customFormat="1" ht="89.25" customHeight="1">
      <c r="A131" s="6"/>
      <c r="B131" s="6"/>
      <c r="C131" s="16"/>
      <c r="D131" s="17"/>
      <c r="E131" s="6"/>
      <c r="F131" s="19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</row>
    <row r="132" spans="1:25" s="20" customFormat="1" ht="89.25" customHeight="1">
      <c r="A132" s="6"/>
      <c r="B132" s="6"/>
      <c r="C132" s="16"/>
      <c r="D132" s="17"/>
      <c r="E132" s="6"/>
      <c r="F132" s="19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</row>
    <row r="133" spans="1:25" s="20" customFormat="1" ht="89.25" customHeight="1">
      <c r="A133" s="6"/>
      <c r="B133" s="6"/>
      <c r="C133" s="16"/>
      <c r="D133" s="17"/>
      <c r="E133" s="6"/>
      <c r="F133" s="19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</row>
    <row r="134" spans="1:25" s="20" customFormat="1" ht="89.25" customHeight="1">
      <c r="A134" s="6"/>
      <c r="B134" s="6"/>
      <c r="C134" s="16"/>
      <c r="D134" s="17"/>
      <c r="E134" s="6"/>
      <c r="F134" s="19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</row>
    <row r="135" spans="1:25" s="20" customFormat="1" ht="89.25" customHeight="1">
      <c r="A135" s="6"/>
      <c r="B135" s="6"/>
      <c r="C135" s="16"/>
      <c r="D135" s="17"/>
      <c r="E135" s="6"/>
      <c r="F135" s="19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</row>
    <row r="136" spans="1:25" s="20" customFormat="1" ht="89.25" customHeight="1">
      <c r="A136" s="6"/>
      <c r="B136" s="6"/>
      <c r="C136" s="16"/>
      <c r="D136" s="17"/>
      <c r="E136" s="6"/>
      <c r="F136" s="19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</row>
    <row r="137" spans="1:25" s="20" customFormat="1" ht="89.25" customHeight="1">
      <c r="A137" s="6"/>
      <c r="B137" s="6"/>
      <c r="C137" s="16"/>
      <c r="D137" s="17"/>
      <c r="E137" s="6"/>
      <c r="F137" s="19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</row>
    <row r="138" spans="1:25" s="20" customFormat="1" ht="89.25" customHeight="1">
      <c r="A138" s="6"/>
      <c r="B138" s="6"/>
      <c r="C138" s="16"/>
      <c r="D138" s="17"/>
      <c r="E138" s="6"/>
      <c r="F138" s="19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</row>
    <row r="139" spans="1:25" s="20" customFormat="1" ht="89.25" customHeight="1">
      <c r="A139" s="6"/>
      <c r="B139" s="6"/>
      <c r="C139" s="16"/>
      <c r="D139" s="17"/>
      <c r="E139" s="6"/>
      <c r="F139" s="19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</row>
    <row r="140" spans="1:25" s="20" customFormat="1" ht="89.25" customHeight="1">
      <c r="A140" s="6"/>
      <c r="B140" s="6"/>
      <c r="C140" s="16"/>
      <c r="D140" s="17"/>
      <c r="E140" s="6"/>
      <c r="F140" s="19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</row>
    <row r="141" spans="1:25" s="20" customFormat="1" ht="89.25" customHeight="1">
      <c r="A141" s="6"/>
      <c r="B141" s="6"/>
      <c r="C141" s="16"/>
      <c r="D141" s="17"/>
      <c r="E141" s="6"/>
      <c r="F141" s="19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</row>
    <row r="142" spans="1:25" s="20" customFormat="1" ht="89.25" customHeight="1">
      <c r="A142" s="6"/>
      <c r="B142" s="6"/>
      <c r="C142" s="16"/>
      <c r="D142" s="17"/>
      <c r="E142" s="6"/>
      <c r="F142" s="19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</row>
    <row r="143" spans="1:25" s="20" customFormat="1" ht="89.25" customHeight="1">
      <c r="A143" s="6"/>
      <c r="B143" s="6"/>
      <c r="C143" s="16"/>
      <c r="D143" s="17"/>
      <c r="E143" s="6"/>
      <c r="F143" s="19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</row>
    <row r="144" spans="1:25" s="20" customFormat="1" ht="89.25" customHeight="1">
      <c r="A144" s="6"/>
      <c r="B144" s="6"/>
      <c r="C144" s="16"/>
      <c r="D144" s="17"/>
      <c r="E144" s="6"/>
      <c r="F144" s="19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</row>
    <row r="145" spans="1:25" s="20" customFormat="1" ht="89.25" customHeight="1">
      <c r="A145" s="6"/>
      <c r="B145" s="6"/>
      <c r="C145" s="16"/>
      <c r="D145" s="17"/>
      <c r="E145" s="6"/>
      <c r="F145" s="19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</row>
    <row r="146" spans="1:25" s="20" customFormat="1" ht="89.25" customHeight="1">
      <c r="A146" s="6"/>
      <c r="B146" s="6"/>
      <c r="C146" s="16"/>
      <c r="D146" s="17"/>
      <c r="E146" s="6"/>
      <c r="F146" s="19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</row>
    <row r="147" spans="1:25" s="20" customFormat="1" ht="89.25" customHeight="1">
      <c r="A147" s="6"/>
      <c r="B147" s="6"/>
      <c r="C147" s="16"/>
      <c r="D147" s="17"/>
      <c r="E147" s="6"/>
      <c r="F147" s="19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</row>
    <row r="148" spans="1:25" s="20" customFormat="1" ht="89.25" customHeight="1">
      <c r="A148" s="6"/>
      <c r="B148" s="6"/>
      <c r="C148" s="16"/>
      <c r="D148" s="17"/>
      <c r="E148" s="6"/>
      <c r="F148" s="19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</row>
    <row r="149" spans="1:25" s="20" customFormat="1" ht="89.25" customHeight="1">
      <c r="A149" s="6"/>
      <c r="B149" s="6"/>
      <c r="C149" s="16"/>
      <c r="D149" s="17"/>
      <c r="E149" s="6"/>
      <c r="F149" s="19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</row>
    <row r="150" spans="1:25" s="20" customFormat="1" ht="89.25" customHeight="1">
      <c r="A150" s="6"/>
      <c r="B150" s="6"/>
      <c r="C150" s="16"/>
      <c r="D150" s="17"/>
      <c r="E150" s="6"/>
      <c r="F150" s="19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</row>
    <row r="151" spans="1:25" s="20" customFormat="1" ht="89.25" customHeight="1">
      <c r="A151" s="6"/>
      <c r="B151" s="6"/>
      <c r="C151" s="16"/>
      <c r="D151" s="17"/>
      <c r="E151" s="6"/>
      <c r="F151" s="19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</row>
    <row r="152" spans="1:25" s="20" customFormat="1" ht="89.25" customHeight="1">
      <c r="A152" s="6"/>
      <c r="B152" s="6"/>
      <c r="C152" s="16"/>
      <c r="D152" s="17"/>
      <c r="E152" s="6"/>
      <c r="F152" s="19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</row>
    <row r="153" spans="1:25" s="20" customFormat="1" ht="89.25" customHeight="1">
      <c r="A153" s="6"/>
      <c r="B153" s="6"/>
      <c r="C153" s="16"/>
      <c r="D153" s="17"/>
      <c r="E153" s="6"/>
      <c r="F153" s="19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</row>
    <row r="154" spans="1:25" s="20" customFormat="1" ht="89.25" customHeight="1">
      <c r="A154" s="6"/>
      <c r="B154" s="6"/>
      <c r="C154" s="16"/>
      <c r="D154" s="17"/>
      <c r="E154" s="6"/>
      <c r="F154" s="19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</row>
    <row r="155" spans="1:25" s="20" customFormat="1" ht="89.25" customHeight="1">
      <c r="A155" s="6"/>
      <c r="B155" s="6"/>
      <c r="C155" s="16"/>
      <c r="D155" s="17"/>
      <c r="E155" s="6"/>
      <c r="F155" s="19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</row>
    <row r="156" spans="1:25" s="20" customFormat="1" ht="89.25" customHeight="1">
      <c r="A156" s="6"/>
      <c r="B156" s="6"/>
      <c r="C156" s="16"/>
      <c r="D156" s="17"/>
      <c r="E156" s="6"/>
      <c r="F156" s="19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</row>
    <row r="157" spans="1:25" s="20" customFormat="1" ht="89.25" customHeight="1">
      <c r="A157" s="6"/>
      <c r="B157" s="6"/>
      <c r="C157" s="16"/>
      <c r="D157" s="17"/>
      <c r="E157" s="6"/>
      <c r="F157" s="19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</row>
    <row r="158" spans="1:25" s="20" customFormat="1" ht="89.25" customHeight="1">
      <c r="A158" s="6"/>
      <c r="B158" s="6"/>
      <c r="C158" s="16"/>
      <c r="D158" s="17"/>
      <c r="E158" s="6"/>
      <c r="F158" s="19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</row>
    <row r="159" spans="1:25" s="20" customFormat="1" ht="89.25" customHeight="1">
      <c r="A159" s="6"/>
      <c r="B159" s="6"/>
      <c r="C159" s="16"/>
      <c r="D159" s="17"/>
      <c r="E159" s="6"/>
      <c r="F159" s="19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</row>
    <row r="160" spans="1:25" s="20" customFormat="1" ht="89.25" customHeight="1">
      <c r="A160" s="6"/>
      <c r="B160" s="6"/>
      <c r="C160" s="16"/>
      <c r="D160" s="17"/>
      <c r="E160" s="6"/>
      <c r="F160" s="19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</row>
    <row r="161" spans="1:25" s="20" customFormat="1" ht="89.25" customHeight="1">
      <c r="A161" s="6"/>
      <c r="B161" s="6"/>
      <c r="C161" s="16"/>
      <c r="D161" s="17"/>
      <c r="E161" s="6"/>
      <c r="F161" s="19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</row>
    <row r="162" spans="1:25" s="20" customFormat="1" ht="89.25" customHeight="1">
      <c r="A162" s="6"/>
      <c r="B162" s="6"/>
      <c r="C162" s="16"/>
      <c r="D162" s="17"/>
      <c r="E162" s="6"/>
      <c r="F162" s="19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</row>
    <row r="163" spans="1:25" s="20" customFormat="1" ht="89.25" customHeight="1">
      <c r="A163" s="6"/>
      <c r="B163" s="6"/>
      <c r="C163" s="16"/>
      <c r="D163" s="17"/>
      <c r="E163" s="6"/>
      <c r="F163" s="19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</row>
    <row r="164" spans="1:25" s="20" customFormat="1" ht="89.25" customHeight="1">
      <c r="A164" s="6"/>
      <c r="B164" s="6"/>
      <c r="C164" s="16"/>
      <c r="D164" s="17"/>
      <c r="E164" s="6"/>
      <c r="F164" s="19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</row>
    <row r="165" spans="1:25" s="20" customFormat="1" ht="89.25" customHeight="1">
      <c r="A165" s="6"/>
      <c r="B165" s="6"/>
      <c r="C165" s="16"/>
      <c r="D165" s="17"/>
      <c r="E165" s="6"/>
      <c r="F165" s="19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</row>
    <row r="166" spans="1:25" s="20" customFormat="1" ht="89.25" customHeight="1">
      <c r="A166" s="6"/>
      <c r="B166" s="6"/>
      <c r="C166" s="16"/>
      <c r="D166" s="17"/>
      <c r="E166" s="6"/>
      <c r="F166" s="19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</row>
    <row r="167" spans="1:25" s="20" customFormat="1" ht="89.25" customHeight="1">
      <c r="A167" s="6"/>
      <c r="B167" s="6"/>
      <c r="C167" s="16"/>
      <c r="D167" s="17"/>
      <c r="E167" s="6"/>
      <c r="F167" s="19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</row>
    <row r="168" spans="1:25" s="20" customFormat="1" ht="89.25" customHeight="1">
      <c r="A168" s="6"/>
      <c r="B168" s="6"/>
      <c r="C168" s="16"/>
      <c r="D168" s="17"/>
      <c r="E168" s="6"/>
      <c r="F168" s="19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</row>
    <row r="169" spans="1:25" s="20" customFormat="1" ht="89.25" customHeight="1">
      <c r="A169" s="6"/>
      <c r="B169" s="6"/>
      <c r="C169" s="16"/>
      <c r="D169" s="17"/>
      <c r="E169" s="6"/>
      <c r="F169" s="19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</row>
    <row r="170" spans="1:25" s="20" customFormat="1" ht="89.25" customHeight="1">
      <c r="A170" s="6"/>
      <c r="B170" s="6"/>
      <c r="C170" s="16"/>
      <c r="D170" s="17"/>
      <c r="E170" s="6"/>
      <c r="F170" s="19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</row>
    <row r="171" spans="1:25" s="20" customFormat="1" ht="89.25" customHeight="1">
      <c r="A171" s="6"/>
      <c r="B171" s="6"/>
      <c r="C171" s="16"/>
      <c r="D171" s="17"/>
      <c r="E171" s="6"/>
      <c r="F171" s="19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</row>
    <row r="172" spans="1:25" s="20" customFormat="1" ht="89.25" customHeight="1">
      <c r="A172" s="6"/>
      <c r="B172" s="6"/>
      <c r="C172" s="16"/>
      <c r="D172" s="17"/>
      <c r="E172" s="6"/>
      <c r="F172" s="19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</row>
    <row r="173" spans="1:25" s="20" customFormat="1" ht="89.25" customHeight="1">
      <c r="A173" s="6"/>
      <c r="B173" s="6"/>
      <c r="C173" s="16"/>
      <c r="D173" s="17"/>
      <c r="E173" s="6"/>
      <c r="F173" s="19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</row>
    <row r="174" spans="1:25" s="20" customFormat="1" ht="89.25" customHeight="1">
      <c r="A174" s="6"/>
      <c r="B174" s="6"/>
      <c r="C174" s="16"/>
      <c r="D174" s="17"/>
      <c r="E174" s="6"/>
      <c r="F174" s="19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</row>
    <row r="175" spans="1:25" s="20" customFormat="1" ht="89.25" customHeight="1">
      <c r="A175" s="6"/>
      <c r="B175" s="6"/>
      <c r="C175" s="16"/>
      <c r="D175" s="17"/>
      <c r="E175" s="6"/>
      <c r="F175" s="19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</row>
    <row r="176" spans="1:25" s="20" customFormat="1" ht="89.25" customHeight="1">
      <c r="A176" s="6"/>
      <c r="B176" s="6"/>
      <c r="C176" s="16"/>
      <c r="D176" s="17"/>
      <c r="E176" s="6"/>
      <c r="F176" s="19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</row>
    <row r="177" spans="1:25" s="20" customFormat="1" ht="89.25" customHeight="1">
      <c r="A177" s="6"/>
      <c r="B177" s="6"/>
      <c r="C177" s="16"/>
      <c r="D177" s="17"/>
      <c r="E177" s="6"/>
      <c r="F177" s="19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</row>
    <row r="178" spans="1:25" s="20" customFormat="1" ht="89.25" customHeight="1">
      <c r="A178" s="6"/>
      <c r="B178" s="6"/>
      <c r="C178" s="16"/>
      <c r="D178" s="17"/>
      <c r="E178" s="6"/>
      <c r="F178" s="19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</row>
    <row r="179" spans="1:25" s="20" customFormat="1" ht="89.25" customHeight="1">
      <c r="A179" s="6"/>
      <c r="B179" s="6"/>
      <c r="C179" s="16"/>
      <c r="D179" s="17"/>
      <c r="E179" s="6"/>
      <c r="F179" s="19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</row>
    <row r="180" spans="1:25" s="20" customFormat="1" ht="89.25" customHeight="1">
      <c r="A180" s="6"/>
      <c r="B180" s="6"/>
      <c r="C180" s="16"/>
      <c r="D180" s="17"/>
      <c r="E180" s="6"/>
      <c r="F180" s="19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</row>
    <row r="181" spans="1:25" s="20" customFormat="1" ht="89.25" customHeight="1">
      <c r="A181" s="6"/>
      <c r="B181" s="6"/>
      <c r="C181" s="16"/>
      <c r="D181" s="17"/>
      <c r="E181" s="6"/>
      <c r="F181" s="19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</row>
    <row r="182" spans="1:25" s="20" customFormat="1" ht="89.25" customHeight="1">
      <c r="A182" s="6"/>
      <c r="B182" s="6"/>
      <c r="C182" s="16"/>
      <c r="D182" s="17"/>
      <c r="E182" s="6"/>
      <c r="F182" s="19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</row>
    <row r="183" spans="1:25" s="20" customFormat="1" ht="89.25" customHeight="1">
      <c r="A183" s="6"/>
      <c r="B183" s="6"/>
      <c r="C183" s="16"/>
      <c r="D183" s="17"/>
      <c r="E183" s="6"/>
      <c r="F183" s="19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</row>
    <row r="184" spans="1:25" s="20" customFormat="1" ht="89.25" customHeight="1">
      <c r="A184" s="6"/>
      <c r="B184" s="6"/>
      <c r="C184" s="16"/>
      <c r="D184" s="17"/>
      <c r="E184" s="6"/>
      <c r="F184" s="19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</row>
    <row r="185" spans="1:25" s="20" customFormat="1" ht="89.25" customHeight="1">
      <c r="A185" s="6"/>
      <c r="B185" s="6"/>
      <c r="C185" s="16"/>
      <c r="D185" s="17"/>
      <c r="E185" s="6"/>
      <c r="F185" s="19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</row>
    <row r="186" spans="1:25" s="20" customFormat="1" ht="89.25" customHeight="1">
      <c r="A186" s="6"/>
      <c r="B186" s="6"/>
      <c r="C186" s="16"/>
      <c r="D186" s="17"/>
      <c r="E186" s="6"/>
      <c r="F186" s="19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</row>
    <row r="187" spans="1:25" s="20" customFormat="1" ht="89.25" customHeight="1">
      <c r="A187" s="6"/>
      <c r="B187" s="6"/>
      <c r="C187" s="16"/>
      <c r="D187" s="17"/>
      <c r="E187" s="6"/>
      <c r="F187" s="19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</row>
    <row r="188" spans="1:25" s="20" customFormat="1" ht="89.25" customHeight="1">
      <c r="A188" s="6"/>
      <c r="B188" s="6"/>
      <c r="C188" s="16"/>
      <c r="D188" s="17"/>
      <c r="E188" s="6"/>
      <c r="F188" s="19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</row>
    <row r="189" spans="1:25" s="20" customFormat="1" ht="89.25" customHeight="1">
      <c r="A189" s="6"/>
      <c r="B189" s="6"/>
      <c r="C189" s="16"/>
      <c r="D189" s="17"/>
      <c r="E189" s="6"/>
      <c r="F189" s="19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</row>
    <row r="190" spans="1:25" s="20" customFormat="1" ht="89.25" customHeight="1">
      <c r="A190" s="6"/>
      <c r="B190" s="6"/>
      <c r="C190" s="16"/>
      <c r="D190" s="17"/>
      <c r="E190" s="6"/>
      <c r="F190" s="19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</row>
    <row r="191" spans="1:25" s="20" customFormat="1" ht="89.25" customHeight="1">
      <c r="A191" s="6"/>
      <c r="B191" s="6"/>
      <c r="C191" s="16"/>
      <c r="D191" s="17"/>
      <c r="E191" s="6"/>
      <c r="F191" s="19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</row>
    <row r="192" spans="1:25" s="20" customFormat="1" ht="89.25" customHeight="1">
      <c r="A192" s="6"/>
      <c r="B192" s="6"/>
      <c r="C192" s="16"/>
      <c r="D192" s="17"/>
      <c r="E192" s="6"/>
      <c r="F192" s="19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</row>
    <row r="193" spans="1:25" s="20" customFormat="1" ht="89.25" customHeight="1">
      <c r="A193" s="6"/>
      <c r="B193" s="6"/>
      <c r="C193" s="16"/>
      <c r="D193" s="17"/>
      <c r="E193" s="6"/>
      <c r="F193" s="19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</row>
    <row r="194" spans="1:25" s="20" customFormat="1" ht="89.25" customHeight="1">
      <c r="A194" s="6"/>
      <c r="B194" s="6"/>
      <c r="C194" s="16"/>
      <c r="D194" s="17"/>
      <c r="E194" s="6"/>
      <c r="F194" s="19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</row>
    <row r="195" spans="1:25" s="20" customFormat="1" ht="89.25" customHeight="1">
      <c r="A195" s="6"/>
      <c r="B195" s="6"/>
      <c r="C195" s="16"/>
      <c r="D195" s="17"/>
      <c r="E195" s="6"/>
      <c r="F195" s="19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</row>
    <row r="196" spans="1:25" s="20" customFormat="1" ht="89.25" customHeight="1">
      <c r="A196" s="6"/>
      <c r="B196" s="6"/>
      <c r="C196" s="16"/>
      <c r="D196" s="17"/>
      <c r="E196" s="6"/>
      <c r="F196" s="19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</row>
    <row r="197" spans="1:25" s="20" customFormat="1" ht="89.25" customHeight="1">
      <c r="A197" s="6"/>
      <c r="B197" s="6"/>
      <c r="C197" s="16"/>
      <c r="D197" s="17"/>
      <c r="E197" s="6"/>
      <c r="F197" s="19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</row>
    <row r="198" spans="1:25" s="20" customFormat="1" ht="89.25" customHeight="1">
      <c r="A198" s="6"/>
      <c r="B198" s="6"/>
      <c r="C198" s="16"/>
      <c r="D198" s="17"/>
      <c r="E198" s="6"/>
      <c r="F198" s="19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</row>
    <row r="199" spans="1:25" s="20" customFormat="1" ht="89.25" customHeight="1">
      <c r="A199" s="6"/>
      <c r="B199" s="6"/>
      <c r="C199" s="16"/>
      <c r="D199" s="17"/>
      <c r="E199" s="6"/>
      <c r="F199" s="19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</row>
    <row r="200" spans="1:25" s="20" customFormat="1" ht="89.25" customHeight="1">
      <c r="A200" s="6"/>
      <c r="B200" s="6"/>
      <c r="C200" s="16"/>
      <c r="D200" s="17"/>
      <c r="E200" s="6"/>
      <c r="F200" s="19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</row>
    <row r="201" spans="1:25" s="20" customFormat="1" ht="89.25" customHeight="1">
      <c r="A201" s="6"/>
      <c r="B201" s="6"/>
      <c r="C201" s="16"/>
      <c r="D201" s="17"/>
      <c r="E201" s="6"/>
      <c r="F201" s="19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</row>
    <row r="202" spans="1:25" s="20" customFormat="1" ht="89.25" customHeight="1">
      <c r="A202" s="6"/>
      <c r="B202" s="6"/>
      <c r="C202" s="16"/>
      <c r="D202" s="17"/>
      <c r="E202" s="6"/>
      <c r="F202" s="19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</row>
    <row r="203" spans="1:25" s="20" customFormat="1" ht="89.25" customHeight="1">
      <c r="A203" s="6"/>
      <c r="B203" s="6"/>
      <c r="C203" s="16"/>
      <c r="D203" s="17"/>
      <c r="E203" s="6"/>
      <c r="F203" s="19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</row>
    <row r="204" spans="1:25" s="20" customFormat="1" ht="89.25" customHeight="1">
      <c r="A204" s="6"/>
      <c r="B204" s="6"/>
      <c r="C204" s="16"/>
      <c r="D204" s="17"/>
      <c r="E204" s="6"/>
      <c r="F204" s="19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</row>
    <row r="205" spans="1:25" s="20" customFormat="1" ht="89.25" customHeight="1">
      <c r="A205" s="6"/>
      <c r="B205" s="6"/>
      <c r="C205" s="16"/>
      <c r="D205" s="17"/>
      <c r="E205" s="6"/>
      <c r="F205" s="19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</row>
    <row r="206" spans="1:25" s="20" customFormat="1" ht="89.25" customHeight="1">
      <c r="A206" s="6"/>
      <c r="B206" s="6"/>
      <c r="C206" s="16"/>
      <c r="D206" s="17"/>
      <c r="E206" s="6"/>
      <c r="F206" s="19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</row>
    <row r="207" spans="1:25" s="20" customFormat="1" ht="89.25" customHeight="1">
      <c r="A207" s="6"/>
      <c r="B207" s="6"/>
      <c r="C207" s="16"/>
      <c r="D207" s="17"/>
      <c r="E207" s="6"/>
      <c r="F207" s="19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</row>
    <row r="208" spans="1:25" s="20" customFormat="1" ht="89.25" customHeight="1">
      <c r="A208" s="6"/>
      <c r="B208" s="6"/>
      <c r="C208" s="16"/>
      <c r="D208" s="17"/>
      <c r="E208" s="6"/>
      <c r="F208" s="19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</row>
    <row r="209" spans="1:25" s="20" customFormat="1" ht="89.25" customHeight="1">
      <c r="A209" s="6"/>
      <c r="B209" s="6"/>
      <c r="C209" s="16"/>
      <c r="D209" s="17"/>
      <c r="E209" s="6"/>
      <c r="F209" s="19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</row>
    <row r="210" spans="1:25" s="20" customFormat="1" ht="89.25" customHeight="1">
      <c r="A210" s="6"/>
      <c r="B210" s="6"/>
      <c r="C210" s="16"/>
      <c r="D210" s="17"/>
      <c r="E210" s="6"/>
      <c r="F210" s="19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</row>
    <row r="211" spans="1:25" s="20" customFormat="1" ht="89.25" customHeight="1">
      <c r="A211" s="6"/>
      <c r="B211" s="6"/>
      <c r="C211" s="16"/>
      <c r="D211" s="17"/>
      <c r="E211" s="6"/>
      <c r="F211" s="19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</row>
    <row r="212" spans="1:25" s="20" customFormat="1" ht="89.25" customHeight="1">
      <c r="A212" s="6"/>
      <c r="B212" s="6"/>
      <c r="C212" s="16"/>
      <c r="D212" s="17"/>
      <c r="E212" s="6"/>
      <c r="F212" s="19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</row>
    <row r="213" spans="1:25" s="20" customFormat="1" ht="89.25" customHeight="1">
      <c r="A213" s="6"/>
      <c r="B213" s="6"/>
      <c r="C213" s="16"/>
      <c r="D213" s="17"/>
      <c r="E213" s="6"/>
      <c r="F213" s="19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</row>
    <row r="214" spans="1:25" s="20" customFormat="1" ht="89.25" customHeight="1">
      <c r="A214" s="6"/>
      <c r="B214" s="6"/>
      <c r="C214" s="16"/>
      <c r="D214" s="17"/>
      <c r="E214" s="6"/>
      <c r="F214" s="19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</row>
    <row r="215" spans="1:25" s="20" customFormat="1" ht="89.25" customHeight="1">
      <c r="A215" s="6"/>
      <c r="B215" s="6"/>
      <c r="C215" s="16"/>
      <c r="D215" s="17"/>
      <c r="E215" s="6"/>
      <c r="F215" s="19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</row>
    <row r="216" spans="1:25" s="20" customFormat="1" ht="89.25" customHeight="1">
      <c r="A216" s="6"/>
      <c r="B216" s="6"/>
      <c r="C216" s="16"/>
      <c r="D216" s="17"/>
      <c r="E216" s="6"/>
      <c r="F216" s="19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</row>
    <row r="217" spans="1:25" s="20" customFormat="1" ht="89.25" customHeight="1">
      <c r="A217" s="6"/>
      <c r="B217" s="6"/>
      <c r="C217" s="16"/>
      <c r="D217" s="17"/>
      <c r="E217" s="6"/>
      <c r="F217" s="19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</row>
    <row r="218" spans="1:25" s="20" customFormat="1" ht="89.25" customHeight="1">
      <c r="A218" s="6"/>
      <c r="B218" s="6"/>
      <c r="C218" s="16"/>
      <c r="D218" s="17"/>
      <c r="E218" s="6"/>
      <c r="F218" s="19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</row>
    <row r="219" spans="1:25" s="20" customFormat="1" ht="89.25" customHeight="1">
      <c r="A219" s="6"/>
      <c r="B219" s="6"/>
      <c r="C219" s="16"/>
      <c r="D219" s="17"/>
      <c r="E219" s="6"/>
      <c r="F219" s="19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</row>
    <row r="220" spans="1:25" s="20" customFormat="1" ht="89.25" customHeight="1">
      <c r="A220" s="6"/>
      <c r="B220" s="6"/>
      <c r="C220" s="16"/>
      <c r="D220" s="17"/>
      <c r="E220" s="6"/>
      <c r="F220" s="19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</row>
    <row r="221" spans="1:25" s="20" customFormat="1" ht="89.25" customHeight="1">
      <c r="A221" s="6"/>
      <c r="B221" s="6"/>
      <c r="C221" s="16"/>
      <c r="D221" s="17"/>
      <c r="E221" s="6"/>
      <c r="F221" s="19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</row>
    <row r="222" spans="1:25" s="20" customFormat="1" ht="89.25" customHeight="1">
      <c r="A222" s="6"/>
      <c r="B222" s="6"/>
      <c r="C222" s="16"/>
      <c r="D222" s="17"/>
      <c r="E222" s="6"/>
      <c r="F222" s="19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</row>
    <row r="223" spans="1:25" s="20" customFormat="1" ht="89.25" customHeight="1">
      <c r="A223" s="6"/>
      <c r="B223" s="6"/>
      <c r="C223" s="16"/>
      <c r="D223" s="17"/>
      <c r="E223" s="6"/>
      <c r="F223" s="19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</row>
    <row r="224" spans="1:25" s="20" customFormat="1" ht="89.25" customHeight="1">
      <c r="A224" s="6"/>
      <c r="B224" s="6"/>
      <c r="C224" s="16"/>
      <c r="D224" s="17"/>
      <c r="E224" s="6"/>
      <c r="F224" s="19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</row>
    <row r="225" spans="1:25" s="20" customFormat="1" ht="89.25" customHeight="1">
      <c r="A225" s="6"/>
      <c r="B225" s="6"/>
      <c r="C225" s="16"/>
      <c r="D225" s="17"/>
      <c r="E225" s="6"/>
      <c r="F225" s="19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</row>
    <row r="226" spans="1:25" s="20" customFormat="1" ht="89.25" customHeight="1">
      <c r="A226" s="6"/>
      <c r="B226" s="6"/>
      <c r="C226" s="16"/>
      <c r="D226" s="17"/>
      <c r="E226" s="6"/>
      <c r="F226" s="19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</row>
    <row r="227" spans="1:25" s="20" customFormat="1" ht="89.25" customHeight="1">
      <c r="A227" s="6"/>
      <c r="B227" s="6"/>
      <c r="C227" s="16"/>
      <c r="D227" s="17"/>
      <c r="E227" s="6"/>
      <c r="F227" s="19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</row>
    <row r="228" spans="1:25" s="20" customFormat="1" ht="89.25" customHeight="1">
      <c r="A228" s="6"/>
      <c r="B228" s="6"/>
      <c r="C228" s="16"/>
      <c r="D228" s="17"/>
      <c r="E228" s="6"/>
      <c r="F228" s="19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</row>
    <row r="229" spans="1:25" s="20" customFormat="1" ht="89.25" customHeight="1">
      <c r="A229" s="6"/>
      <c r="B229" s="6"/>
      <c r="C229" s="16"/>
      <c r="D229" s="17"/>
      <c r="E229" s="6"/>
      <c r="F229" s="19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</row>
    <row r="230" spans="1:25" s="20" customFormat="1" ht="89.25" customHeight="1">
      <c r="A230" s="6"/>
      <c r="B230" s="6"/>
      <c r="C230" s="16"/>
      <c r="D230" s="17"/>
      <c r="E230" s="6"/>
      <c r="F230" s="19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</row>
    <row r="231" spans="1:25" s="20" customFormat="1" ht="89.25" customHeight="1">
      <c r="A231" s="6"/>
      <c r="B231" s="6"/>
      <c r="C231" s="16"/>
      <c r="D231" s="17"/>
      <c r="E231" s="6"/>
      <c r="F231" s="19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</row>
    <row r="232" spans="1:25" s="20" customFormat="1" ht="89.25" customHeight="1">
      <c r="A232" s="6"/>
      <c r="B232" s="6"/>
      <c r="C232" s="16"/>
      <c r="D232" s="17"/>
      <c r="E232" s="6"/>
      <c r="F232" s="19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</row>
    <row r="233" spans="1:25" s="20" customFormat="1" ht="89.25" customHeight="1">
      <c r="A233" s="6"/>
      <c r="B233" s="6"/>
      <c r="C233" s="16"/>
      <c r="D233" s="17"/>
      <c r="E233" s="6"/>
      <c r="F233" s="19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</row>
    <row r="234" spans="1:25" s="20" customFormat="1" ht="89.25" customHeight="1">
      <c r="A234" s="6"/>
      <c r="B234" s="6"/>
      <c r="C234" s="16"/>
      <c r="D234" s="17"/>
      <c r="E234" s="6"/>
      <c r="F234" s="19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</row>
    <row r="235" spans="1:25" s="20" customFormat="1" ht="89.25" customHeight="1">
      <c r="A235" s="6"/>
      <c r="B235" s="6"/>
      <c r="C235" s="16"/>
      <c r="D235" s="17"/>
      <c r="E235" s="6"/>
      <c r="F235" s="19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</row>
    <row r="236" spans="1:25" s="20" customFormat="1" ht="89.25" customHeight="1">
      <c r="A236" s="6"/>
      <c r="B236" s="6"/>
      <c r="C236" s="16"/>
      <c r="D236" s="17"/>
      <c r="E236" s="6"/>
      <c r="F236" s="19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</row>
    <row r="237" spans="1:25" s="20" customFormat="1" ht="89.25" customHeight="1">
      <c r="A237" s="6"/>
      <c r="B237" s="6"/>
      <c r="C237" s="16"/>
      <c r="D237" s="17"/>
      <c r="E237" s="6"/>
      <c r="F237" s="19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</row>
    <row r="238" spans="1:25" s="20" customFormat="1" ht="89.25" customHeight="1">
      <c r="A238" s="6"/>
      <c r="B238" s="6"/>
      <c r="C238" s="16"/>
      <c r="D238" s="17"/>
      <c r="E238" s="6"/>
      <c r="F238" s="19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</row>
    <row r="239" spans="1:25" s="20" customFormat="1" ht="89.25" customHeight="1">
      <c r="A239" s="6"/>
      <c r="B239" s="6"/>
      <c r="C239" s="16"/>
      <c r="D239" s="17"/>
      <c r="E239" s="6"/>
      <c r="F239" s="19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</row>
  </sheetData>
  <mergeCells count="22">
    <mergeCell ref="D54:E54"/>
    <mergeCell ref="A51:B51"/>
    <mergeCell ref="A14:D14"/>
    <mergeCell ref="A18:D18"/>
    <mergeCell ref="A16:D16"/>
    <mergeCell ref="A17:D17"/>
    <mergeCell ref="A53:B53"/>
    <mergeCell ref="A52:B52"/>
    <mergeCell ref="D53:E53"/>
    <mergeCell ref="D52:E52"/>
    <mergeCell ref="A1:F3"/>
    <mergeCell ref="A5:F5"/>
    <mergeCell ref="A6:F6"/>
    <mergeCell ref="A7:E7"/>
    <mergeCell ref="A9:D9"/>
    <mergeCell ref="A4:F4"/>
    <mergeCell ref="A10:D10"/>
    <mergeCell ref="A13:D13"/>
    <mergeCell ref="A12:D12"/>
    <mergeCell ref="A11:D11"/>
    <mergeCell ref="D51:E51"/>
    <mergeCell ref="A15:D15"/>
  </mergeCells>
  <printOptions horizontalCentered="1" verticalCentered="1"/>
  <pageMargins left="0.59055118110236227" right="0.59055118110236227" top="0.59055118110236227" bottom="0.59055118110236227" header="0.31496062992125984" footer="0.31496062992125984"/>
  <pageSetup paperSize="9" scale="45" orientation="landscape" r:id="rId1"/>
  <drawing r:id="rId2"/>
  <legacyDrawing r:id="rId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Hoja30">
    <tabColor rgb="FF00B0F0"/>
    <pageSetUpPr fitToPage="1"/>
  </sheetPr>
  <dimension ref="A1:AG240"/>
  <sheetViews>
    <sheetView showGridLines="0" topLeftCell="A25" zoomScale="80" zoomScaleNormal="80" workbookViewId="0">
      <selection activeCell="F43" sqref="F43"/>
    </sheetView>
  </sheetViews>
  <sheetFormatPr baseColWidth="10" defaultRowHeight="89.25" customHeight="1"/>
  <cols>
    <col min="1" max="1" width="25.28515625" style="6" customWidth="1"/>
    <col min="2" max="2" width="27.7109375" style="6" customWidth="1"/>
    <col min="3" max="3" width="28" style="16" customWidth="1"/>
    <col min="4" max="4" width="25.28515625" style="17" customWidth="1"/>
    <col min="5" max="5" width="19.42578125" style="6" customWidth="1"/>
    <col min="6" max="6" width="21.7109375" style="19" bestFit="1" customWidth="1"/>
    <col min="7" max="7" width="19.140625" style="5" bestFit="1" customWidth="1"/>
    <col min="8" max="8" width="18.42578125" style="5" customWidth="1"/>
    <col min="9" max="10" width="18.7109375" style="5" customWidth="1"/>
    <col min="11" max="25" width="11.42578125" style="5"/>
    <col min="26" max="16384" width="11.42578125" style="6"/>
  </cols>
  <sheetData>
    <row r="1" spans="1:25" s="4" customFormat="1" ht="33.75" customHeight="1">
      <c r="A1" s="1339" t="s">
        <v>763</v>
      </c>
      <c r="B1" s="1339"/>
      <c r="C1" s="1339"/>
      <c r="D1" s="1339"/>
      <c r="E1" s="1339"/>
      <c r="F1" s="1339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spans="1:25" s="4" customFormat="1" ht="33.75" customHeight="1">
      <c r="A2" s="1339"/>
      <c r="B2" s="1339"/>
      <c r="C2" s="1339"/>
      <c r="D2" s="1339"/>
      <c r="E2" s="1339"/>
      <c r="F2" s="1339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 s="4" customFormat="1" ht="15.75">
      <c r="A3" s="1339"/>
      <c r="B3" s="1339"/>
      <c r="C3" s="1339"/>
      <c r="D3" s="1339"/>
      <c r="E3" s="1339"/>
      <c r="F3" s="1339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</row>
    <row r="4" spans="1:25" s="4" customFormat="1" ht="15.75">
      <c r="A4" s="1339" t="str">
        <f>+'Anexo 18 Gramalote'!A4:F4</f>
        <v>AL 31 DE JULIO DE 2023</v>
      </c>
      <c r="B4" s="1339"/>
      <c r="C4" s="1339"/>
      <c r="D4" s="1339"/>
      <c r="E4" s="1339"/>
      <c r="F4" s="1339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</row>
    <row r="5" spans="1:25" ht="30" customHeight="1">
      <c r="A5" s="1339" t="s">
        <v>205</v>
      </c>
      <c r="B5" s="1339"/>
      <c r="C5" s="1339"/>
      <c r="D5" s="1339"/>
      <c r="E5" s="1339"/>
      <c r="F5" s="1339"/>
    </row>
    <row r="6" spans="1:25" ht="30" customHeight="1" thickBot="1">
      <c r="A6" s="1339" t="s">
        <v>204</v>
      </c>
      <c r="B6" s="1339"/>
      <c r="C6" s="1339"/>
      <c r="D6" s="1339"/>
      <c r="E6" s="1339"/>
      <c r="F6" s="1339"/>
    </row>
    <row r="7" spans="1:25" ht="30" customHeight="1" thickBot="1">
      <c r="A7" s="1346" t="s">
        <v>1</v>
      </c>
      <c r="B7" s="1347"/>
      <c r="C7" s="1347"/>
      <c r="D7" s="1347"/>
      <c r="E7" s="1347"/>
      <c r="F7" s="7" t="s">
        <v>2</v>
      </c>
    </row>
    <row r="8" spans="1:25" ht="18.600000000000001" customHeight="1">
      <c r="A8" s="8"/>
      <c r="B8" s="9"/>
      <c r="C8" s="9"/>
      <c r="D8" s="9"/>
      <c r="E8" s="10"/>
      <c r="F8" s="11"/>
      <c r="I8" s="12"/>
      <c r="J8" s="12"/>
    </row>
    <row r="9" spans="1:25" ht="18.600000000000001" customHeight="1">
      <c r="A9" s="1342" t="str">
        <f>+'Anexo 18 Gramalote'!A9:D9</f>
        <v>TOTAL RENDIMIENTOS GENERADOS POR LOS RECURSOS DEL FONDO DE JULIO DE 2023</v>
      </c>
      <c r="B9" s="1343"/>
      <c r="C9" s="1343"/>
      <c r="D9" s="1343"/>
      <c r="E9" s="242"/>
      <c r="F9" s="243">
        <f>SUM(E10:E41)</f>
        <v>833139.63000000059</v>
      </c>
      <c r="I9" s="13"/>
      <c r="J9" s="12"/>
    </row>
    <row r="10" spans="1:25" ht="18.600000000000001" customHeight="1">
      <c r="A10" s="1333" t="s">
        <v>213</v>
      </c>
      <c r="B10" s="1334"/>
      <c r="C10" s="1334"/>
      <c r="D10" s="1334"/>
      <c r="E10" s="244">
        <v>0</v>
      </c>
      <c r="F10" s="245"/>
    </row>
    <row r="11" spans="1:25" ht="18.600000000000001" customHeight="1">
      <c r="A11" s="1333" t="s">
        <v>212</v>
      </c>
      <c r="B11" s="1334"/>
      <c r="C11" s="1334"/>
      <c r="D11" s="1334"/>
      <c r="E11" s="244">
        <v>0</v>
      </c>
      <c r="F11" s="245"/>
    </row>
    <row r="12" spans="1:25" ht="18.600000000000001" customHeight="1">
      <c r="A12" s="1333" t="s">
        <v>223</v>
      </c>
      <c r="B12" s="1334"/>
      <c r="C12" s="1334"/>
      <c r="D12" s="1334"/>
      <c r="E12" s="261">
        <v>43312.5</v>
      </c>
      <c r="F12" s="262"/>
    </row>
    <row r="13" spans="1:25" ht="18.600000000000001" customHeight="1">
      <c r="A13" s="1333" t="s">
        <v>231</v>
      </c>
      <c r="B13" s="1334"/>
      <c r="C13" s="1334"/>
      <c r="D13" s="1334"/>
      <c r="E13" s="261">
        <v>71842.39</v>
      </c>
      <c r="F13" s="262"/>
    </row>
    <row r="14" spans="1:25" ht="18.600000000000001" customHeight="1">
      <c r="A14" s="1333" t="s">
        <v>244</v>
      </c>
      <c r="B14" s="1334"/>
      <c r="C14" s="1334"/>
      <c r="D14" s="1334"/>
      <c r="E14" s="261">
        <v>82009.440000000002</v>
      </c>
      <c r="F14" s="262"/>
    </row>
    <row r="15" spans="1:25" ht="15.75" customHeight="1">
      <c r="A15" s="1333" t="s">
        <v>272</v>
      </c>
      <c r="B15" s="1334"/>
      <c r="C15" s="1334"/>
      <c r="D15" s="1334"/>
      <c r="E15" s="261">
        <v>85016.75</v>
      </c>
      <c r="F15" s="262"/>
    </row>
    <row r="16" spans="1:25" ht="18.600000000000001" customHeight="1">
      <c r="A16" s="1333" t="s">
        <v>276</v>
      </c>
      <c r="B16" s="1334"/>
      <c r="C16" s="1334"/>
      <c r="D16" s="1334"/>
      <c r="E16" s="261">
        <v>82023.13</v>
      </c>
      <c r="F16" s="262"/>
    </row>
    <row r="17" spans="1:7" ht="18.600000000000001" customHeight="1">
      <c r="A17" s="1333" t="s">
        <v>294</v>
      </c>
      <c r="B17" s="1334"/>
      <c r="C17" s="1334"/>
      <c r="D17" s="1334"/>
      <c r="E17" s="261">
        <v>85030.95</v>
      </c>
      <c r="F17" s="262"/>
    </row>
    <row r="18" spans="1:7" ht="18.600000000000001" customHeight="1">
      <c r="A18" s="1333" t="s">
        <v>307</v>
      </c>
      <c r="B18" s="1334"/>
      <c r="C18" s="1334"/>
      <c r="D18" s="1334"/>
      <c r="E18" s="261">
        <v>85038.18</v>
      </c>
      <c r="F18" s="262"/>
    </row>
    <row r="19" spans="1:7" ht="18.600000000000001" customHeight="1">
      <c r="A19" s="1117" t="s">
        <v>365</v>
      </c>
      <c r="B19" s="1118"/>
      <c r="C19" s="1118"/>
      <c r="D19" s="1118"/>
      <c r="E19" s="261">
        <f>78954.34+1</f>
        <v>78955.34</v>
      </c>
      <c r="F19" s="262"/>
      <c r="G19" s="5" t="str">
        <f>+"+1"</f>
        <v>+1</v>
      </c>
    </row>
    <row r="20" spans="1:7" ht="18.600000000000001" customHeight="1">
      <c r="A20" s="1117" t="s">
        <v>427</v>
      </c>
      <c r="B20" s="1118"/>
      <c r="C20" s="1118"/>
      <c r="D20" s="1118"/>
      <c r="E20" s="261">
        <v>78647.12</v>
      </c>
      <c r="F20" s="262"/>
    </row>
    <row r="21" spans="1:7" ht="18.600000000000001" customHeight="1">
      <c r="A21" s="1117" t="s">
        <v>462</v>
      </c>
      <c r="B21" s="1118"/>
      <c r="C21" s="1118"/>
      <c r="D21" s="1118"/>
      <c r="E21" s="261">
        <v>75877.789999999994</v>
      </c>
      <c r="F21" s="262"/>
    </row>
    <row r="22" spans="1:7" ht="18.600000000000001" customHeight="1">
      <c r="A22" s="1117" t="s">
        <v>494</v>
      </c>
      <c r="B22" s="1118"/>
      <c r="C22" s="1118"/>
      <c r="D22" s="1118"/>
      <c r="E22" s="261">
        <v>43775.81</v>
      </c>
      <c r="F22" s="262"/>
    </row>
    <row r="23" spans="1:7" ht="18.600000000000001" customHeight="1">
      <c r="A23" s="1117" t="s">
        <v>501</v>
      </c>
      <c r="B23" s="1118"/>
      <c r="C23" s="1118"/>
      <c r="D23" s="1118"/>
      <c r="E23" s="261">
        <v>10.17</v>
      </c>
      <c r="F23" s="262"/>
    </row>
    <row r="24" spans="1:7" ht="18.600000000000001" customHeight="1">
      <c r="A24" s="1117" t="s">
        <v>515</v>
      </c>
      <c r="B24" s="1118"/>
      <c r="C24" s="1118"/>
      <c r="D24" s="1118"/>
      <c r="E24" s="261">
        <v>9.2100000000000009</v>
      </c>
      <c r="F24" s="262"/>
    </row>
    <row r="25" spans="1:7" ht="18.600000000000001" customHeight="1">
      <c r="A25" s="1117" t="s">
        <v>520</v>
      </c>
      <c r="B25" s="1118"/>
      <c r="C25" s="1118"/>
      <c r="D25" s="1118"/>
      <c r="E25" s="261">
        <v>10.17</v>
      </c>
      <c r="F25" s="262"/>
    </row>
    <row r="26" spans="1:7" ht="18.600000000000001" customHeight="1">
      <c r="A26" s="1117" t="s">
        <v>537</v>
      </c>
      <c r="B26" s="1118"/>
      <c r="C26" s="1118"/>
      <c r="D26" s="1118"/>
      <c r="E26" s="261">
        <f>9.81-1</f>
        <v>8.81</v>
      </c>
      <c r="F26" s="262"/>
      <c r="G26" s="785" t="str">
        <f>"-1"</f>
        <v>-1</v>
      </c>
    </row>
    <row r="27" spans="1:7" ht="18.600000000000001" customHeight="1">
      <c r="A27" s="1117" t="s">
        <v>567</v>
      </c>
      <c r="B27" s="1118"/>
      <c r="C27" s="1118"/>
      <c r="D27" s="1118"/>
      <c r="E27" s="261">
        <v>10.17</v>
      </c>
      <c r="F27" s="262"/>
    </row>
    <row r="28" spans="1:7" ht="18.600000000000001" customHeight="1">
      <c r="A28" s="1117" t="s">
        <v>577</v>
      </c>
      <c r="B28" s="1118"/>
      <c r="C28" s="1118"/>
      <c r="D28" s="1118"/>
      <c r="E28" s="261">
        <v>9.81</v>
      </c>
      <c r="F28" s="262"/>
    </row>
    <row r="29" spans="1:7" ht="18.600000000000001" customHeight="1">
      <c r="A29" s="1117" t="s">
        <v>625</v>
      </c>
      <c r="B29" s="1118"/>
      <c r="C29" s="1118"/>
      <c r="D29" s="1118"/>
      <c r="E29" s="261">
        <v>10.17</v>
      </c>
      <c r="F29" s="262"/>
    </row>
    <row r="30" spans="1:7" ht="18.600000000000001" customHeight="1">
      <c r="A30" s="1117" t="s">
        <v>720</v>
      </c>
      <c r="B30" s="1118"/>
      <c r="C30" s="1118"/>
      <c r="D30" s="1118"/>
      <c r="E30" s="261">
        <v>10.17</v>
      </c>
      <c r="F30" s="262"/>
    </row>
    <row r="31" spans="1:7" ht="18.600000000000001" customHeight="1">
      <c r="A31" s="1117" t="s">
        <v>647</v>
      </c>
      <c r="B31" s="1118"/>
      <c r="C31" s="1118"/>
      <c r="D31" s="1118"/>
      <c r="E31" s="261">
        <v>9.81</v>
      </c>
      <c r="F31" s="262"/>
    </row>
    <row r="32" spans="1:7" ht="18.600000000000001" customHeight="1">
      <c r="A32" s="8" t="s">
        <v>655</v>
      </c>
      <c r="B32" s="1118"/>
      <c r="C32" s="1118"/>
      <c r="D32" s="1118"/>
      <c r="E32" s="261">
        <v>10.17</v>
      </c>
      <c r="F32" s="262"/>
    </row>
    <row r="33" spans="1:33" ht="18.600000000000001" customHeight="1">
      <c r="A33" s="8" t="s">
        <v>665</v>
      </c>
      <c r="B33" s="1118"/>
      <c r="C33" s="1118"/>
      <c r="D33" s="1118"/>
      <c r="E33" s="261">
        <v>2187.65</v>
      </c>
      <c r="F33" s="262"/>
    </row>
    <row r="34" spans="1:33" ht="18.600000000000001" customHeight="1">
      <c r="A34" s="8" t="s">
        <v>677</v>
      </c>
      <c r="B34" s="1118"/>
      <c r="C34" s="1118"/>
      <c r="D34" s="1118"/>
      <c r="E34" s="261">
        <v>7535.41</v>
      </c>
      <c r="F34" s="262"/>
    </row>
    <row r="35" spans="1:33" ht="18.600000000000001" customHeight="1">
      <c r="A35" s="8" t="s">
        <v>687</v>
      </c>
      <c r="B35" s="1118"/>
      <c r="C35" s="1118"/>
      <c r="D35" s="1118"/>
      <c r="E35" s="261">
        <v>7293.31</v>
      </c>
      <c r="F35" s="262"/>
    </row>
    <row r="36" spans="1:33" ht="18.600000000000001" customHeight="1">
      <c r="A36" s="8" t="s">
        <v>720</v>
      </c>
      <c r="B36" s="1118"/>
      <c r="C36" s="1118"/>
      <c r="D36" s="1118"/>
      <c r="E36" s="261">
        <v>10.53</v>
      </c>
      <c r="F36" s="262"/>
    </row>
    <row r="37" spans="1:33" ht="18.600000000000001" customHeight="1">
      <c r="A37" s="8" t="s">
        <v>729</v>
      </c>
      <c r="B37" s="1118"/>
      <c r="C37" s="1118"/>
      <c r="D37" s="1118"/>
      <c r="E37" s="261">
        <v>897</v>
      </c>
      <c r="F37" s="262"/>
    </row>
    <row r="38" spans="1:33" ht="18.600000000000001" customHeight="1">
      <c r="A38" s="8" t="s">
        <v>748</v>
      </c>
      <c r="B38" s="1118"/>
      <c r="C38" s="1118"/>
      <c r="D38" s="1118"/>
      <c r="E38" s="261">
        <v>873.69</v>
      </c>
      <c r="F38" s="262"/>
    </row>
    <row r="39" spans="1:33" ht="18.600000000000001" customHeight="1">
      <c r="A39" s="1119" t="str">
        <f>+'Anexo 18 Gramalote'!A39</f>
        <v>Rendimientos financieros AL 31 DE MAYO DE 2023</v>
      </c>
      <c r="B39" s="1118"/>
      <c r="C39" s="1118"/>
      <c r="D39" s="1118"/>
      <c r="E39" s="261">
        <v>908.61</v>
      </c>
      <c r="F39" s="262"/>
      <c r="G39" s="785">
        <f>+SUM(E10:E39)</f>
        <v>831334.26000000059</v>
      </c>
    </row>
    <row r="40" spans="1:33" ht="18.600000000000001" customHeight="1">
      <c r="A40" s="1119" t="str">
        <f>+'Anexo 18 Gramalote'!A40</f>
        <v>Rendimientos financieros AL 30 DE JUNIO DE 2023</v>
      </c>
      <c r="B40" s="1118"/>
      <c r="C40" s="1118"/>
      <c r="D40" s="1118"/>
      <c r="E40" s="261">
        <v>885</v>
      </c>
      <c r="F40" s="262"/>
    </row>
    <row r="41" spans="1:33" ht="18.600000000000001" customHeight="1">
      <c r="A41" s="1119" t="str">
        <f>+'Anexo 18 Gramalote'!A41</f>
        <v>Rendimientos financieros AL 31 DE JULIO DE 2023</v>
      </c>
      <c r="B41" s="1129"/>
      <c r="C41" s="1129"/>
      <c r="D41" s="1129"/>
      <c r="E41" s="261">
        <v>920.37</v>
      </c>
      <c r="F41" s="262"/>
    </row>
    <row r="42" spans="1:33" ht="18.600000000000001" customHeight="1">
      <c r="A42" s="268" t="s">
        <v>495</v>
      </c>
      <c r="B42" s="1118"/>
      <c r="C42" s="1118"/>
      <c r="D42" s="1118"/>
      <c r="E42" s="261"/>
      <c r="F42" s="243">
        <f>-E43</f>
        <v>-691875</v>
      </c>
      <c r="G42" s="5">
        <v>613228.68000000005</v>
      </c>
    </row>
    <row r="43" spans="1:33" ht="18.600000000000001" customHeight="1">
      <c r="A43" s="1117" t="s">
        <v>725</v>
      </c>
      <c r="B43" s="1118"/>
      <c r="C43" s="1118"/>
      <c r="D43" s="1118"/>
      <c r="E43" s="261">
        <f>SUM(E10:E20)-0.8</f>
        <v>691875</v>
      </c>
      <c r="F43" s="262"/>
    </row>
    <row r="44" spans="1:33" ht="18.600000000000001" customHeight="1">
      <c r="A44" s="8"/>
      <c r="B44" s="1118"/>
      <c r="C44" s="1118"/>
      <c r="D44" s="1118"/>
      <c r="E44" s="261"/>
      <c r="F44" s="262"/>
    </row>
    <row r="45" spans="1:33" s="5" customFormat="1" ht="18.600000000000001" customHeight="1">
      <c r="A45" s="268"/>
      <c r="B45" s="269"/>
      <c r="C45" s="269"/>
      <c r="D45" s="269"/>
      <c r="E45" s="246"/>
      <c r="F45" s="247"/>
      <c r="G45" s="776" t="s">
        <v>535</v>
      </c>
      <c r="H45" s="775" t="s">
        <v>536</v>
      </c>
      <c r="I45" s="775" t="s">
        <v>516</v>
      </c>
      <c r="J45" s="742" t="s">
        <v>65</v>
      </c>
      <c r="Z45" s="6"/>
      <c r="AA45" s="6"/>
      <c r="AB45" s="6"/>
      <c r="AC45" s="6"/>
      <c r="AD45" s="6"/>
      <c r="AE45" s="6"/>
      <c r="AF45" s="6"/>
      <c r="AG45" s="6"/>
    </row>
    <row r="46" spans="1:33" s="5" customFormat="1" ht="24.75" customHeight="1" thickBot="1">
      <c r="A46" s="14" t="str">
        <f>+'Anexo 18 Gramalote'!A45</f>
        <v>TOTAL RENDIMIENTOS DISPONIBLES AL 31 DE JULIO DE 2023</v>
      </c>
      <c r="B46" s="15"/>
      <c r="C46" s="15"/>
      <c r="D46" s="15"/>
      <c r="E46" s="248"/>
      <c r="F46" s="249">
        <f>SUM(F8:F42)</f>
        <v>141264.63000000059</v>
      </c>
      <c r="G46" s="5">
        <f>+F46+Adhesiones!H76</f>
        <v>141264.63000000059</v>
      </c>
      <c r="H46" s="741">
        <f>+G46-F46</f>
        <v>0</v>
      </c>
      <c r="I46" s="5">
        <v>0</v>
      </c>
      <c r="J46" s="5">
        <f>+H46+I46</f>
        <v>0</v>
      </c>
      <c r="Z46" s="6"/>
      <c r="AA46" s="6"/>
      <c r="AB46" s="6"/>
      <c r="AC46" s="6"/>
      <c r="AD46" s="6"/>
      <c r="AE46" s="6"/>
      <c r="AF46" s="6"/>
      <c r="AG46" s="6"/>
    </row>
    <row r="47" spans="1:33" s="20" customFormat="1" ht="15.75">
      <c r="A47" s="6"/>
      <c r="B47" s="6"/>
      <c r="C47" s="16"/>
      <c r="D47" s="17"/>
      <c r="E47" s="18"/>
      <c r="F47" s="19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</row>
    <row r="48" spans="1:33" s="20" customFormat="1" ht="15.75">
      <c r="A48" s="6"/>
      <c r="B48" s="6"/>
      <c r="C48" s="16"/>
      <c r="D48" s="17"/>
      <c r="E48" s="21"/>
      <c r="F48" s="19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</row>
    <row r="49" spans="1:25" s="20" customFormat="1" ht="15.75">
      <c r="A49" s="6"/>
      <c r="B49" s="6"/>
      <c r="C49" s="16"/>
      <c r="D49" s="17"/>
      <c r="E49" s="22"/>
      <c r="F49" s="19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</row>
    <row r="50" spans="1:25" s="20" customFormat="1" ht="15.75">
      <c r="A50" s="6"/>
      <c r="B50" s="6"/>
      <c r="C50" s="16"/>
      <c r="D50" s="17"/>
      <c r="E50" s="22"/>
      <c r="F50" s="19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</row>
    <row r="51" spans="1:25" s="5" customFormat="1" ht="16.5" thickBot="1">
      <c r="A51" s="23"/>
      <c r="B51" s="24"/>
      <c r="C51" s="25"/>
      <c r="D51" s="131"/>
      <c r="E51" s="132"/>
      <c r="F51" s="133"/>
    </row>
    <row r="52" spans="1:25" s="5" customFormat="1" ht="15" customHeight="1">
      <c r="A52" s="1336" t="s">
        <v>135</v>
      </c>
      <c r="B52" s="1336"/>
      <c r="C52" s="1"/>
      <c r="D52" s="1336" t="s">
        <v>517</v>
      </c>
      <c r="E52" s="1336"/>
      <c r="F52" s="224"/>
    </row>
    <row r="53" spans="1:25" s="5" customFormat="1" ht="14.45" customHeight="1">
      <c r="A53" s="1332" t="s">
        <v>145</v>
      </c>
      <c r="B53" s="1332"/>
      <c r="C53" s="2"/>
      <c r="D53" s="1332" t="s">
        <v>519</v>
      </c>
      <c r="E53" s="1332"/>
      <c r="F53" s="225"/>
    </row>
    <row r="54" spans="1:25" s="5" customFormat="1" ht="15.75" customHeight="1">
      <c r="A54" s="1332" t="s">
        <v>48</v>
      </c>
      <c r="B54" s="1332"/>
      <c r="C54" s="2"/>
      <c r="D54" s="1332" t="s">
        <v>48</v>
      </c>
      <c r="E54" s="1332"/>
      <c r="F54" s="225"/>
    </row>
    <row r="55" spans="1:25" s="20" customFormat="1" ht="15.75" customHeight="1">
      <c r="A55" s="6"/>
      <c r="B55" s="6"/>
      <c r="C55" s="16"/>
      <c r="D55" s="1335" t="s">
        <v>518</v>
      </c>
      <c r="E55" s="1335"/>
      <c r="F55" s="22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</row>
    <row r="56" spans="1:25" s="20" customFormat="1" ht="15.75">
      <c r="A56" s="6"/>
      <c r="B56" s="6"/>
      <c r="C56" s="16"/>
      <c r="D56" s="17"/>
      <c r="E56" s="22"/>
      <c r="F56" s="19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</row>
    <row r="57" spans="1:25" s="20" customFormat="1" ht="15.75">
      <c r="A57" s="6"/>
      <c r="B57" s="6"/>
      <c r="C57" s="16"/>
      <c r="D57" s="17"/>
      <c r="E57" s="22"/>
      <c r="F57" s="19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</row>
    <row r="58" spans="1:25" s="20" customFormat="1" ht="15.75">
      <c r="A58" s="27"/>
      <c r="B58" s="27"/>
      <c r="C58" s="27"/>
      <c r="D58" s="27"/>
      <c r="E58" s="27"/>
      <c r="F58" s="19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</row>
    <row r="59" spans="1:25" s="5" customFormat="1" ht="15.75">
      <c r="A59" s="27"/>
      <c r="B59" s="27"/>
      <c r="C59" s="27"/>
      <c r="D59" s="27"/>
      <c r="E59" s="27"/>
      <c r="F59" s="26"/>
    </row>
    <row r="60" spans="1:25" s="5" customFormat="1" ht="15" customHeight="1">
      <c r="A60" s="27"/>
      <c r="B60" s="27"/>
      <c r="C60" s="27"/>
      <c r="D60" s="27"/>
      <c r="E60" s="27"/>
      <c r="F60" s="26"/>
    </row>
    <row r="61" spans="1:25" s="5" customFormat="1" ht="14.45" customHeight="1">
      <c r="A61" s="27"/>
      <c r="B61" s="27"/>
      <c r="C61" s="27"/>
      <c r="D61" s="27"/>
      <c r="E61" s="27"/>
      <c r="F61" s="26"/>
    </row>
    <row r="62" spans="1:25" s="5" customFormat="1" ht="14.45" customHeight="1">
      <c r="A62" s="27"/>
      <c r="B62" s="27"/>
      <c r="C62" s="27"/>
      <c r="D62" s="27"/>
      <c r="E62" s="27"/>
      <c r="F62" s="26"/>
    </row>
    <row r="63" spans="1:25" s="20" customFormat="1" ht="15.75">
      <c r="A63" s="27"/>
      <c r="B63" s="27"/>
      <c r="C63" s="27"/>
      <c r="D63" s="27"/>
      <c r="E63" s="27"/>
      <c r="F63" s="19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</row>
    <row r="64" spans="1:25" s="20" customFormat="1" ht="15.75">
      <c r="A64" s="6"/>
      <c r="B64" s="6"/>
      <c r="C64" s="16"/>
      <c r="D64" s="17"/>
      <c r="E64" s="6"/>
      <c r="F64" s="19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</row>
    <row r="65" spans="1:25" s="20" customFormat="1" ht="15.75">
      <c r="A65" s="6"/>
      <c r="B65" s="6"/>
      <c r="C65" s="16"/>
      <c r="D65" s="17"/>
      <c r="E65" s="6"/>
      <c r="F65" s="19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</row>
    <row r="66" spans="1:25" s="20" customFormat="1" ht="15.75">
      <c r="A66" s="6"/>
      <c r="B66" s="6"/>
      <c r="C66" s="16"/>
      <c r="D66" s="17"/>
      <c r="E66" s="6"/>
      <c r="F66" s="19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</row>
    <row r="67" spans="1:25" s="20" customFormat="1" ht="15.75">
      <c r="A67" s="6"/>
      <c r="B67" s="6"/>
      <c r="C67" s="16"/>
      <c r="D67" s="17"/>
      <c r="E67" s="6"/>
      <c r="F67" s="19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</row>
    <row r="68" spans="1:25" s="20" customFormat="1" ht="15.75">
      <c r="A68" s="6"/>
      <c r="B68" s="6"/>
      <c r="C68" s="16"/>
      <c r="D68" s="17"/>
      <c r="E68" s="6"/>
      <c r="F68" s="19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</row>
    <row r="69" spans="1:25" s="20" customFormat="1" ht="15.75">
      <c r="A69" s="6"/>
      <c r="B69" s="6"/>
      <c r="C69" s="16"/>
      <c r="D69" s="17"/>
      <c r="E69" s="6"/>
      <c r="F69" s="19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</row>
    <row r="70" spans="1:25" s="20" customFormat="1" ht="15.75">
      <c r="A70" s="6"/>
      <c r="B70" s="6"/>
      <c r="C70" s="16"/>
      <c r="D70" s="17"/>
      <c r="E70" s="6"/>
      <c r="F70" s="19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</row>
    <row r="71" spans="1:25" s="20" customFormat="1" ht="15.75">
      <c r="A71" s="6"/>
      <c r="B71" s="6"/>
      <c r="C71" s="16"/>
      <c r="D71" s="17"/>
      <c r="E71" s="6"/>
      <c r="F71" s="19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</row>
    <row r="72" spans="1:25" s="20" customFormat="1" ht="15.75">
      <c r="A72" s="6"/>
      <c r="B72" s="6"/>
      <c r="C72" s="16"/>
      <c r="D72" s="17"/>
      <c r="E72" s="6"/>
      <c r="F72" s="19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</row>
    <row r="73" spans="1:25" s="20" customFormat="1" ht="15.75">
      <c r="A73" s="6"/>
      <c r="B73" s="6"/>
      <c r="C73" s="16"/>
      <c r="D73" s="17"/>
      <c r="E73" s="6"/>
      <c r="F73" s="19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</row>
    <row r="74" spans="1:25" s="20" customFormat="1" ht="15.75">
      <c r="A74" s="6"/>
      <c r="B74" s="6"/>
      <c r="C74" s="16"/>
      <c r="D74" s="17"/>
      <c r="E74" s="6"/>
      <c r="F74" s="19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</row>
    <row r="75" spans="1:25" s="20" customFormat="1" ht="15.75">
      <c r="A75" s="6"/>
      <c r="B75" s="6"/>
      <c r="C75" s="16"/>
      <c r="D75" s="17"/>
      <c r="E75" s="6"/>
      <c r="F75" s="19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</row>
    <row r="76" spans="1:25" s="20" customFormat="1" ht="15.75">
      <c r="A76" s="6"/>
      <c r="B76" s="6"/>
      <c r="C76" s="16"/>
      <c r="D76" s="17"/>
      <c r="E76" s="6"/>
      <c r="F76" s="19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</row>
    <row r="77" spans="1:25" s="20" customFormat="1" ht="15.75">
      <c r="A77" s="6"/>
      <c r="B77" s="6"/>
      <c r="C77" s="16"/>
      <c r="D77" s="17"/>
      <c r="E77" s="6"/>
      <c r="F77" s="19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</row>
    <row r="78" spans="1:25" s="20" customFormat="1" ht="15.75">
      <c r="A78" s="6"/>
      <c r="B78" s="6"/>
      <c r="C78" s="16"/>
      <c r="D78" s="17"/>
      <c r="E78" s="6"/>
      <c r="F78" s="19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</row>
    <row r="79" spans="1:25" s="20" customFormat="1" ht="15.75">
      <c r="A79" s="6"/>
      <c r="B79" s="6"/>
      <c r="C79" s="16"/>
      <c r="D79" s="17"/>
      <c r="E79" s="6"/>
      <c r="F79" s="19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</row>
    <row r="80" spans="1:25" s="20" customFormat="1" ht="15.75">
      <c r="A80" s="6"/>
      <c r="B80" s="6"/>
      <c r="C80" s="16"/>
      <c r="D80" s="17"/>
      <c r="E80" s="6"/>
      <c r="F80" s="19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</row>
    <row r="81" spans="1:25" s="20" customFormat="1" ht="15.75">
      <c r="A81" s="6"/>
      <c r="B81" s="6"/>
      <c r="C81" s="16"/>
      <c r="D81" s="17"/>
      <c r="E81" s="6"/>
      <c r="F81" s="19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</row>
    <row r="82" spans="1:25" s="20" customFormat="1" ht="15.75">
      <c r="A82" s="6"/>
      <c r="B82" s="6"/>
      <c r="C82" s="16"/>
      <c r="D82" s="17"/>
      <c r="E82" s="6"/>
      <c r="F82" s="19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</row>
    <row r="83" spans="1:25" s="20" customFormat="1" ht="89.25" customHeight="1">
      <c r="A83" s="6"/>
      <c r="B83" s="6"/>
      <c r="C83" s="16"/>
      <c r="D83" s="17"/>
      <c r="E83" s="6"/>
      <c r="F83" s="19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</row>
    <row r="84" spans="1:25" s="20" customFormat="1" ht="89.25" customHeight="1">
      <c r="A84" s="6"/>
      <c r="B84" s="6"/>
      <c r="C84" s="16"/>
      <c r="D84" s="17"/>
      <c r="E84" s="6"/>
      <c r="F84" s="19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</row>
    <row r="85" spans="1:25" s="20" customFormat="1" ht="89.25" customHeight="1">
      <c r="A85" s="6"/>
      <c r="B85" s="6"/>
      <c r="C85" s="16"/>
      <c r="D85" s="17"/>
      <c r="E85" s="6"/>
      <c r="F85" s="19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</row>
    <row r="86" spans="1:25" s="20" customFormat="1" ht="89.25" customHeight="1">
      <c r="A86" s="6"/>
      <c r="B86" s="6"/>
      <c r="C86" s="16"/>
      <c r="D86" s="17"/>
      <c r="E86" s="6"/>
      <c r="F86" s="19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</row>
    <row r="87" spans="1:25" s="20" customFormat="1" ht="89.25" customHeight="1">
      <c r="A87" s="6"/>
      <c r="B87" s="6"/>
      <c r="C87" s="16"/>
      <c r="D87" s="17"/>
      <c r="E87" s="6"/>
      <c r="F87" s="19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</row>
    <row r="88" spans="1:25" s="20" customFormat="1" ht="89.25" customHeight="1">
      <c r="A88" s="6"/>
      <c r="B88" s="6"/>
      <c r="C88" s="16"/>
      <c r="D88" s="17"/>
      <c r="E88" s="6"/>
      <c r="F88" s="19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</row>
    <row r="89" spans="1:25" s="20" customFormat="1" ht="89.25" customHeight="1">
      <c r="A89" s="6"/>
      <c r="B89" s="6"/>
      <c r="C89" s="16"/>
      <c r="D89" s="17"/>
      <c r="E89" s="6"/>
      <c r="F89" s="19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</row>
    <row r="90" spans="1:25" s="20" customFormat="1" ht="89.25" customHeight="1">
      <c r="A90" s="6"/>
      <c r="B90" s="6"/>
      <c r="C90" s="16"/>
      <c r="D90" s="17"/>
      <c r="E90" s="6"/>
      <c r="F90" s="19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</row>
    <row r="91" spans="1:25" s="20" customFormat="1" ht="89.25" customHeight="1">
      <c r="A91" s="6"/>
      <c r="B91" s="6"/>
      <c r="C91" s="16"/>
      <c r="D91" s="17"/>
      <c r="E91" s="6"/>
      <c r="F91" s="19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</row>
    <row r="92" spans="1:25" s="20" customFormat="1" ht="89.25" customHeight="1">
      <c r="A92" s="6"/>
      <c r="B92" s="6"/>
      <c r="C92" s="16"/>
      <c r="D92" s="17"/>
      <c r="E92" s="6"/>
      <c r="F92" s="19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</row>
    <row r="93" spans="1:25" s="20" customFormat="1" ht="89.25" customHeight="1">
      <c r="A93" s="6"/>
      <c r="B93" s="6"/>
      <c r="C93" s="16"/>
      <c r="D93" s="17"/>
      <c r="E93" s="6"/>
      <c r="F93" s="19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</row>
    <row r="94" spans="1:25" s="20" customFormat="1" ht="89.25" customHeight="1">
      <c r="A94" s="6"/>
      <c r="B94" s="6"/>
      <c r="C94" s="16"/>
      <c r="D94" s="17"/>
      <c r="E94" s="6"/>
      <c r="F94" s="19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</row>
    <row r="95" spans="1:25" s="20" customFormat="1" ht="89.25" customHeight="1">
      <c r="A95" s="6"/>
      <c r="B95" s="6"/>
      <c r="C95" s="16"/>
      <c r="D95" s="17"/>
      <c r="E95" s="6"/>
      <c r="F95" s="19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</row>
    <row r="96" spans="1:25" s="20" customFormat="1" ht="89.25" customHeight="1">
      <c r="A96" s="6"/>
      <c r="B96" s="6"/>
      <c r="C96" s="16"/>
      <c r="D96" s="17"/>
      <c r="E96" s="6"/>
      <c r="F96" s="19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</row>
    <row r="97" spans="1:25" s="20" customFormat="1" ht="89.25" customHeight="1">
      <c r="A97" s="6"/>
      <c r="B97" s="6"/>
      <c r="C97" s="16"/>
      <c r="D97" s="17"/>
      <c r="E97" s="6"/>
      <c r="F97" s="19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</row>
    <row r="98" spans="1:25" s="20" customFormat="1" ht="89.25" customHeight="1">
      <c r="A98" s="6"/>
      <c r="B98" s="6"/>
      <c r="C98" s="16"/>
      <c r="D98" s="17"/>
      <c r="E98" s="6"/>
      <c r="F98" s="19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</row>
    <row r="99" spans="1:25" s="20" customFormat="1" ht="89.25" customHeight="1">
      <c r="A99" s="6"/>
      <c r="B99" s="6"/>
      <c r="C99" s="16"/>
      <c r="D99" s="17"/>
      <c r="E99" s="6"/>
      <c r="F99" s="19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</row>
    <row r="100" spans="1:25" s="20" customFormat="1" ht="89.25" customHeight="1">
      <c r="A100" s="6"/>
      <c r="B100" s="6"/>
      <c r="C100" s="16"/>
      <c r="D100" s="17"/>
      <c r="E100" s="6"/>
      <c r="F100" s="19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</row>
    <row r="101" spans="1:25" s="20" customFormat="1" ht="89.25" customHeight="1">
      <c r="A101" s="6"/>
      <c r="B101" s="6"/>
      <c r="C101" s="16"/>
      <c r="D101" s="17"/>
      <c r="E101" s="6"/>
      <c r="F101" s="19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</row>
    <row r="102" spans="1:25" s="20" customFormat="1" ht="89.25" customHeight="1">
      <c r="A102" s="6"/>
      <c r="B102" s="6"/>
      <c r="C102" s="16"/>
      <c r="D102" s="17"/>
      <c r="E102" s="6"/>
      <c r="F102" s="19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</row>
    <row r="103" spans="1:25" s="20" customFormat="1" ht="89.25" customHeight="1">
      <c r="A103" s="6"/>
      <c r="B103" s="6"/>
      <c r="C103" s="16"/>
      <c r="D103" s="17"/>
      <c r="E103" s="6"/>
      <c r="F103" s="19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</row>
    <row r="104" spans="1:25" s="20" customFormat="1" ht="89.25" customHeight="1">
      <c r="A104" s="6"/>
      <c r="B104" s="6"/>
      <c r="C104" s="16"/>
      <c r="D104" s="17"/>
      <c r="E104" s="6"/>
      <c r="F104" s="19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</row>
    <row r="105" spans="1:25" s="20" customFormat="1" ht="89.25" customHeight="1">
      <c r="A105" s="6"/>
      <c r="B105" s="6"/>
      <c r="C105" s="16"/>
      <c r="D105" s="17"/>
      <c r="E105" s="6"/>
      <c r="F105" s="19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</row>
    <row r="106" spans="1:25" s="20" customFormat="1" ht="89.25" customHeight="1">
      <c r="A106" s="6"/>
      <c r="B106" s="6"/>
      <c r="C106" s="16"/>
      <c r="D106" s="17"/>
      <c r="E106" s="6"/>
      <c r="F106" s="19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</row>
    <row r="107" spans="1:25" s="20" customFormat="1" ht="89.25" customHeight="1">
      <c r="A107" s="6"/>
      <c r="B107" s="6"/>
      <c r="C107" s="16"/>
      <c r="D107" s="17"/>
      <c r="E107" s="6"/>
      <c r="F107" s="19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</row>
    <row r="108" spans="1:25" s="20" customFormat="1" ht="89.25" customHeight="1">
      <c r="A108" s="6"/>
      <c r="B108" s="6"/>
      <c r="C108" s="16"/>
      <c r="D108" s="17"/>
      <c r="E108" s="6"/>
      <c r="F108" s="19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</row>
    <row r="109" spans="1:25" s="20" customFormat="1" ht="89.25" customHeight="1">
      <c r="A109" s="6"/>
      <c r="B109" s="6"/>
      <c r="C109" s="16"/>
      <c r="D109" s="17"/>
      <c r="E109" s="6"/>
      <c r="F109" s="19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</row>
    <row r="110" spans="1:25" s="20" customFormat="1" ht="89.25" customHeight="1">
      <c r="A110" s="6"/>
      <c r="B110" s="6"/>
      <c r="C110" s="16"/>
      <c r="D110" s="17"/>
      <c r="E110" s="6"/>
      <c r="F110" s="19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</row>
    <row r="111" spans="1:25" s="20" customFormat="1" ht="89.25" customHeight="1">
      <c r="A111" s="6"/>
      <c r="B111" s="6"/>
      <c r="C111" s="16"/>
      <c r="D111" s="17"/>
      <c r="E111" s="6"/>
      <c r="F111" s="19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</row>
    <row r="112" spans="1:25" s="20" customFormat="1" ht="89.25" customHeight="1">
      <c r="A112" s="6"/>
      <c r="B112" s="6"/>
      <c r="C112" s="16"/>
      <c r="D112" s="17"/>
      <c r="E112" s="6"/>
      <c r="F112" s="19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</row>
    <row r="113" spans="1:25" s="20" customFormat="1" ht="89.25" customHeight="1">
      <c r="A113" s="6"/>
      <c r="B113" s="6"/>
      <c r="C113" s="16"/>
      <c r="D113" s="17"/>
      <c r="E113" s="6"/>
      <c r="F113" s="19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</row>
    <row r="114" spans="1:25" s="20" customFormat="1" ht="89.25" customHeight="1">
      <c r="A114" s="6"/>
      <c r="B114" s="6"/>
      <c r="C114" s="16"/>
      <c r="D114" s="17"/>
      <c r="E114" s="6"/>
      <c r="F114" s="19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</row>
    <row r="115" spans="1:25" s="20" customFormat="1" ht="89.25" customHeight="1">
      <c r="A115" s="6"/>
      <c r="B115" s="6"/>
      <c r="C115" s="16"/>
      <c r="D115" s="17"/>
      <c r="E115" s="6"/>
      <c r="F115" s="19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</row>
    <row r="116" spans="1:25" s="20" customFormat="1" ht="89.25" customHeight="1">
      <c r="A116" s="6"/>
      <c r="B116" s="6"/>
      <c r="C116" s="16"/>
      <c r="D116" s="17"/>
      <c r="E116" s="6"/>
      <c r="F116" s="19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</row>
    <row r="117" spans="1:25" s="20" customFormat="1" ht="89.25" customHeight="1">
      <c r="A117" s="6"/>
      <c r="B117" s="6"/>
      <c r="C117" s="16"/>
      <c r="D117" s="17"/>
      <c r="E117" s="6"/>
      <c r="F117" s="19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</row>
    <row r="118" spans="1:25" s="20" customFormat="1" ht="89.25" customHeight="1">
      <c r="A118" s="6"/>
      <c r="B118" s="6"/>
      <c r="C118" s="16"/>
      <c r="D118" s="17"/>
      <c r="E118" s="6"/>
      <c r="F118" s="19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</row>
    <row r="119" spans="1:25" s="20" customFormat="1" ht="89.25" customHeight="1">
      <c r="A119" s="6"/>
      <c r="B119" s="6"/>
      <c r="C119" s="16"/>
      <c r="D119" s="17"/>
      <c r="E119" s="6"/>
      <c r="F119" s="19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</row>
    <row r="120" spans="1:25" s="20" customFormat="1" ht="89.25" customHeight="1">
      <c r="A120" s="6"/>
      <c r="B120" s="6"/>
      <c r="C120" s="16"/>
      <c r="D120" s="17"/>
      <c r="E120" s="6"/>
      <c r="F120" s="19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</row>
    <row r="121" spans="1:25" s="20" customFormat="1" ht="89.25" customHeight="1">
      <c r="A121" s="6"/>
      <c r="B121" s="6"/>
      <c r="C121" s="16"/>
      <c r="D121" s="17"/>
      <c r="E121" s="6"/>
      <c r="F121" s="19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</row>
    <row r="122" spans="1:25" s="20" customFormat="1" ht="89.25" customHeight="1">
      <c r="A122" s="6"/>
      <c r="B122" s="6"/>
      <c r="C122" s="16"/>
      <c r="D122" s="17"/>
      <c r="E122" s="6"/>
      <c r="F122" s="19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</row>
    <row r="123" spans="1:25" s="20" customFormat="1" ht="89.25" customHeight="1">
      <c r="A123" s="6"/>
      <c r="B123" s="6"/>
      <c r="C123" s="16"/>
      <c r="D123" s="17"/>
      <c r="E123" s="6"/>
      <c r="F123" s="19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</row>
    <row r="124" spans="1:25" s="20" customFormat="1" ht="89.25" customHeight="1">
      <c r="A124" s="6"/>
      <c r="B124" s="6"/>
      <c r="C124" s="16"/>
      <c r="D124" s="17"/>
      <c r="E124" s="6"/>
      <c r="F124" s="19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</row>
    <row r="125" spans="1:25" s="20" customFormat="1" ht="89.25" customHeight="1">
      <c r="A125" s="6"/>
      <c r="B125" s="6"/>
      <c r="C125" s="16"/>
      <c r="D125" s="17"/>
      <c r="E125" s="6"/>
      <c r="F125" s="19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</row>
    <row r="126" spans="1:25" s="20" customFormat="1" ht="89.25" customHeight="1">
      <c r="A126" s="6"/>
      <c r="B126" s="6"/>
      <c r="C126" s="16"/>
      <c r="D126" s="17"/>
      <c r="E126" s="6"/>
      <c r="F126" s="19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</row>
    <row r="127" spans="1:25" s="20" customFormat="1" ht="89.25" customHeight="1">
      <c r="A127" s="6"/>
      <c r="B127" s="6"/>
      <c r="C127" s="16"/>
      <c r="D127" s="17"/>
      <c r="E127" s="6"/>
      <c r="F127" s="19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</row>
    <row r="128" spans="1:25" s="20" customFormat="1" ht="89.25" customHeight="1">
      <c r="A128" s="6"/>
      <c r="B128" s="6"/>
      <c r="C128" s="16"/>
      <c r="D128" s="17"/>
      <c r="E128" s="6"/>
      <c r="F128" s="19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</row>
    <row r="129" spans="1:25" s="20" customFormat="1" ht="89.25" customHeight="1">
      <c r="A129" s="6"/>
      <c r="B129" s="6"/>
      <c r="C129" s="16"/>
      <c r="D129" s="17"/>
      <c r="E129" s="6"/>
      <c r="F129" s="19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</row>
    <row r="130" spans="1:25" s="20" customFormat="1" ht="89.25" customHeight="1">
      <c r="A130" s="6"/>
      <c r="B130" s="6"/>
      <c r="C130" s="16"/>
      <c r="D130" s="17"/>
      <c r="E130" s="6"/>
      <c r="F130" s="19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</row>
    <row r="131" spans="1:25" s="20" customFormat="1" ht="89.25" customHeight="1">
      <c r="A131" s="6"/>
      <c r="B131" s="6"/>
      <c r="C131" s="16"/>
      <c r="D131" s="17"/>
      <c r="E131" s="6"/>
      <c r="F131" s="19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</row>
    <row r="132" spans="1:25" s="20" customFormat="1" ht="89.25" customHeight="1">
      <c r="A132" s="6"/>
      <c r="B132" s="6"/>
      <c r="C132" s="16"/>
      <c r="D132" s="17"/>
      <c r="E132" s="6"/>
      <c r="F132" s="19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</row>
    <row r="133" spans="1:25" s="20" customFormat="1" ht="89.25" customHeight="1">
      <c r="A133" s="6"/>
      <c r="B133" s="6"/>
      <c r="C133" s="16"/>
      <c r="D133" s="17"/>
      <c r="E133" s="6"/>
      <c r="F133" s="19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</row>
    <row r="134" spans="1:25" s="20" customFormat="1" ht="89.25" customHeight="1">
      <c r="A134" s="6"/>
      <c r="B134" s="6"/>
      <c r="C134" s="16"/>
      <c r="D134" s="17"/>
      <c r="E134" s="6"/>
      <c r="F134" s="19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</row>
    <row r="135" spans="1:25" s="20" customFormat="1" ht="89.25" customHeight="1">
      <c r="A135" s="6"/>
      <c r="B135" s="6"/>
      <c r="C135" s="16"/>
      <c r="D135" s="17"/>
      <c r="E135" s="6"/>
      <c r="F135" s="19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</row>
    <row r="136" spans="1:25" s="20" customFormat="1" ht="89.25" customHeight="1">
      <c r="A136" s="6"/>
      <c r="B136" s="6"/>
      <c r="C136" s="16"/>
      <c r="D136" s="17"/>
      <c r="E136" s="6"/>
      <c r="F136" s="19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</row>
    <row r="137" spans="1:25" s="20" customFormat="1" ht="89.25" customHeight="1">
      <c r="A137" s="6"/>
      <c r="B137" s="6"/>
      <c r="C137" s="16"/>
      <c r="D137" s="17"/>
      <c r="E137" s="6"/>
      <c r="F137" s="19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</row>
    <row r="138" spans="1:25" s="20" customFormat="1" ht="89.25" customHeight="1">
      <c r="A138" s="6"/>
      <c r="B138" s="6"/>
      <c r="C138" s="16"/>
      <c r="D138" s="17"/>
      <c r="E138" s="6"/>
      <c r="F138" s="19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</row>
    <row r="139" spans="1:25" s="20" customFormat="1" ht="89.25" customHeight="1">
      <c r="A139" s="6"/>
      <c r="B139" s="6"/>
      <c r="C139" s="16"/>
      <c r="D139" s="17"/>
      <c r="E139" s="6"/>
      <c r="F139" s="19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</row>
    <row r="140" spans="1:25" s="20" customFormat="1" ht="89.25" customHeight="1">
      <c r="A140" s="6"/>
      <c r="B140" s="6"/>
      <c r="C140" s="16"/>
      <c r="D140" s="17"/>
      <c r="E140" s="6"/>
      <c r="F140" s="19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</row>
    <row r="141" spans="1:25" s="20" customFormat="1" ht="89.25" customHeight="1">
      <c r="A141" s="6"/>
      <c r="B141" s="6"/>
      <c r="C141" s="16"/>
      <c r="D141" s="17"/>
      <c r="E141" s="6"/>
      <c r="F141" s="19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</row>
    <row r="142" spans="1:25" s="20" customFormat="1" ht="89.25" customHeight="1">
      <c r="A142" s="6"/>
      <c r="B142" s="6"/>
      <c r="C142" s="16"/>
      <c r="D142" s="17"/>
      <c r="E142" s="6"/>
      <c r="F142" s="19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</row>
    <row r="143" spans="1:25" s="20" customFormat="1" ht="89.25" customHeight="1">
      <c r="A143" s="6"/>
      <c r="B143" s="6"/>
      <c r="C143" s="16"/>
      <c r="D143" s="17"/>
      <c r="E143" s="6"/>
      <c r="F143" s="19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</row>
    <row r="144" spans="1:25" s="20" customFormat="1" ht="89.25" customHeight="1">
      <c r="A144" s="6"/>
      <c r="B144" s="6"/>
      <c r="C144" s="16"/>
      <c r="D144" s="17"/>
      <c r="E144" s="6"/>
      <c r="F144" s="19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</row>
    <row r="145" spans="1:25" s="20" customFormat="1" ht="89.25" customHeight="1">
      <c r="A145" s="6"/>
      <c r="B145" s="6"/>
      <c r="C145" s="16"/>
      <c r="D145" s="17"/>
      <c r="E145" s="6"/>
      <c r="F145" s="19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</row>
    <row r="146" spans="1:25" s="20" customFormat="1" ht="89.25" customHeight="1">
      <c r="A146" s="6"/>
      <c r="B146" s="6"/>
      <c r="C146" s="16"/>
      <c r="D146" s="17"/>
      <c r="E146" s="6"/>
      <c r="F146" s="19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</row>
    <row r="147" spans="1:25" s="20" customFormat="1" ht="89.25" customHeight="1">
      <c r="A147" s="6"/>
      <c r="B147" s="6"/>
      <c r="C147" s="16"/>
      <c r="D147" s="17"/>
      <c r="E147" s="6"/>
      <c r="F147" s="19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</row>
    <row r="148" spans="1:25" s="20" customFormat="1" ht="89.25" customHeight="1">
      <c r="A148" s="6"/>
      <c r="B148" s="6"/>
      <c r="C148" s="16"/>
      <c r="D148" s="17"/>
      <c r="E148" s="6"/>
      <c r="F148" s="19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</row>
    <row r="149" spans="1:25" s="20" customFormat="1" ht="89.25" customHeight="1">
      <c r="A149" s="6"/>
      <c r="B149" s="6"/>
      <c r="C149" s="16"/>
      <c r="D149" s="17"/>
      <c r="E149" s="6"/>
      <c r="F149" s="19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</row>
    <row r="150" spans="1:25" s="20" customFormat="1" ht="89.25" customHeight="1">
      <c r="A150" s="6"/>
      <c r="B150" s="6"/>
      <c r="C150" s="16"/>
      <c r="D150" s="17"/>
      <c r="E150" s="6"/>
      <c r="F150" s="19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</row>
    <row r="151" spans="1:25" s="20" customFormat="1" ht="89.25" customHeight="1">
      <c r="A151" s="6"/>
      <c r="B151" s="6"/>
      <c r="C151" s="16"/>
      <c r="D151" s="17"/>
      <c r="E151" s="6"/>
      <c r="F151" s="19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</row>
    <row r="152" spans="1:25" s="20" customFormat="1" ht="89.25" customHeight="1">
      <c r="A152" s="6"/>
      <c r="B152" s="6"/>
      <c r="C152" s="16"/>
      <c r="D152" s="17"/>
      <c r="E152" s="6"/>
      <c r="F152" s="19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</row>
    <row r="153" spans="1:25" s="20" customFormat="1" ht="89.25" customHeight="1">
      <c r="A153" s="6"/>
      <c r="B153" s="6"/>
      <c r="C153" s="16"/>
      <c r="D153" s="17"/>
      <c r="E153" s="6"/>
      <c r="F153" s="19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</row>
    <row r="154" spans="1:25" s="20" customFormat="1" ht="89.25" customHeight="1">
      <c r="A154" s="6"/>
      <c r="B154" s="6"/>
      <c r="C154" s="16"/>
      <c r="D154" s="17"/>
      <c r="E154" s="6"/>
      <c r="F154" s="19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</row>
    <row r="155" spans="1:25" s="20" customFormat="1" ht="89.25" customHeight="1">
      <c r="A155" s="6"/>
      <c r="B155" s="6"/>
      <c r="C155" s="16"/>
      <c r="D155" s="17"/>
      <c r="E155" s="6"/>
      <c r="F155" s="19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</row>
    <row r="156" spans="1:25" s="20" customFormat="1" ht="89.25" customHeight="1">
      <c r="A156" s="6"/>
      <c r="B156" s="6"/>
      <c r="C156" s="16"/>
      <c r="D156" s="17"/>
      <c r="E156" s="6"/>
      <c r="F156" s="19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</row>
    <row r="157" spans="1:25" s="20" customFormat="1" ht="89.25" customHeight="1">
      <c r="A157" s="6"/>
      <c r="B157" s="6"/>
      <c r="C157" s="16"/>
      <c r="D157" s="17"/>
      <c r="E157" s="6"/>
      <c r="F157" s="19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</row>
    <row r="158" spans="1:25" s="20" customFormat="1" ht="89.25" customHeight="1">
      <c r="A158" s="6"/>
      <c r="B158" s="6"/>
      <c r="C158" s="16"/>
      <c r="D158" s="17"/>
      <c r="E158" s="6"/>
      <c r="F158" s="19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</row>
    <row r="159" spans="1:25" s="20" customFormat="1" ht="89.25" customHeight="1">
      <c r="A159" s="6"/>
      <c r="B159" s="6"/>
      <c r="C159" s="16"/>
      <c r="D159" s="17"/>
      <c r="E159" s="6"/>
      <c r="F159" s="19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</row>
    <row r="160" spans="1:25" s="20" customFormat="1" ht="89.25" customHeight="1">
      <c r="A160" s="6"/>
      <c r="B160" s="6"/>
      <c r="C160" s="16"/>
      <c r="D160" s="17"/>
      <c r="E160" s="6"/>
      <c r="F160" s="19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</row>
    <row r="161" spans="1:25" s="20" customFormat="1" ht="89.25" customHeight="1">
      <c r="A161" s="6"/>
      <c r="B161" s="6"/>
      <c r="C161" s="16"/>
      <c r="D161" s="17"/>
      <c r="E161" s="6"/>
      <c r="F161" s="19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</row>
    <row r="162" spans="1:25" s="20" customFormat="1" ht="89.25" customHeight="1">
      <c r="A162" s="6"/>
      <c r="B162" s="6"/>
      <c r="C162" s="16"/>
      <c r="D162" s="17"/>
      <c r="E162" s="6"/>
      <c r="F162" s="19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</row>
    <row r="163" spans="1:25" s="20" customFormat="1" ht="89.25" customHeight="1">
      <c r="A163" s="6"/>
      <c r="B163" s="6"/>
      <c r="C163" s="16"/>
      <c r="D163" s="17"/>
      <c r="E163" s="6"/>
      <c r="F163" s="19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</row>
    <row r="164" spans="1:25" s="20" customFormat="1" ht="89.25" customHeight="1">
      <c r="A164" s="6"/>
      <c r="B164" s="6"/>
      <c r="C164" s="16"/>
      <c r="D164" s="17"/>
      <c r="E164" s="6"/>
      <c r="F164" s="19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</row>
    <row r="165" spans="1:25" s="20" customFormat="1" ht="89.25" customHeight="1">
      <c r="A165" s="6"/>
      <c r="B165" s="6"/>
      <c r="C165" s="16"/>
      <c r="D165" s="17"/>
      <c r="E165" s="6"/>
      <c r="F165" s="19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</row>
    <row r="166" spans="1:25" s="20" customFormat="1" ht="89.25" customHeight="1">
      <c r="A166" s="6"/>
      <c r="B166" s="6"/>
      <c r="C166" s="16"/>
      <c r="D166" s="17"/>
      <c r="E166" s="6"/>
      <c r="F166" s="19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</row>
    <row r="167" spans="1:25" s="20" customFormat="1" ht="89.25" customHeight="1">
      <c r="A167" s="6"/>
      <c r="B167" s="6"/>
      <c r="C167" s="16"/>
      <c r="D167" s="17"/>
      <c r="E167" s="6"/>
      <c r="F167" s="19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</row>
    <row r="168" spans="1:25" s="20" customFormat="1" ht="89.25" customHeight="1">
      <c r="A168" s="6"/>
      <c r="B168" s="6"/>
      <c r="C168" s="16"/>
      <c r="D168" s="17"/>
      <c r="E168" s="6"/>
      <c r="F168" s="19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</row>
    <row r="169" spans="1:25" s="20" customFormat="1" ht="89.25" customHeight="1">
      <c r="A169" s="6"/>
      <c r="B169" s="6"/>
      <c r="C169" s="16"/>
      <c r="D169" s="17"/>
      <c r="E169" s="6"/>
      <c r="F169" s="19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</row>
    <row r="170" spans="1:25" s="20" customFormat="1" ht="89.25" customHeight="1">
      <c r="A170" s="6"/>
      <c r="B170" s="6"/>
      <c r="C170" s="16"/>
      <c r="D170" s="17"/>
      <c r="E170" s="6"/>
      <c r="F170" s="19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</row>
    <row r="171" spans="1:25" s="20" customFormat="1" ht="89.25" customHeight="1">
      <c r="A171" s="6"/>
      <c r="B171" s="6"/>
      <c r="C171" s="16"/>
      <c r="D171" s="17"/>
      <c r="E171" s="6"/>
      <c r="F171" s="19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</row>
    <row r="172" spans="1:25" s="20" customFormat="1" ht="89.25" customHeight="1">
      <c r="A172" s="6"/>
      <c r="B172" s="6"/>
      <c r="C172" s="16"/>
      <c r="D172" s="17"/>
      <c r="E172" s="6"/>
      <c r="F172" s="19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</row>
    <row r="173" spans="1:25" s="20" customFormat="1" ht="89.25" customHeight="1">
      <c r="A173" s="6"/>
      <c r="B173" s="6"/>
      <c r="C173" s="16"/>
      <c r="D173" s="17"/>
      <c r="E173" s="6"/>
      <c r="F173" s="19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</row>
    <row r="174" spans="1:25" s="20" customFormat="1" ht="89.25" customHeight="1">
      <c r="A174" s="6"/>
      <c r="B174" s="6"/>
      <c r="C174" s="16"/>
      <c r="D174" s="17"/>
      <c r="E174" s="6"/>
      <c r="F174" s="19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</row>
    <row r="175" spans="1:25" s="20" customFormat="1" ht="89.25" customHeight="1">
      <c r="A175" s="6"/>
      <c r="B175" s="6"/>
      <c r="C175" s="16"/>
      <c r="D175" s="17"/>
      <c r="E175" s="6"/>
      <c r="F175" s="19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</row>
    <row r="176" spans="1:25" s="20" customFormat="1" ht="89.25" customHeight="1">
      <c r="A176" s="6"/>
      <c r="B176" s="6"/>
      <c r="C176" s="16"/>
      <c r="D176" s="17"/>
      <c r="E176" s="6"/>
      <c r="F176" s="19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</row>
    <row r="177" spans="1:25" s="20" customFormat="1" ht="89.25" customHeight="1">
      <c r="A177" s="6"/>
      <c r="B177" s="6"/>
      <c r="C177" s="16"/>
      <c r="D177" s="17"/>
      <c r="E177" s="6"/>
      <c r="F177" s="19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</row>
    <row r="178" spans="1:25" s="20" customFormat="1" ht="89.25" customHeight="1">
      <c r="A178" s="6"/>
      <c r="B178" s="6"/>
      <c r="C178" s="16"/>
      <c r="D178" s="17"/>
      <c r="E178" s="6"/>
      <c r="F178" s="19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</row>
    <row r="179" spans="1:25" s="20" customFormat="1" ht="89.25" customHeight="1">
      <c r="A179" s="6"/>
      <c r="B179" s="6"/>
      <c r="C179" s="16"/>
      <c r="D179" s="17"/>
      <c r="E179" s="6"/>
      <c r="F179" s="19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</row>
    <row r="180" spans="1:25" s="20" customFormat="1" ht="89.25" customHeight="1">
      <c r="A180" s="6"/>
      <c r="B180" s="6"/>
      <c r="C180" s="16"/>
      <c r="D180" s="17"/>
      <c r="E180" s="6"/>
      <c r="F180" s="19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</row>
    <row r="181" spans="1:25" s="20" customFormat="1" ht="89.25" customHeight="1">
      <c r="A181" s="6"/>
      <c r="B181" s="6"/>
      <c r="C181" s="16"/>
      <c r="D181" s="17"/>
      <c r="E181" s="6"/>
      <c r="F181" s="19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</row>
    <row r="182" spans="1:25" s="20" customFormat="1" ht="89.25" customHeight="1">
      <c r="A182" s="6"/>
      <c r="B182" s="6"/>
      <c r="C182" s="16"/>
      <c r="D182" s="17"/>
      <c r="E182" s="6"/>
      <c r="F182" s="19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</row>
    <row r="183" spans="1:25" s="20" customFormat="1" ht="89.25" customHeight="1">
      <c r="A183" s="6"/>
      <c r="B183" s="6"/>
      <c r="C183" s="16"/>
      <c r="D183" s="17"/>
      <c r="E183" s="6"/>
      <c r="F183" s="19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</row>
    <row r="184" spans="1:25" s="20" customFormat="1" ht="89.25" customHeight="1">
      <c r="A184" s="6"/>
      <c r="B184" s="6"/>
      <c r="C184" s="16"/>
      <c r="D184" s="17"/>
      <c r="E184" s="6"/>
      <c r="F184" s="19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</row>
    <row r="185" spans="1:25" s="20" customFormat="1" ht="89.25" customHeight="1">
      <c r="A185" s="6"/>
      <c r="B185" s="6"/>
      <c r="C185" s="16"/>
      <c r="D185" s="17"/>
      <c r="E185" s="6"/>
      <c r="F185" s="19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</row>
    <row r="186" spans="1:25" s="20" customFormat="1" ht="89.25" customHeight="1">
      <c r="A186" s="6"/>
      <c r="B186" s="6"/>
      <c r="C186" s="16"/>
      <c r="D186" s="17"/>
      <c r="E186" s="6"/>
      <c r="F186" s="19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</row>
    <row r="187" spans="1:25" s="20" customFormat="1" ht="89.25" customHeight="1">
      <c r="A187" s="6"/>
      <c r="B187" s="6"/>
      <c r="C187" s="16"/>
      <c r="D187" s="17"/>
      <c r="E187" s="6"/>
      <c r="F187" s="19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</row>
    <row r="188" spans="1:25" s="20" customFormat="1" ht="89.25" customHeight="1">
      <c r="A188" s="6"/>
      <c r="B188" s="6"/>
      <c r="C188" s="16"/>
      <c r="D188" s="17"/>
      <c r="E188" s="6"/>
      <c r="F188" s="19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</row>
    <row r="189" spans="1:25" s="20" customFormat="1" ht="89.25" customHeight="1">
      <c r="A189" s="6"/>
      <c r="B189" s="6"/>
      <c r="C189" s="16"/>
      <c r="D189" s="17"/>
      <c r="E189" s="6"/>
      <c r="F189" s="19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</row>
    <row r="190" spans="1:25" s="20" customFormat="1" ht="89.25" customHeight="1">
      <c r="A190" s="6"/>
      <c r="B190" s="6"/>
      <c r="C190" s="16"/>
      <c r="D190" s="17"/>
      <c r="E190" s="6"/>
      <c r="F190" s="19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</row>
    <row r="191" spans="1:25" s="20" customFormat="1" ht="89.25" customHeight="1">
      <c r="A191" s="6"/>
      <c r="B191" s="6"/>
      <c r="C191" s="16"/>
      <c r="D191" s="17"/>
      <c r="E191" s="6"/>
      <c r="F191" s="19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</row>
    <row r="192" spans="1:25" s="20" customFormat="1" ht="89.25" customHeight="1">
      <c r="A192" s="6"/>
      <c r="B192" s="6"/>
      <c r="C192" s="16"/>
      <c r="D192" s="17"/>
      <c r="E192" s="6"/>
      <c r="F192" s="19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</row>
    <row r="193" spans="1:25" s="20" customFormat="1" ht="89.25" customHeight="1">
      <c r="A193" s="6"/>
      <c r="B193" s="6"/>
      <c r="C193" s="16"/>
      <c r="D193" s="17"/>
      <c r="E193" s="6"/>
      <c r="F193" s="19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</row>
    <row r="194" spans="1:25" s="20" customFormat="1" ht="89.25" customHeight="1">
      <c r="A194" s="6"/>
      <c r="B194" s="6"/>
      <c r="C194" s="16"/>
      <c r="D194" s="17"/>
      <c r="E194" s="6"/>
      <c r="F194" s="19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</row>
    <row r="195" spans="1:25" s="20" customFormat="1" ht="89.25" customHeight="1">
      <c r="A195" s="6"/>
      <c r="B195" s="6"/>
      <c r="C195" s="16"/>
      <c r="D195" s="17"/>
      <c r="E195" s="6"/>
      <c r="F195" s="19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</row>
    <row r="196" spans="1:25" s="20" customFormat="1" ht="89.25" customHeight="1">
      <c r="A196" s="6"/>
      <c r="B196" s="6"/>
      <c r="C196" s="16"/>
      <c r="D196" s="17"/>
      <c r="E196" s="6"/>
      <c r="F196" s="19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</row>
    <row r="197" spans="1:25" s="20" customFormat="1" ht="89.25" customHeight="1">
      <c r="A197" s="6"/>
      <c r="B197" s="6"/>
      <c r="C197" s="16"/>
      <c r="D197" s="17"/>
      <c r="E197" s="6"/>
      <c r="F197" s="19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</row>
    <row r="198" spans="1:25" s="20" customFormat="1" ht="89.25" customHeight="1">
      <c r="A198" s="6"/>
      <c r="B198" s="6"/>
      <c r="C198" s="16"/>
      <c r="D198" s="17"/>
      <c r="E198" s="6"/>
      <c r="F198" s="19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</row>
    <row r="199" spans="1:25" s="20" customFormat="1" ht="89.25" customHeight="1">
      <c r="A199" s="6"/>
      <c r="B199" s="6"/>
      <c r="C199" s="16"/>
      <c r="D199" s="17"/>
      <c r="E199" s="6"/>
      <c r="F199" s="19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</row>
    <row r="200" spans="1:25" s="20" customFormat="1" ht="89.25" customHeight="1">
      <c r="A200" s="6"/>
      <c r="B200" s="6"/>
      <c r="C200" s="16"/>
      <c r="D200" s="17"/>
      <c r="E200" s="6"/>
      <c r="F200" s="19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</row>
    <row r="201" spans="1:25" s="20" customFormat="1" ht="89.25" customHeight="1">
      <c r="A201" s="6"/>
      <c r="B201" s="6"/>
      <c r="C201" s="16"/>
      <c r="D201" s="17"/>
      <c r="E201" s="6"/>
      <c r="F201" s="19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</row>
    <row r="202" spans="1:25" s="20" customFormat="1" ht="89.25" customHeight="1">
      <c r="A202" s="6"/>
      <c r="B202" s="6"/>
      <c r="C202" s="16"/>
      <c r="D202" s="17"/>
      <c r="E202" s="6"/>
      <c r="F202" s="19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</row>
    <row r="203" spans="1:25" s="20" customFormat="1" ht="89.25" customHeight="1">
      <c r="A203" s="6"/>
      <c r="B203" s="6"/>
      <c r="C203" s="16"/>
      <c r="D203" s="17"/>
      <c r="E203" s="6"/>
      <c r="F203" s="19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</row>
    <row r="204" spans="1:25" s="20" customFormat="1" ht="89.25" customHeight="1">
      <c r="A204" s="6"/>
      <c r="B204" s="6"/>
      <c r="C204" s="16"/>
      <c r="D204" s="17"/>
      <c r="E204" s="6"/>
      <c r="F204" s="19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</row>
    <row r="205" spans="1:25" s="20" customFormat="1" ht="89.25" customHeight="1">
      <c r="A205" s="6"/>
      <c r="B205" s="6"/>
      <c r="C205" s="16"/>
      <c r="D205" s="17"/>
      <c r="E205" s="6"/>
      <c r="F205" s="19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</row>
    <row r="206" spans="1:25" s="20" customFormat="1" ht="89.25" customHeight="1">
      <c r="A206" s="6"/>
      <c r="B206" s="6"/>
      <c r="C206" s="16"/>
      <c r="D206" s="17"/>
      <c r="E206" s="6"/>
      <c r="F206" s="19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</row>
    <row r="207" spans="1:25" s="20" customFormat="1" ht="89.25" customHeight="1">
      <c r="A207" s="6"/>
      <c r="B207" s="6"/>
      <c r="C207" s="16"/>
      <c r="D207" s="17"/>
      <c r="E207" s="6"/>
      <c r="F207" s="19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</row>
    <row r="208" spans="1:25" s="20" customFormat="1" ht="89.25" customHeight="1">
      <c r="A208" s="6"/>
      <c r="B208" s="6"/>
      <c r="C208" s="16"/>
      <c r="D208" s="17"/>
      <c r="E208" s="6"/>
      <c r="F208" s="19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</row>
    <row r="209" spans="1:25" s="20" customFormat="1" ht="89.25" customHeight="1">
      <c r="A209" s="6"/>
      <c r="B209" s="6"/>
      <c r="C209" s="16"/>
      <c r="D209" s="17"/>
      <c r="E209" s="6"/>
      <c r="F209" s="19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</row>
    <row r="210" spans="1:25" s="20" customFormat="1" ht="89.25" customHeight="1">
      <c r="A210" s="6"/>
      <c r="B210" s="6"/>
      <c r="C210" s="16"/>
      <c r="D210" s="17"/>
      <c r="E210" s="6"/>
      <c r="F210" s="19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</row>
    <row r="211" spans="1:25" s="20" customFormat="1" ht="89.25" customHeight="1">
      <c r="A211" s="6"/>
      <c r="B211" s="6"/>
      <c r="C211" s="16"/>
      <c r="D211" s="17"/>
      <c r="E211" s="6"/>
      <c r="F211" s="19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</row>
    <row r="212" spans="1:25" s="20" customFormat="1" ht="89.25" customHeight="1">
      <c r="A212" s="6"/>
      <c r="B212" s="6"/>
      <c r="C212" s="16"/>
      <c r="D212" s="17"/>
      <c r="E212" s="6"/>
      <c r="F212" s="19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</row>
    <row r="213" spans="1:25" s="20" customFormat="1" ht="89.25" customHeight="1">
      <c r="A213" s="6"/>
      <c r="B213" s="6"/>
      <c r="C213" s="16"/>
      <c r="D213" s="17"/>
      <c r="E213" s="6"/>
      <c r="F213" s="19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</row>
    <row r="214" spans="1:25" s="20" customFormat="1" ht="89.25" customHeight="1">
      <c r="A214" s="6"/>
      <c r="B214" s="6"/>
      <c r="C214" s="16"/>
      <c r="D214" s="17"/>
      <c r="E214" s="6"/>
      <c r="F214" s="19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</row>
    <row r="215" spans="1:25" s="20" customFormat="1" ht="89.25" customHeight="1">
      <c r="A215" s="6"/>
      <c r="B215" s="6"/>
      <c r="C215" s="16"/>
      <c r="D215" s="17"/>
      <c r="E215" s="6"/>
      <c r="F215" s="19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</row>
    <row r="216" spans="1:25" s="20" customFormat="1" ht="89.25" customHeight="1">
      <c r="A216" s="6"/>
      <c r="B216" s="6"/>
      <c r="C216" s="16"/>
      <c r="D216" s="17"/>
      <c r="E216" s="6"/>
      <c r="F216" s="19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</row>
    <row r="217" spans="1:25" s="20" customFormat="1" ht="89.25" customHeight="1">
      <c r="A217" s="6"/>
      <c r="B217" s="6"/>
      <c r="C217" s="16"/>
      <c r="D217" s="17"/>
      <c r="E217" s="6"/>
      <c r="F217" s="19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</row>
    <row r="218" spans="1:25" s="20" customFormat="1" ht="89.25" customHeight="1">
      <c r="A218" s="6"/>
      <c r="B218" s="6"/>
      <c r="C218" s="16"/>
      <c r="D218" s="17"/>
      <c r="E218" s="6"/>
      <c r="F218" s="19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</row>
    <row r="219" spans="1:25" s="20" customFormat="1" ht="89.25" customHeight="1">
      <c r="A219" s="6"/>
      <c r="B219" s="6"/>
      <c r="C219" s="16"/>
      <c r="D219" s="17"/>
      <c r="E219" s="6"/>
      <c r="F219" s="19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</row>
    <row r="220" spans="1:25" s="20" customFormat="1" ht="89.25" customHeight="1">
      <c r="A220" s="6"/>
      <c r="B220" s="6"/>
      <c r="C220" s="16"/>
      <c r="D220" s="17"/>
      <c r="E220" s="6"/>
      <c r="F220" s="19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</row>
    <row r="221" spans="1:25" s="20" customFormat="1" ht="89.25" customHeight="1">
      <c r="A221" s="6"/>
      <c r="B221" s="6"/>
      <c r="C221" s="16"/>
      <c r="D221" s="17"/>
      <c r="E221" s="6"/>
      <c r="F221" s="19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</row>
    <row r="222" spans="1:25" s="20" customFormat="1" ht="89.25" customHeight="1">
      <c r="A222" s="6"/>
      <c r="B222" s="6"/>
      <c r="C222" s="16"/>
      <c r="D222" s="17"/>
      <c r="E222" s="6"/>
      <c r="F222" s="19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</row>
    <row r="223" spans="1:25" s="20" customFormat="1" ht="89.25" customHeight="1">
      <c r="A223" s="6"/>
      <c r="B223" s="6"/>
      <c r="C223" s="16"/>
      <c r="D223" s="17"/>
      <c r="E223" s="6"/>
      <c r="F223" s="19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</row>
    <row r="224" spans="1:25" s="20" customFormat="1" ht="89.25" customHeight="1">
      <c r="A224" s="6"/>
      <c r="B224" s="6"/>
      <c r="C224" s="16"/>
      <c r="D224" s="17"/>
      <c r="E224" s="6"/>
      <c r="F224" s="19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</row>
    <row r="225" spans="1:25" s="20" customFormat="1" ht="89.25" customHeight="1">
      <c r="A225" s="6"/>
      <c r="B225" s="6"/>
      <c r="C225" s="16"/>
      <c r="D225" s="17"/>
      <c r="E225" s="6"/>
      <c r="F225" s="19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</row>
    <row r="226" spans="1:25" s="20" customFormat="1" ht="89.25" customHeight="1">
      <c r="A226" s="6"/>
      <c r="B226" s="6"/>
      <c r="C226" s="16"/>
      <c r="D226" s="17"/>
      <c r="E226" s="6"/>
      <c r="F226" s="19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</row>
    <row r="227" spans="1:25" s="20" customFormat="1" ht="89.25" customHeight="1">
      <c r="A227" s="6"/>
      <c r="B227" s="6"/>
      <c r="C227" s="16"/>
      <c r="D227" s="17"/>
      <c r="E227" s="6"/>
      <c r="F227" s="19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</row>
    <row r="228" spans="1:25" s="20" customFormat="1" ht="89.25" customHeight="1">
      <c r="A228" s="6"/>
      <c r="B228" s="6"/>
      <c r="C228" s="16"/>
      <c r="D228" s="17"/>
      <c r="E228" s="6"/>
      <c r="F228" s="19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</row>
    <row r="229" spans="1:25" s="20" customFormat="1" ht="89.25" customHeight="1">
      <c r="A229" s="6"/>
      <c r="B229" s="6"/>
      <c r="C229" s="16"/>
      <c r="D229" s="17"/>
      <c r="E229" s="6"/>
      <c r="F229" s="19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</row>
    <row r="230" spans="1:25" s="20" customFormat="1" ht="89.25" customHeight="1">
      <c r="A230" s="6"/>
      <c r="B230" s="6"/>
      <c r="C230" s="16"/>
      <c r="D230" s="17"/>
      <c r="E230" s="6"/>
      <c r="F230" s="19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</row>
    <row r="231" spans="1:25" s="20" customFormat="1" ht="89.25" customHeight="1">
      <c r="A231" s="6"/>
      <c r="B231" s="6"/>
      <c r="C231" s="16"/>
      <c r="D231" s="17"/>
      <c r="E231" s="6"/>
      <c r="F231" s="19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</row>
    <row r="232" spans="1:25" s="20" customFormat="1" ht="89.25" customHeight="1">
      <c r="A232" s="6"/>
      <c r="B232" s="6"/>
      <c r="C232" s="16"/>
      <c r="D232" s="17"/>
      <c r="E232" s="6"/>
      <c r="F232" s="19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</row>
    <row r="233" spans="1:25" s="20" customFormat="1" ht="89.25" customHeight="1">
      <c r="A233" s="6"/>
      <c r="B233" s="6"/>
      <c r="C233" s="16"/>
      <c r="D233" s="17"/>
      <c r="E233" s="6"/>
      <c r="F233" s="19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</row>
    <row r="234" spans="1:25" s="20" customFormat="1" ht="89.25" customHeight="1">
      <c r="A234" s="6"/>
      <c r="B234" s="6"/>
      <c r="C234" s="16"/>
      <c r="D234" s="17"/>
      <c r="E234" s="6"/>
      <c r="F234" s="19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</row>
    <row r="235" spans="1:25" s="20" customFormat="1" ht="89.25" customHeight="1">
      <c r="A235" s="6"/>
      <c r="B235" s="6"/>
      <c r="C235" s="16"/>
      <c r="D235" s="17"/>
      <c r="E235" s="6"/>
      <c r="F235" s="19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</row>
    <row r="236" spans="1:25" s="20" customFormat="1" ht="89.25" customHeight="1">
      <c r="A236" s="6"/>
      <c r="B236" s="6"/>
      <c r="C236" s="16"/>
      <c r="D236" s="17"/>
      <c r="E236" s="6"/>
      <c r="F236" s="19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</row>
    <row r="237" spans="1:25" s="20" customFormat="1" ht="89.25" customHeight="1">
      <c r="A237" s="6"/>
      <c r="B237" s="6"/>
      <c r="C237" s="16"/>
      <c r="D237" s="17"/>
      <c r="E237" s="6"/>
      <c r="F237" s="19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</row>
    <row r="238" spans="1:25" s="20" customFormat="1" ht="89.25" customHeight="1">
      <c r="A238" s="6"/>
      <c r="B238" s="6"/>
      <c r="C238" s="16"/>
      <c r="D238" s="17"/>
      <c r="E238" s="6"/>
      <c r="F238" s="19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</row>
    <row r="239" spans="1:25" s="20" customFormat="1" ht="89.25" customHeight="1">
      <c r="A239" s="6"/>
      <c r="B239" s="6"/>
      <c r="C239" s="16"/>
      <c r="D239" s="17"/>
      <c r="E239" s="6"/>
      <c r="F239" s="19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</row>
    <row r="240" spans="1:25" s="20" customFormat="1" ht="89.25" customHeight="1">
      <c r="A240" s="6"/>
      <c r="B240" s="6"/>
      <c r="C240" s="16"/>
      <c r="D240" s="17"/>
      <c r="E240" s="6"/>
      <c r="F240" s="19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</row>
  </sheetData>
  <mergeCells count="22">
    <mergeCell ref="D55:E55"/>
    <mergeCell ref="A52:B52"/>
    <mergeCell ref="A14:D14"/>
    <mergeCell ref="A18:D18"/>
    <mergeCell ref="A16:D16"/>
    <mergeCell ref="A17:D17"/>
    <mergeCell ref="A54:B54"/>
    <mergeCell ref="A53:B53"/>
    <mergeCell ref="D54:E54"/>
    <mergeCell ref="D53:E53"/>
    <mergeCell ref="A1:F3"/>
    <mergeCell ref="A5:F5"/>
    <mergeCell ref="A6:F6"/>
    <mergeCell ref="A7:E7"/>
    <mergeCell ref="A9:D9"/>
    <mergeCell ref="A4:F4"/>
    <mergeCell ref="A10:D10"/>
    <mergeCell ref="A13:D13"/>
    <mergeCell ref="A12:D12"/>
    <mergeCell ref="A11:D11"/>
    <mergeCell ref="D52:E52"/>
    <mergeCell ref="A15:D15"/>
  </mergeCells>
  <printOptions horizontalCentered="1" verticalCentered="1"/>
  <pageMargins left="0.59055118110236227" right="0.59055118110236227" top="0.59055118110236227" bottom="0.59055118110236227" header="0.31496062992125984" footer="0.31496062992125984"/>
  <pageSetup paperSize="9" scale="45" orientation="landscape" r:id="rId1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Hoja31">
    <tabColor rgb="FF00B0F0"/>
    <pageSetUpPr fitToPage="1"/>
  </sheetPr>
  <dimension ref="A1:AG237"/>
  <sheetViews>
    <sheetView showGridLines="0" topLeftCell="A22" zoomScale="80" zoomScaleNormal="80" workbookViewId="0">
      <selection activeCell="F43" sqref="F43"/>
    </sheetView>
  </sheetViews>
  <sheetFormatPr baseColWidth="10" defaultRowHeight="89.25" customHeight="1"/>
  <cols>
    <col min="1" max="2" width="25.28515625" style="6" customWidth="1"/>
    <col min="3" max="3" width="25.28515625" style="16" customWidth="1"/>
    <col min="4" max="4" width="25.28515625" style="17" customWidth="1"/>
    <col min="5" max="5" width="15.28515625" style="6" bestFit="1" customWidth="1"/>
    <col min="6" max="6" width="21.7109375" style="19" bestFit="1" customWidth="1"/>
    <col min="7" max="7" width="19.140625" style="5" bestFit="1" customWidth="1"/>
    <col min="8" max="8" width="18.7109375" style="5" bestFit="1" customWidth="1"/>
    <col min="9" max="10" width="18.7109375" style="5" customWidth="1"/>
    <col min="11" max="25" width="11.42578125" style="5"/>
    <col min="26" max="16384" width="11.42578125" style="6"/>
  </cols>
  <sheetData>
    <row r="1" spans="1:25" s="4" customFormat="1" ht="33.75" customHeight="1">
      <c r="A1" s="1348" t="s">
        <v>764</v>
      </c>
      <c r="B1" s="1348"/>
      <c r="C1" s="1348"/>
      <c r="D1" s="1348"/>
      <c r="E1" s="1348"/>
      <c r="F1" s="1348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spans="1:25" s="4" customFormat="1" ht="33.75" customHeight="1">
      <c r="A2" s="1348"/>
      <c r="B2" s="1348"/>
      <c r="C2" s="1348"/>
      <c r="D2" s="1348"/>
      <c r="E2" s="1348"/>
      <c r="F2" s="1348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 s="4" customFormat="1" ht="15.75">
      <c r="A3" s="1348"/>
      <c r="B3" s="1348"/>
      <c r="C3" s="1348"/>
      <c r="D3" s="1348"/>
      <c r="E3" s="1348"/>
      <c r="F3" s="1348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</row>
    <row r="4" spans="1:25" s="4" customFormat="1" ht="15.75">
      <c r="A4" s="1349" t="str">
        <f>+'Anexo 19 Pastoral Social'!A4:F4</f>
        <v>AL 31 DE JULIO DE 2023</v>
      </c>
      <c r="B4" s="1349"/>
      <c r="C4" s="1349"/>
      <c r="D4" s="1349"/>
      <c r="E4" s="1349"/>
      <c r="F4" s="1349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</row>
    <row r="5" spans="1:25" ht="30" customHeight="1">
      <c r="A5" s="1339" t="s">
        <v>205</v>
      </c>
      <c r="B5" s="1339"/>
      <c r="C5" s="1339"/>
      <c r="D5" s="1339"/>
      <c r="E5" s="1339"/>
      <c r="F5" s="1339"/>
    </row>
    <row r="6" spans="1:25" ht="30" customHeight="1" thickBot="1">
      <c r="A6" s="1339" t="s">
        <v>206</v>
      </c>
      <c r="B6" s="1339"/>
      <c r="C6" s="1339"/>
      <c r="D6" s="1339"/>
      <c r="E6" s="1339"/>
      <c r="F6" s="1339"/>
    </row>
    <row r="7" spans="1:25" ht="30" customHeight="1" thickBot="1">
      <c r="A7" s="1346" t="s">
        <v>1</v>
      </c>
      <c r="B7" s="1347"/>
      <c r="C7" s="1347"/>
      <c r="D7" s="1347"/>
      <c r="E7" s="1347"/>
      <c r="F7" s="7" t="s">
        <v>2</v>
      </c>
    </row>
    <row r="8" spans="1:25" ht="18.600000000000001" customHeight="1">
      <c r="A8" s="8"/>
      <c r="B8" s="9"/>
      <c r="C8" s="9"/>
      <c r="D8" s="9"/>
      <c r="E8" s="10"/>
      <c r="F8" s="11"/>
      <c r="I8" s="12"/>
      <c r="J8" s="12"/>
    </row>
    <row r="9" spans="1:25" ht="18.600000000000001" customHeight="1">
      <c r="A9" s="1342" t="str">
        <f>+'Anexo 19 Pastoral Social'!A9:D9</f>
        <v>TOTAL RENDIMIENTOS GENERADOS POR LOS RECURSOS DEL FONDO DE JULIO DE 2023</v>
      </c>
      <c r="B9" s="1343"/>
      <c r="C9" s="1343"/>
      <c r="D9" s="1343"/>
      <c r="E9" s="259"/>
      <c r="F9" s="260">
        <f>F43</f>
        <v>1198704.78</v>
      </c>
      <c r="I9" s="13"/>
      <c r="J9" s="12"/>
    </row>
    <row r="10" spans="1:25" ht="18.600000000000001" customHeight="1">
      <c r="A10" s="1333" t="s">
        <v>213</v>
      </c>
      <c r="B10" s="1334"/>
      <c r="C10" s="1334"/>
      <c r="D10" s="1334"/>
      <c r="E10" s="261">
        <v>3290.32</v>
      </c>
      <c r="F10" s="262"/>
    </row>
    <row r="11" spans="1:25" ht="18.600000000000001" customHeight="1">
      <c r="A11" s="1333" t="s">
        <v>212</v>
      </c>
      <c r="B11" s="1334"/>
      <c r="C11" s="1334"/>
      <c r="D11" s="1334"/>
      <c r="E11" s="261">
        <v>29201.89</v>
      </c>
      <c r="F11" s="262"/>
    </row>
    <row r="12" spans="1:25" ht="18.600000000000001" customHeight="1">
      <c r="A12" s="1333" t="s">
        <v>223</v>
      </c>
      <c r="B12" s="1334"/>
      <c r="C12" s="1334"/>
      <c r="D12" s="1334"/>
      <c r="E12" s="261">
        <v>57752.5</v>
      </c>
      <c r="F12" s="262"/>
    </row>
    <row r="13" spans="1:25" ht="18.600000000000001" customHeight="1">
      <c r="A13" s="1333" t="s">
        <v>231</v>
      </c>
      <c r="B13" s="1334"/>
      <c r="C13" s="1334"/>
      <c r="D13" s="1334"/>
      <c r="E13" s="261">
        <v>63757.67</v>
      </c>
      <c r="F13" s="262"/>
    </row>
    <row r="14" spans="1:25" ht="18.600000000000001" customHeight="1">
      <c r="A14" s="1333" t="s">
        <v>244</v>
      </c>
      <c r="B14" s="1334"/>
      <c r="C14" s="1334"/>
      <c r="D14" s="1334"/>
      <c r="E14" s="261">
        <v>61512.62</v>
      </c>
      <c r="F14" s="262"/>
    </row>
    <row r="15" spans="1:25" ht="15.75" customHeight="1">
      <c r="A15" s="1333" t="s">
        <v>272</v>
      </c>
      <c r="B15" s="1334"/>
      <c r="C15" s="1334"/>
      <c r="D15" s="1334"/>
      <c r="E15" s="261">
        <v>63768.31</v>
      </c>
      <c r="F15" s="262"/>
    </row>
    <row r="16" spans="1:25" ht="18.600000000000001" customHeight="1">
      <c r="A16" s="1333" t="s">
        <v>276</v>
      </c>
      <c r="B16" s="1334"/>
      <c r="C16" s="1334"/>
      <c r="D16" s="1334"/>
      <c r="E16" s="261">
        <v>61522.9</v>
      </c>
      <c r="F16" s="262"/>
    </row>
    <row r="17" spans="1:7" ht="18.600000000000001" customHeight="1">
      <c r="A17" s="1333" t="s">
        <v>294</v>
      </c>
      <c r="B17" s="1334"/>
      <c r="C17" s="1334"/>
      <c r="D17" s="1334"/>
      <c r="E17" s="261">
        <v>72553.16</v>
      </c>
      <c r="F17" s="262"/>
    </row>
    <row r="18" spans="1:7" ht="18.600000000000001" customHeight="1">
      <c r="A18" s="1333" t="s">
        <v>307</v>
      </c>
      <c r="B18" s="1334"/>
      <c r="C18" s="1334"/>
      <c r="D18" s="1334"/>
      <c r="E18" s="261">
        <f>66527.07</f>
        <v>66527.070000000007</v>
      </c>
      <c r="F18" s="262"/>
      <c r="G18" s="740"/>
    </row>
    <row r="19" spans="1:7" ht="18.600000000000001" customHeight="1">
      <c r="A19" s="1117" t="s">
        <v>365</v>
      </c>
      <c r="B19" s="1118"/>
      <c r="C19" s="1118"/>
      <c r="D19" s="1118"/>
      <c r="E19" s="261">
        <f>54039.07+1</f>
        <v>54040.07</v>
      </c>
      <c r="F19" s="262"/>
      <c r="G19" s="5" t="str">
        <f>+"+1"</f>
        <v>+1</v>
      </c>
    </row>
    <row r="20" spans="1:7" ht="18.600000000000001" customHeight="1">
      <c r="A20" s="1117" t="s">
        <v>427</v>
      </c>
      <c r="B20" s="1118"/>
      <c r="C20" s="1118"/>
      <c r="D20" s="1118"/>
      <c r="E20" s="261">
        <v>30180.38</v>
      </c>
      <c r="F20" s="262"/>
    </row>
    <row r="21" spans="1:7" ht="18.600000000000001" customHeight="1">
      <c r="A21" s="1117" t="s">
        <v>462</v>
      </c>
      <c r="B21" s="1118"/>
      <c r="C21" s="1118"/>
      <c r="D21" s="1118"/>
      <c r="E21" s="261">
        <v>1523.28</v>
      </c>
      <c r="F21" s="262"/>
    </row>
    <row r="22" spans="1:7" ht="18.600000000000001" customHeight="1">
      <c r="A22" s="1117" t="s">
        <v>494</v>
      </c>
      <c r="B22" s="1118"/>
      <c r="C22" s="1118"/>
      <c r="D22" s="1118"/>
      <c r="E22" s="261">
        <v>1579.14</v>
      </c>
      <c r="F22" s="262"/>
    </row>
    <row r="23" spans="1:7" ht="18.600000000000001" customHeight="1">
      <c r="A23" s="1117" t="s">
        <v>501</v>
      </c>
      <c r="B23" s="1118"/>
      <c r="C23" s="1118"/>
      <c r="D23" s="1118"/>
      <c r="E23" s="261">
        <v>1579.27</v>
      </c>
      <c r="F23" s="262"/>
    </row>
    <row r="24" spans="1:7" ht="18.600000000000001" customHeight="1">
      <c r="A24" s="1117" t="s">
        <v>515</v>
      </c>
      <c r="B24" s="1118"/>
      <c r="C24" s="1118"/>
      <c r="D24" s="1118"/>
      <c r="E24" s="261">
        <v>1430.76</v>
      </c>
      <c r="F24" s="262"/>
    </row>
    <row r="25" spans="1:7" ht="18.600000000000001" customHeight="1">
      <c r="A25" s="1117" t="s">
        <v>520</v>
      </c>
      <c r="B25" s="1118"/>
      <c r="C25" s="1118"/>
      <c r="D25" s="1118"/>
      <c r="E25" s="261">
        <v>1579.53</v>
      </c>
      <c r="F25" s="262"/>
    </row>
    <row r="26" spans="1:7" ht="18.600000000000001" customHeight="1">
      <c r="A26" s="1117" t="s">
        <v>537</v>
      </c>
      <c r="B26" s="1118"/>
      <c r="C26" s="1118"/>
      <c r="D26" s="1118"/>
      <c r="E26" s="261">
        <f>1523.91-1</f>
        <v>1522.91</v>
      </c>
      <c r="F26" s="262"/>
      <c r="G26" s="785" t="str">
        <f>"-1"</f>
        <v>-1</v>
      </c>
    </row>
    <row r="27" spans="1:7" ht="18.600000000000001" customHeight="1">
      <c r="A27" s="1117" t="s">
        <v>567</v>
      </c>
      <c r="B27" s="1118"/>
      <c r="C27" s="1118"/>
      <c r="D27" s="1118"/>
      <c r="E27" s="261">
        <v>1579.79</v>
      </c>
      <c r="F27" s="262"/>
      <c r="G27" s="785"/>
    </row>
    <row r="28" spans="1:7" ht="18.600000000000001" customHeight="1">
      <c r="A28" s="1117" t="s">
        <v>577</v>
      </c>
      <c r="B28" s="1118"/>
      <c r="C28" s="1118"/>
      <c r="D28" s="1118"/>
      <c r="E28" s="261">
        <v>1524.16</v>
      </c>
      <c r="F28" s="262"/>
      <c r="G28" s="785"/>
    </row>
    <row r="29" spans="1:7" ht="18.600000000000001" customHeight="1">
      <c r="A29" s="1117" t="s">
        <v>625</v>
      </c>
      <c r="B29" s="1118"/>
      <c r="C29" s="1118"/>
      <c r="D29" s="1118"/>
      <c r="E29" s="261">
        <v>1580.06</v>
      </c>
      <c r="F29" s="262"/>
      <c r="G29" s="785"/>
    </row>
    <row r="30" spans="1:7" ht="18.600000000000001" customHeight="1">
      <c r="A30" s="1117" t="s">
        <v>720</v>
      </c>
      <c r="B30" s="1118"/>
      <c r="C30" s="1118"/>
      <c r="D30" s="1118"/>
      <c r="E30" s="261">
        <v>1580.19</v>
      </c>
      <c r="F30" s="262"/>
      <c r="G30" s="785"/>
    </row>
    <row r="31" spans="1:7" ht="18.600000000000001" customHeight="1">
      <c r="A31" s="1117" t="s">
        <v>647</v>
      </c>
      <c r="B31" s="1118"/>
      <c r="C31" s="1118"/>
      <c r="D31" s="1118"/>
      <c r="E31" s="261">
        <v>1524.55</v>
      </c>
      <c r="F31" s="262"/>
      <c r="G31" s="785"/>
    </row>
    <row r="32" spans="1:7" ht="18.600000000000001" customHeight="1">
      <c r="A32" s="1117" t="s">
        <v>655</v>
      </c>
      <c r="B32" s="1118"/>
      <c r="C32" s="1118"/>
      <c r="D32" s="1118"/>
      <c r="E32" s="261">
        <v>1580.45</v>
      </c>
      <c r="F32" s="262"/>
      <c r="G32" s="785"/>
    </row>
    <row r="33" spans="1:33" ht="18.600000000000001" customHeight="1">
      <c r="A33" s="1117" t="s">
        <v>665</v>
      </c>
      <c r="B33" s="1118"/>
      <c r="C33" s="1118"/>
      <c r="D33" s="1118"/>
      <c r="E33" s="261">
        <v>1524.8</v>
      </c>
      <c r="F33" s="262"/>
      <c r="G33" s="785"/>
    </row>
    <row r="34" spans="1:33" ht="18.600000000000001" customHeight="1">
      <c r="A34" s="1117" t="s">
        <v>677</v>
      </c>
      <c r="B34" s="1118"/>
      <c r="C34" s="1118"/>
      <c r="D34" s="1118"/>
      <c r="E34" s="261">
        <v>1580.72</v>
      </c>
      <c r="F34" s="262"/>
      <c r="G34" s="785"/>
    </row>
    <row r="35" spans="1:33" ht="18.600000000000001" customHeight="1">
      <c r="A35" s="1117" t="s">
        <v>687</v>
      </c>
      <c r="B35" s="1118"/>
      <c r="C35" s="1118"/>
      <c r="D35" s="1118"/>
      <c r="E35" s="261">
        <v>1580.85</v>
      </c>
      <c r="F35" s="262"/>
      <c r="G35" s="785"/>
    </row>
    <row r="36" spans="1:33" ht="18.600000000000001" customHeight="1">
      <c r="A36" s="1117" t="s">
        <v>720</v>
      </c>
      <c r="B36" s="1118"/>
      <c r="C36" s="1118"/>
      <c r="D36" s="1118"/>
      <c r="E36" s="261">
        <v>1432.19</v>
      </c>
      <c r="F36" s="262"/>
      <c r="G36" s="785"/>
    </row>
    <row r="37" spans="1:33" ht="18.600000000000001" customHeight="1">
      <c r="A37" s="1117" t="s">
        <v>729</v>
      </c>
      <c r="B37" s="1118"/>
      <c r="C37" s="1118"/>
      <c r="D37" s="1118"/>
      <c r="E37" s="261">
        <v>121987.54</v>
      </c>
      <c r="F37" s="262"/>
      <c r="G37" s="785"/>
    </row>
    <row r="38" spans="1:33" ht="18.600000000000001" customHeight="1">
      <c r="A38" s="8" t="s">
        <v>748</v>
      </c>
      <c r="B38" s="1118"/>
      <c r="C38" s="1118"/>
      <c r="D38" s="1118"/>
      <c r="E38" s="261">
        <v>118818.19</v>
      </c>
      <c r="F38" s="262"/>
      <c r="G38" s="785"/>
    </row>
    <row r="39" spans="1:33" ht="18.600000000000001" customHeight="1">
      <c r="A39" s="1119" t="str">
        <f>+'Anexo 19 Pastoral Social'!A39</f>
        <v>Rendimientos financieros AL 31 DE MAYO DE 2023</v>
      </c>
      <c r="B39" s="1118"/>
      <c r="C39" s="1118"/>
      <c r="D39" s="1118"/>
      <c r="E39" s="261">
        <v>123566.75</v>
      </c>
      <c r="F39" s="262"/>
      <c r="G39" s="785">
        <f>+SUM(E10:E39)</f>
        <v>953182.02000000025</v>
      </c>
    </row>
    <row r="40" spans="1:33" ht="18.600000000000001" customHeight="1">
      <c r="A40" s="1119" t="str">
        <f>+'Anexo 19 Pastoral Social'!A40</f>
        <v>Rendimientos financieros AL 30 DE JUNIO DE 2023</v>
      </c>
      <c r="B40" s="1118"/>
      <c r="C40" s="1118"/>
      <c r="D40" s="1118"/>
      <c r="E40" s="261">
        <v>120356.37</v>
      </c>
      <c r="F40" s="262"/>
      <c r="G40" s="785"/>
    </row>
    <row r="41" spans="1:33" ht="18.600000000000001" customHeight="1">
      <c r="A41" s="1119" t="str">
        <f>+'Anexo 19 Pastoral Social'!A41</f>
        <v>Rendimientos financieros AL 31 DE JULIO DE 2023</v>
      </c>
      <c r="B41" s="1129"/>
      <c r="C41" s="1129"/>
      <c r="D41" s="1129"/>
      <c r="E41" s="261">
        <v>125166.39</v>
      </c>
      <c r="F41" s="262"/>
      <c r="G41" s="785"/>
    </row>
    <row r="42" spans="1:33" s="5" customFormat="1" ht="18.600000000000001" customHeight="1">
      <c r="A42" s="268"/>
      <c r="B42" s="269"/>
      <c r="C42" s="269"/>
      <c r="D42" s="269"/>
      <c r="E42" s="263"/>
      <c r="F42" s="264"/>
      <c r="G42" s="776" t="s">
        <v>535</v>
      </c>
      <c r="H42" s="775" t="s">
        <v>536</v>
      </c>
      <c r="I42" s="775" t="s">
        <v>516</v>
      </c>
      <c r="J42" s="742" t="s">
        <v>65</v>
      </c>
      <c r="Z42" s="6"/>
      <c r="AA42" s="6"/>
      <c r="AB42" s="6"/>
      <c r="AC42" s="6"/>
      <c r="AD42" s="6"/>
      <c r="AE42" s="6"/>
      <c r="AF42" s="6"/>
      <c r="AG42" s="6"/>
    </row>
    <row r="43" spans="1:33" s="5" customFormat="1" ht="24.75" customHeight="1" thickBot="1">
      <c r="A43" s="14" t="str">
        <f>+'Anexo 19 Pastoral Social'!A46</f>
        <v>TOTAL RENDIMIENTOS DISPONIBLES AL 31 DE JULIO DE 2023</v>
      </c>
      <c r="B43" s="15"/>
      <c r="C43" s="15"/>
      <c r="D43" s="15"/>
      <c r="E43" s="265"/>
      <c r="F43" s="266">
        <f>SUM(E9:E42)</f>
        <v>1198704.78</v>
      </c>
      <c r="G43" s="5">
        <f>+F43+Adhesiones!H77</f>
        <v>19211227.780000001</v>
      </c>
      <c r="H43" s="741">
        <f>+G43-F43</f>
        <v>18012523</v>
      </c>
      <c r="I43" s="5">
        <f>-'Anexo 3-Porcion C-NC'!B29</f>
        <v>-18012523</v>
      </c>
      <c r="J43" s="5">
        <f>+H43+I43</f>
        <v>0</v>
      </c>
      <c r="Z43" s="6"/>
      <c r="AA43" s="6"/>
      <c r="AB43" s="6"/>
      <c r="AC43" s="6"/>
      <c r="AD43" s="6"/>
      <c r="AE43" s="6"/>
      <c r="AF43" s="6"/>
      <c r="AG43" s="6"/>
    </row>
    <row r="44" spans="1:33" s="20" customFormat="1" ht="15.75">
      <c r="A44" s="6"/>
      <c r="B44" s="6"/>
      <c r="C44" s="16"/>
      <c r="D44" s="17"/>
      <c r="E44" s="18"/>
      <c r="F44" s="19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</row>
    <row r="45" spans="1:33" s="20" customFormat="1" ht="15.75">
      <c r="A45" s="6"/>
      <c r="B45" s="6"/>
      <c r="C45" s="16"/>
      <c r="D45" s="17"/>
      <c r="E45" s="21"/>
      <c r="F45" s="19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</row>
    <row r="46" spans="1:33" s="20" customFormat="1" ht="15.75">
      <c r="A46" s="6"/>
      <c r="B46" s="6"/>
      <c r="C46" s="16"/>
      <c r="D46" s="17"/>
      <c r="E46" s="22"/>
      <c r="F46" s="19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</row>
    <row r="47" spans="1:33" s="20" customFormat="1" ht="15.75">
      <c r="A47" s="6"/>
      <c r="B47" s="6"/>
      <c r="C47" s="16"/>
      <c r="D47" s="17"/>
      <c r="E47" s="22"/>
      <c r="F47" s="19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</row>
    <row r="48" spans="1:33" s="5" customFormat="1" ht="16.5" thickBot="1">
      <c r="A48" s="23"/>
      <c r="B48" s="24"/>
      <c r="C48" s="25"/>
      <c r="D48" s="131"/>
      <c r="E48" s="132"/>
      <c r="F48" s="133"/>
    </row>
    <row r="49" spans="1:25" s="5" customFormat="1" ht="15" customHeight="1">
      <c r="A49" s="1336" t="s">
        <v>135</v>
      </c>
      <c r="B49" s="1336"/>
      <c r="C49" s="1"/>
      <c r="D49" s="1336" t="s">
        <v>517</v>
      </c>
      <c r="E49" s="1336"/>
      <c r="F49" s="224"/>
    </row>
    <row r="50" spans="1:25" s="5" customFormat="1" ht="14.45" customHeight="1">
      <c r="A50" s="1332" t="s">
        <v>145</v>
      </c>
      <c r="B50" s="1332"/>
      <c r="C50" s="2"/>
      <c r="D50" s="1332" t="s">
        <v>519</v>
      </c>
      <c r="E50" s="1332"/>
      <c r="F50" s="225"/>
    </row>
    <row r="51" spans="1:25" s="5" customFormat="1" ht="15.75" customHeight="1">
      <c r="A51" s="1332" t="s">
        <v>48</v>
      </c>
      <c r="B51" s="1332"/>
      <c r="C51" s="2"/>
      <c r="D51" s="1332" t="s">
        <v>48</v>
      </c>
      <c r="E51" s="1332"/>
      <c r="F51" s="225"/>
    </row>
    <row r="52" spans="1:25" s="20" customFormat="1" ht="15.75" customHeight="1">
      <c r="A52" s="6"/>
      <c r="B52" s="6"/>
      <c r="C52" s="16"/>
      <c r="D52" s="1335" t="s">
        <v>518</v>
      </c>
      <c r="E52" s="1335"/>
      <c r="F52" s="22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</row>
    <row r="53" spans="1:25" s="20" customFormat="1" ht="15.75">
      <c r="A53" s="6"/>
      <c r="B53" s="6"/>
      <c r="C53" s="16"/>
      <c r="D53" s="17"/>
      <c r="E53" s="22"/>
      <c r="F53" s="19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</row>
    <row r="54" spans="1:25" s="20" customFormat="1" ht="15.75">
      <c r="A54" s="6"/>
      <c r="B54" s="6"/>
      <c r="C54" s="16"/>
      <c r="D54" s="17"/>
      <c r="E54" s="22"/>
      <c r="F54" s="19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</row>
    <row r="55" spans="1:25" s="20" customFormat="1" ht="15.75">
      <c r="A55" s="27"/>
      <c r="B55" s="27"/>
      <c r="C55" s="27"/>
      <c r="D55" s="27"/>
      <c r="E55" s="27"/>
      <c r="F55" s="19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</row>
    <row r="56" spans="1:25" s="5" customFormat="1" ht="15.75">
      <c r="A56" s="27"/>
      <c r="B56" s="27"/>
      <c r="C56" s="27"/>
      <c r="D56" s="27"/>
      <c r="E56" s="27"/>
      <c r="F56" s="26"/>
    </row>
    <row r="57" spans="1:25" s="5" customFormat="1" ht="15" customHeight="1">
      <c r="A57" s="27"/>
      <c r="B57" s="27"/>
      <c r="C57" s="27"/>
      <c r="D57" s="27"/>
      <c r="E57" s="27"/>
      <c r="F57" s="26"/>
    </row>
    <row r="58" spans="1:25" s="5" customFormat="1" ht="14.45" customHeight="1">
      <c r="A58" s="27"/>
      <c r="B58" s="27"/>
      <c r="C58" s="27"/>
      <c r="D58" s="27"/>
      <c r="E58" s="27"/>
      <c r="F58" s="26"/>
    </row>
    <row r="59" spans="1:25" s="5" customFormat="1" ht="14.45" customHeight="1">
      <c r="A59" s="27"/>
      <c r="B59" s="27"/>
      <c r="C59" s="27"/>
      <c r="D59" s="27"/>
      <c r="E59" s="27"/>
      <c r="F59" s="26"/>
    </row>
    <row r="60" spans="1:25" s="20" customFormat="1" ht="15.75">
      <c r="A60" s="27"/>
      <c r="B60" s="27"/>
      <c r="C60" s="27"/>
      <c r="D60" s="27"/>
      <c r="E60" s="27"/>
      <c r="F60" s="19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</row>
    <row r="61" spans="1:25" s="20" customFormat="1" ht="15.75">
      <c r="A61" s="6"/>
      <c r="B61" s="6"/>
      <c r="C61" s="16"/>
      <c r="D61" s="17"/>
      <c r="E61" s="6"/>
      <c r="F61" s="19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</row>
    <row r="62" spans="1:25" s="20" customFormat="1" ht="15.75">
      <c r="A62" s="6"/>
      <c r="B62" s="6"/>
      <c r="C62" s="16"/>
      <c r="D62" s="17"/>
      <c r="E62" s="6"/>
      <c r="F62" s="19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</row>
    <row r="63" spans="1:25" s="20" customFormat="1" ht="15.75">
      <c r="A63" s="6"/>
      <c r="B63" s="6"/>
      <c r="C63" s="16"/>
      <c r="D63" s="17"/>
      <c r="E63" s="6"/>
      <c r="F63" s="19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</row>
    <row r="64" spans="1:25" s="20" customFormat="1" ht="15.75">
      <c r="A64" s="6"/>
      <c r="B64" s="6"/>
      <c r="C64" s="16"/>
      <c r="D64" s="17"/>
      <c r="E64" s="6"/>
      <c r="F64" s="19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</row>
    <row r="65" spans="1:25" s="20" customFormat="1" ht="15.75">
      <c r="A65" s="6"/>
      <c r="B65" s="6"/>
      <c r="C65" s="16"/>
      <c r="D65" s="17"/>
      <c r="E65" s="6"/>
      <c r="F65" s="19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</row>
    <row r="66" spans="1:25" s="20" customFormat="1" ht="15.75">
      <c r="A66" s="6"/>
      <c r="B66" s="6"/>
      <c r="C66" s="16"/>
      <c r="D66" s="17"/>
      <c r="E66" s="6"/>
      <c r="F66" s="19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</row>
    <row r="67" spans="1:25" s="20" customFormat="1" ht="15.75">
      <c r="A67" s="6"/>
      <c r="B67" s="6"/>
      <c r="C67" s="16"/>
      <c r="D67" s="17"/>
      <c r="E67" s="6"/>
      <c r="F67" s="19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</row>
    <row r="68" spans="1:25" s="20" customFormat="1" ht="15.75">
      <c r="A68" s="6"/>
      <c r="B68" s="6"/>
      <c r="C68" s="16"/>
      <c r="D68" s="17"/>
      <c r="E68" s="6"/>
      <c r="F68" s="19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</row>
    <row r="69" spans="1:25" s="20" customFormat="1" ht="15.75">
      <c r="A69" s="6"/>
      <c r="B69" s="6"/>
      <c r="C69" s="16"/>
      <c r="D69" s="17"/>
      <c r="E69" s="6"/>
      <c r="F69" s="19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</row>
    <row r="70" spans="1:25" s="20" customFormat="1" ht="15.75">
      <c r="A70" s="6"/>
      <c r="B70" s="6"/>
      <c r="C70" s="16"/>
      <c r="D70" s="17"/>
      <c r="E70" s="6"/>
      <c r="F70" s="19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</row>
    <row r="71" spans="1:25" s="20" customFormat="1" ht="15.75">
      <c r="A71" s="6"/>
      <c r="B71" s="6"/>
      <c r="C71" s="16"/>
      <c r="D71" s="17"/>
      <c r="E71" s="6"/>
      <c r="F71" s="19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</row>
    <row r="72" spans="1:25" s="20" customFormat="1" ht="15.75">
      <c r="A72" s="6"/>
      <c r="B72" s="6"/>
      <c r="C72" s="16"/>
      <c r="D72" s="17"/>
      <c r="E72" s="6"/>
      <c r="F72" s="19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</row>
    <row r="73" spans="1:25" s="20" customFormat="1" ht="15.75">
      <c r="A73" s="6"/>
      <c r="B73" s="6"/>
      <c r="C73" s="16"/>
      <c r="D73" s="17"/>
      <c r="E73" s="6"/>
      <c r="F73" s="19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</row>
    <row r="74" spans="1:25" s="20" customFormat="1" ht="15.75">
      <c r="A74" s="6"/>
      <c r="B74" s="6"/>
      <c r="C74" s="16"/>
      <c r="D74" s="17"/>
      <c r="E74" s="6"/>
      <c r="F74" s="19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</row>
    <row r="75" spans="1:25" s="20" customFormat="1" ht="15.75">
      <c r="A75" s="6"/>
      <c r="B75" s="6"/>
      <c r="C75" s="16"/>
      <c r="D75" s="17"/>
      <c r="E75" s="6"/>
      <c r="F75" s="19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</row>
    <row r="76" spans="1:25" s="20" customFormat="1" ht="15.75">
      <c r="A76" s="6"/>
      <c r="B76" s="6"/>
      <c r="C76" s="16"/>
      <c r="D76" s="17"/>
      <c r="E76" s="6"/>
      <c r="F76" s="19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</row>
    <row r="77" spans="1:25" s="20" customFormat="1" ht="15.75">
      <c r="A77" s="6"/>
      <c r="B77" s="6"/>
      <c r="C77" s="16"/>
      <c r="D77" s="17"/>
      <c r="E77" s="6"/>
      <c r="F77" s="19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</row>
    <row r="78" spans="1:25" s="20" customFormat="1" ht="15.75">
      <c r="A78" s="6"/>
      <c r="B78" s="6"/>
      <c r="C78" s="16"/>
      <c r="D78" s="17"/>
      <c r="E78" s="6"/>
      <c r="F78" s="19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</row>
    <row r="79" spans="1:25" s="20" customFormat="1" ht="15.75">
      <c r="A79" s="6"/>
      <c r="B79" s="6"/>
      <c r="C79" s="16"/>
      <c r="D79" s="17"/>
      <c r="E79" s="6"/>
      <c r="F79" s="19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</row>
    <row r="80" spans="1:25" s="20" customFormat="1" ht="89.25" customHeight="1">
      <c r="A80" s="6"/>
      <c r="B80" s="6"/>
      <c r="C80" s="16"/>
      <c r="D80" s="17"/>
      <c r="E80" s="6"/>
      <c r="F80" s="19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</row>
    <row r="81" spans="1:25" s="20" customFormat="1" ht="89.25" customHeight="1">
      <c r="A81" s="6"/>
      <c r="B81" s="6"/>
      <c r="C81" s="16"/>
      <c r="D81" s="17"/>
      <c r="E81" s="6"/>
      <c r="F81" s="19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</row>
    <row r="82" spans="1:25" s="20" customFormat="1" ht="89.25" customHeight="1">
      <c r="A82" s="6"/>
      <c r="B82" s="6"/>
      <c r="C82" s="16"/>
      <c r="D82" s="17"/>
      <c r="E82" s="6"/>
      <c r="F82" s="19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</row>
    <row r="83" spans="1:25" s="20" customFormat="1" ht="89.25" customHeight="1">
      <c r="A83" s="6"/>
      <c r="B83" s="6"/>
      <c r="C83" s="16"/>
      <c r="D83" s="17"/>
      <c r="E83" s="6"/>
      <c r="F83" s="19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</row>
    <row r="84" spans="1:25" s="20" customFormat="1" ht="89.25" customHeight="1">
      <c r="A84" s="6"/>
      <c r="B84" s="6"/>
      <c r="C84" s="16"/>
      <c r="D84" s="17"/>
      <c r="E84" s="6"/>
      <c r="F84" s="19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</row>
    <row r="85" spans="1:25" s="20" customFormat="1" ht="89.25" customHeight="1">
      <c r="A85" s="6"/>
      <c r="B85" s="6"/>
      <c r="C85" s="16"/>
      <c r="D85" s="17"/>
      <c r="E85" s="6"/>
      <c r="F85" s="19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</row>
    <row r="86" spans="1:25" s="20" customFormat="1" ht="89.25" customHeight="1">
      <c r="A86" s="6"/>
      <c r="B86" s="6"/>
      <c r="C86" s="16"/>
      <c r="D86" s="17"/>
      <c r="E86" s="6"/>
      <c r="F86" s="19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</row>
    <row r="87" spans="1:25" s="20" customFormat="1" ht="89.25" customHeight="1">
      <c r="A87" s="6"/>
      <c r="B87" s="6"/>
      <c r="C87" s="16"/>
      <c r="D87" s="17"/>
      <c r="E87" s="6"/>
      <c r="F87" s="19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</row>
    <row r="88" spans="1:25" s="20" customFormat="1" ht="89.25" customHeight="1">
      <c r="A88" s="6"/>
      <c r="B88" s="6"/>
      <c r="C88" s="16"/>
      <c r="D88" s="17"/>
      <c r="E88" s="6"/>
      <c r="F88" s="19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</row>
    <row r="89" spans="1:25" s="20" customFormat="1" ht="89.25" customHeight="1">
      <c r="A89" s="6"/>
      <c r="B89" s="6"/>
      <c r="C89" s="16"/>
      <c r="D89" s="17"/>
      <c r="E89" s="6"/>
      <c r="F89" s="19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</row>
    <row r="90" spans="1:25" s="20" customFormat="1" ht="89.25" customHeight="1">
      <c r="A90" s="6"/>
      <c r="B90" s="6"/>
      <c r="C90" s="16"/>
      <c r="D90" s="17"/>
      <c r="E90" s="6"/>
      <c r="F90" s="19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</row>
    <row r="91" spans="1:25" s="20" customFormat="1" ht="89.25" customHeight="1">
      <c r="A91" s="6"/>
      <c r="B91" s="6"/>
      <c r="C91" s="16"/>
      <c r="D91" s="17"/>
      <c r="E91" s="6"/>
      <c r="F91" s="19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</row>
    <row r="92" spans="1:25" s="20" customFormat="1" ht="89.25" customHeight="1">
      <c r="A92" s="6"/>
      <c r="B92" s="6"/>
      <c r="C92" s="16"/>
      <c r="D92" s="17"/>
      <c r="E92" s="6"/>
      <c r="F92" s="19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</row>
    <row r="93" spans="1:25" s="20" customFormat="1" ht="89.25" customHeight="1">
      <c r="A93" s="6"/>
      <c r="B93" s="6"/>
      <c r="C93" s="16"/>
      <c r="D93" s="17"/>
      <c r="E93" s="6"/>
      <c r="F93" s="19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</row>
    <row r="94" spans="1:25" s="20" customFormat="1" ht="89.25" customHeight="1">
      <c r="A94" s="6"/>
      <c r="B94" s="6"/>
      <c r="C94" s="16"/>
      <c r="D94" s="17"/>
      <c r="E94" s="6"/>
      <c r="F94" s="19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</row>
    <row r="95" spans="1:25" s="20" customFormat="1" ht="89.25" customHeight="1">
      <c r="A95" s="6"/>
      <c r="B95" s="6"/>
      <c r="C95" s="16"/>
      <c r="D95" s="17"/>
      <c r="E95" s="6"/>
      <c r="F95" s="19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</row>
    <row r="96" spans="1:25" s="20" customFormat="1" ht="89.25" customHeight="1">
      <c r="A96" s="6"/>
      <c r="B96" s="6"/>
      <c r="C96" s="16"/>
      <c r="D96" s="17"/>
      <c r="E96" s="6"/>
      <c r="F96" s="19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</row>
    <row r="97" spans="1:25" s="20" customFormat="1" ht="89.25" customHeight="1">
      <c r="A97" s="6"/>
      <c r="B97" s="6"/>
      <c r="C97" s="16"/>
      <c r="D97" s="17"/>
      <c r="E97" s="6"/>
      <c r="F97" s="19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</row>
    <row r="98" spans="1:25" s="20" customFormat="1" ht="89.25" customHeight="1">
      <c r="A98" s="6"/>
      <c r="B98" s="6"/>
      <c r="C98" s="16"/>
      <c r="D98" s="17"/>
      <c r="E98" s="6"/>
      <c r="F98" s="19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</row>
    <row r="99" spans="1:25" s="20" customFormat="1" ht="89.25" customHeight="1">
      <c r="A99" s="6"/>
      <c r="B99" s="6"/>
      <c r="C99" s="16"/>
      <c r="D99" s="17"/>
      <c r="E99" s="6"/>
      <c r="F99" s="19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</row>
    <row r="100" spans="1:25" s="20" customFormat="1" ht="89.25" customHeight="1">
      <c r="A100" s="6"/>
      <c r="B100" s="6"/>
      <c r="C100" s="16"/>
      <c r="D100" s="17"/>
      <c r="E100" s="6"/>
      <c r="F100" s="19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</row>
    <row r="101" spans="1:25" s="20" customFormat="1" ht="89.25" customHeight="1">
      <c r="A101" s="6"/>
      <c r="B101" s="6"/>
      <c r="C101" s="16"/>
      <c r="D101" s="17"/>
      <c r="E101" s="6"/>
      <c r="F101" s="19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</row>
    <row r="102" spans="1:25" s="20" customFormat="1" ht="89.25" customHeight="1">
      <c r="A102" s="6"/>
      <c r="B102" s="6"/>
      <c r="C102" s="16"/>
      <c r="D102" s="17"/>
      <c r="E102" s="6"/>
      <c r="F102" s="19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</row>
    <row r="103" spans="1:25" s="20" customFormat="1" ht="89.25" customHeight="1">
      <c r="A103" s="6"/>
      <c r="B103" s="6"/>
      <c r="C103" s="16"/>
      <c r="D103" s="17"/>
      <c r="E103" s="6"/>
      <c r="F103" s="19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</row>
    <row r="104" spans="1:25" s="20" customFormat="1" ht="89.25" customHeight="1">
      <c r="A104" s="6"/>
      <c r="B104" s="6"/>
      <c r="C104" s="16"/>
      <c r="D104" s="17"/>
      <c r="E104" s="6"/>
      <c r="F104" s="19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</row>
    <row r="105" spans="1:25" s="20" customFormat="1" ht="89.25" customHeight="1">
      <c r="A105" s="6"/>
      <c r="B105" s="6"/>
      <c r="C105" s="16"/>
      <c r="D105" s="17"/>
      <c r="E105" s="6"/>
      <c r="F105" s="19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</row>
    <row r="106" spans="1:25" s="20" customFormat="1" ht="89.25" customHeight="1">
      <c r="A106" s="6"/>
      <c r="B106" s="6"/>
      <c r="C106" s="16"/>
      <c r="D106" s="17"/>
      <c r="E106" s="6"/>
      <c r="F106" s="19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</row>
    <row r="107" spans="1:25" s="20" customFormat="1" ht="89.25" customHeight="1">
      <c r="A107" s="6"/>
      <c r="B107" s="6"/>
      <c r="C107" s="16"/>
      <c r="D107" s="17"/>
      <c r="E107" s="6"/>
      <c r="F107" s="19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</row>
    <row r="108" spans="1:25" s="20" customFormat="1" ht="89.25" customHeight="1">
      <c r="A108" s="6"/>
      <c r="B108" s="6"/>
      <c r="C108" s="16"/>
      <c r="D108" s="17"/>
      <c r="E108" s="6"/>
      <c r="F108" s="19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</row>
    <row r="109" spans="1:25" s="20" customFormat="1" ht="89.25" customHeight="1">
      <c r="A109" s="6"/>
      <c r="B109" s="6"/>
      <c r="C109" s="16"/>
      <c r="D109" s="17"/>
      <c r="E109" s="6"/>
      <c r="F109" s="19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</row>
    <row r="110" spans="1:25" s="20" customFormat="1" ht="89.25" customHeight="1">
      <c r="A110" s="6"/>
      <c r="B110" s="6"/>
      <c r="C110" s="16"/>
      <c r="D110" s="17"/>
      <c r="E110" s="6"/>
      <c r="F110" s="19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</row>
    <row r="111" spans="1:25" s="20" customFormat="1" ht="89.25" customHeight="1">
      <c r="A111" s="6"/>
      <c r="B111" s="6"/>
      <c r="C111" s="16"/>
      <c r="D111" s="17"/>
      <c r="E111" s="6"/>
      <c r="F111" s="19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</row>
    <row r="112" spans="1:25" s="20" customFormat="1" ht="89.25" customHeight="1">
      <c r="A112" s="6"/>
      <c r="B112" s="6"/>
      <c r="C112" s="16"/>
      <c r="D112" s="17"/>
      <c r="E112" s="6"/>
      <c r="F112" s="19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</row>
    <row r="113" spans="1:25" s="20" customFormat="1" ht="89.25" customHeight="1">
      <c r="A113" s="6"/>
      <c r="B113" s="6"/>
      <c r="C113" s="16"/>
      <c r="D113" s="17"/>
      <c r="E113" s="6"/>
      <c r="F113" s="19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</row>
    <row r="114" spans="1:25" s="20" customFormat="1" ht="89.25" customHeight="1">
      <c r="A114" s="6"/>
      <c r="B114" s="6"/>
      <c r="C114" s="16"/>
      <c r="D114" s="17"/>
      <c r="E114" s="6"/>
      <c r="F114" s="19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</row>
    <row r="115" spans="1:25" s="20" customFormat="1" ht="89.25" customHeight="1">
      <c r="A115" s="6"/>
      <c r="B115" s="6"/>
      <c r="C115" s="16"/>
      <c r="D115" s="17"/>
      <c r="E115" s="6"/>
      <c r="F115" s="19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</row>
    <row r="116" spans="1:25" s="20" customFormat="1" ht="89.25" customHeight="1">
      <c r="A116" s="6"/>
      <c r="B116" s="6"/>
      <c r="C116" s="16"/>
      <c r="D116" s="17"/>
      <c r="E116" s="6"/>
      <c r="F116" s="19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</row>
    <row r="117" spans="1:25" s="20" customFormat="1" ht="89.25" customHeight="1">
      <c r="A117" s="6"/>
      <c r="B117" s="6"/>
      <c r="C117" s="16"/>
      <c r="D117" s="17"/>
      <c r="E117" s="6"/>
      <c r="F117" s="19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</row>
    <row r="118" spans="1:25" s="20" customFormat="1" ht="89.25" customHeight="1">
      <c r="A118" s="6"/>
      <c r="B118" s="6"/>
      <c r="C118" s="16"/>
      <c r="D118" s="17"/>
      <c r="E118" s="6"/>
      <c r="F118" s="19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</row>
    <row r="119" spans="1:25" s="20" customFormat="1" ht="89.25" customHeight="1">
      <c r="A119" s="6"/>
      <c r="B119" s="6"/>
      <c r="C119" s="16"/>
      <c r="D119" s="17"/>
      <c r="E119" s="6"/>
      <c r="F119" s="19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</row>
    <row r="120" spans="1:25" s="20" customFormat="1" ht="89.25" customHeight="1">
      <c r="A120" s="6"/>
      <c r="B120" s="6"/>
      <c r="C120" s="16"/>
      <c r="D120" s="17"/>
      <c r="E120" s="6"/>
      <c r="F120" s="19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</row>
    <row r="121" spans="1:25" s="20" customFormat="1" ht="89.25" customHeight="1">
      <c r="A121" s="6"/>
      <c r="B121" s="6"/>
      <c r="C121" s="16"/>
      <c r="D121" s="17"/>
      <c r="E121" s="6"/>
      <c r="F121" s="19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</row>
    <row r="122" spans="1:25" s="20" customFormat="1" ht="89.25" customHeight="1">
      <c r="A122" s="6"/>
      <c r="B122" s="6"/>
      <c r="C122" s="16"/>
      <c r="D122" s="17"/>
      <c r="E122" s="6"/>
      <c r="F122" s="19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</row>
    <row r="123" spans="1:25" s="20" customFormat="1" ht="89.25" customHeight="1">
      <c r="A123" s="6"/>
      <c r="B123" s="6"/>
      <c r="C123" s="16"/>
      <c r="D123" s="17"/>
      <c r="E123" s="6"/>
      <c r="F123" s="19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</row>
    <row r="124" spans="1:25" s="20" customFormat="1" ht="89.25" customHeight="1">
      <c r="A124" s="6"/>
      <c r="B124" s="6"/>
      <c r="C124" s="16"/>
      <c r="D124" s="17"/>
      <c r="E124" s="6"/>
      <c r="F124" s="19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</row>
    <row r="125" spans="1:25" s="20" customFormat="1" ht="89.25" customHeight="1">
      <c r="A125" s="6"/>
      <c r="B125" s="6"/>
      <c r="C125" s="16"/>
      <c r="D125" s="17"/>
      <c r="E125" s="6"/>
      <c r="F125" s="19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</row>
    <row r="126" spans="1:25" s="20" customFormat="1" ht="89.25" customHeight="1">
      <c r="A126" s="6"/>
      <c r="B126" s="6"/>
      <c r="C126" s="16"/>
      <c r="D126" s="17"/>
      <c r="E126" s="6"/>
      <c r="F126" s="19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</row>
    <row r="127" spans="1:25" s="20" customFormat="1" ht="89.25" customHeight="1">
      <c r="A127" s="6"/>
      <c r="B127" s="6"/>
      <c r="C127" s="16"/>
      <c r="D127" s="17"/>
      <c r="E127" s="6"/>
      <c r="F127" s="19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</row>
    <row r="128" spans="1:25" s="20" customFormat="1" ht="89.25" customHeight="1">
      <c r="A128" s="6"/>
      <c r="B128" s="6"/>
      <c r="C128" s="16"/>
      <c r="D128" s="17"/>
      <c r="E128" s="6"/>
      <c r="F128" s="19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</row>
    <row r="129" spans="1:25" s="20" customFormat="1" ht="89.25" customHeight="1">
      <c r="A129" s="6"/>
      <c r="B129" s="6"/>
      <c r="C129" s="16"/>
      <c r="D129" s="17"/>
      <c r="E129" s="6"/>
      <c r="F129" s="19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</row>
    <row r="130" spans="1:25" s="20" customFormat="1" ht="89.25" customHeight="1">
      <c r="A130" s="6"/>
      <c r="B130" s="6"/>
      <c r="C130" s="16"/>
      <c r="D130" s="17"/>
      <c r="E130" s="6"/>
      <c r="F130" s="19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</row>
    <row r="131" spans="1:25" s="20" customFormat="1" ht="89.25" customHeight="1">
      <c r="A131" s="6"/>
      <c r="B131" s="6"/>
      <c r="C131" s="16"/>
      <c r="D131" s="17"/>
      <c r="E131" s="6"/>
      <c r="F131" s="19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</row>
    <row r="132" spans="1:25" s="20" customFormat="1" ht="89.25" customHeight="1">
      <c r="A132" s="6"/>
      <c r="B132" s="6"/>
      <c r="C132" s="16"/>
      <c r="D132" s="17"/>
      <c r="E132" s="6"/>
      <c r="F132" s="19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</row>
    <row r="133" spans="1:25" s="20" customFormat="1" ht="89.25" customHeight="1">
      <c r="A133" s="6"/>
      <c r="B133" s="6"/>
      <c r="C133" s="16"/>
      <c r="D133" s="17"/>
      <c r="E133" s="6"/>
      <c r="F133" s="19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</row>
    <row r="134" spans="1:25" s="20" customFormat="1" ht="89.25" customHeight="1">
      <c r="A134" s="6"/>
      <c r="B134" s="6"/>
      <c r="C134" s="16"/>
      <c r="D134" s="17"/>
      <c r="E134" s="6"/>
      <c r="F134" s="19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</row>
    <row r="135" spans="1:25" s="20" customFormat="1" ht="89.25" customHeight="1">
      <c r="A135" s="6"/>
      <c r="B135" s="6"/>
      <c r="C135" s="16"/>
      <c r="D135" s="17"/>
      <c r="E135" s="6"/>
      <c r="F135" s="19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</row>
    <row r="136" spans="1:25" s="20" customFormat="1" ht="89.25" customHeight="1">
      <c r="A136" s="6"/>
      <c r="B136" s="6"/>
      <c r="C136" s="16"/>
      <c r="D136" s="17"/>
      <c r="E136" s="6"/>
      <c r="F136" s="19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</row>
    <row r="137" spans="1:25" s="20" customFormat="1" ht="89.25" customHeight="1">
      <c r="A137" s="6"/>
      <c r="B137" s="6"/>
      <c r="C137" s="16"/>
      <c r="D137" s="17"/>
      <c r="E137" s="6"/>
      <c r="F137" s="19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</row>
    <row r="138" spans="1:25" s="20" customFormat="1" ht="89.25" customHeight="1">
      <c r="A138" s="6"/>
      <c r="B138" s="6"/>
      <c r="C138" s="16"/>
      <c r="D138" s="17"/>
      <c r="E138" s="6"/>
      <c r="F138" s="19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</row>
    <row r="139" spans="1:25" s="20" customFormat="1" ht="89.25" customHeight="1">
      <c r="A139" s="6"/>
      <c r="B139" s="6"/>
      <c r="C139" s="16"/>
      <c r="D139" s="17"/>
      <c r="E139" s="6"/>
      <c r="F139" s="19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</row>
    <row r="140" spans="1:25" s="20" customFormat="1" ht="89.25" customHeight="1">
      <c r="A140" s="6"/>
      <c r="B140" s="6"/>
      <c r="C140" s="16"/>
      <c r="D140" s="17"/>
      <c r="E140" s="6"/>
      <c r="F140" s="19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</row>
    <row r="141" spans="1:25" s="20" customFormat="1" ht="89.25" customHeight="1">
      <c r="A141" s="6"/>
      <c r="B141" s="6"/>
      <c r="C141" s="16"/>
      <c r="D141" s="17"/>
      <c r="E141" s="6"/>
      <c r="F141" s="19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</row>
    <row r="142" spans="1:25" s="20" customFormat="1" ht="89.25" customHeight="1">
      <c r="A142" s="6"/>
      <c r="B142" s="6"/>
      <c r="C142" s="16"/>
      <c r="D142" s="17"/>
      <c r="E142" s="6"/>
      <c r="F142" s="19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</row>
    <row r="143" spans="1:25" s="20" customFormat="1" ht="89.25" customHeight="1">
      <c r="A143" s="6"/>
      <c r="B143" s="6"/>
      <c r="C143" s="16"/>
      <c r="D143" s="17"/>
      <c r="E143" s="6"/>
      <c r="F143" s="19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</row>
    <row r="144" spans="1:25" s="20" customFormat="1" ht="89.25" customHeight="1">
      <c r="A144" s="6"/>
      <c r="B144" s="6"/>
      <c r="C144" s="16"/>
      <c r="D144" s="17"/>
      <c r="E144" s="6"/>
      <c r="F144" s="19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</row>
    <row r="145" spans="1:25" s="20" customFormat="1" ht="89.25" customHeight="1">
      <c r="A145" s="6"/>
      <c r="B145" s="6"/>
      <c r="C145" s="16"/>
      <c r="D145" s="17"/>
      <c r="E145" s="6"/>
      <c r="F145" s="19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</row>
    <row r="146" spans="1:25" s="20" customFormat="1" ht="89.25" customHeight="1">
      <c r="A146" s="6"/>
      <c r="B146" s="6"/>
      <c r="C146" s="16"/>
      <c r="D146" s="17"/>
      <c r="E146" s="6"/>
      <c r="F146" s="19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</row>
    <row r="147" spans="1:25" s="20" customFormat="1" ht="89.25" customHeight="1">
      <c r="A147" s="6"/>
      <c r="B147" s="6"/>
      <c r="C147" s="16"/>
      <c r="D147" s="17"/>
      <c r="E147" s="6"/>
      <c r="F147" s="19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</row>
    <row r="148" spans="1:25" s="20" customFormat="1" ht="89.25" customHeight="1">
      <c r="A148" s="6"/>
      <c r="B148" s="6"/>
      <c r="C148" s="16"/>
      <c r="D148" s="17"/>
      <c r="E148" s="6"/>
      <c r="F148" s="19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</row>
    <row r="149" spans="1:25" s="20" customFormat="1" ht="89.25" customHeight="1">
      <c r="A149" s="6"/>
      <c r="B149" s="6"/>
      <c r="C149" s="16"/>
      <c r="D149" s="17"/>
      <c r="E149" s="6"/>
      <c r="F149" s="19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</row>
    <row r="150" spans="1:25" s="20" customFormat="1" ht="89.25" customHeight="1">
      <c r="A150" s="6"/>
      <c r="B150" s="6"/>
      <c r="C150" s="16"/>
      <c r="D150" s="17"/>
      <c r="E150" s="6"/>
      <c r="F150" s="19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</row>
    <row r="151" spans="1:25" s="20" customFormat="1" ht="89.25" customHeight="1">
      <c r="A151" s="6"/>
      <c r="B151" s="6"/>
      <c r="C151" s="16"/>
      <c r="D151" s="17"/>
      <c r="E151" s="6"/>
      <c r="F151" s="19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</row>
    <row r="152" spans="1:25" s="20" customFormat="1" ht="89.25" customHeight="1">
      <c r="A152" s="6"/>
      <c r="B152" s="6"/>
      <c r="C152" s="16"/>
      <c r="D152" s="17"/>
      <c r="E152" s="6"/>
      <c r="F152" s="19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</row>
    <row r="153" spans="1:25" s="20" customFormat="1" ht="89.25" customHeight="1">
      <c r="A153" s="6"/>
      <c r="B153" s="6"/>
      <c r="C153" s="16"/>
      <c r="D153" s="17"/>
      <c r="E153" s="6"/>
      <c r="F153" s="19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</row>
    <row r="154" spans="1:25" s="20" customFormat="1" ht="89.25" customHeight="1">
      <c r="A154" s="6"/>
      <c r="B154" s="6"/>
      <c r="C154" s="16"/>
      <c r="D154" s="17"/>
      <c r="E154" s="6"/>
      <c r="F154" s="19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</row>
    <row r="155" spans="1:25" s="20" customFormat="1" ht="89.25" customHeight="1">
      <c r="A155" s="6"/>
      <c r="B155" s="6"/>
      <c r="C155" s="16"/>
      <c r="D155" s="17"/>
      <c r="E155" s="6"/>
      <c r="F155" s="19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</row>
    <row r="156" spans="1:25" s="20" customFormat="1" ht="89.25" customHeight="1">
      <c r="A156" s="6"/>
      <c r="B156" s="6"/>
      <c r="C156" s="16"/>
      <c r="D156" s="17"/>
      <c r="E156" s="6"/>
      <c r="F156" s="19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</row>
    <row r="157" spans="1:25" s="20" customFormat="1" ht="89.25" customHeight="1">
      <c r="A157" s="6"/>
      <c r="B157" s="6"/>
      <c r="C157" s="16"/>
      <c r="D157" s="17"/>
      <c r="E157" s="6"/>
      <c r="F157" s="19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</row>
    <row r="158" spans="1:25" s="20" customFormat="1" ht="89.25" customHeight="1">
      <c r="A158" s="6"/>
      <c r="B158" s="6"/>
      <c r="C158" s="16"/>
      <c r="D158" s="17"/>
      <c r="E158" s="6"/>
      <c r="F158" s="19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</row>
    <row r="159" spans="1:25" s="20" customFormat="1" ht="89.25" customHeight="1">
      <c r="A159" s="6"/>
      <c r="B159" s="6"/>
      <c r="C159" s="16"/>
      <c r="D159" s="17"/>
      <c r="E159" s="6"/>
      <c r="F159" s="19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</row>
    <row r="160" spans="1:25" s="20" customFormat="1" ht="89.25" customHeight="1">
      <c r="A160" s="6"/>
      <c r="B160" s="6"/>
      <c r="C160" s="16"/>
      <c r="D160" s="17"/>
      <c r="E160" s="6"/>
      <c r="F160" s="19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</row>
    <row r="161" spans="1:25" s="20" customFormat="1" ht="89.25" customHeight="1">
      <c r="A161" s="6"/>
      <c r="B161" s="6"/>
      <c r="C161" s="16"/>
      <c r="D161" s="17"/>
      <c r="E161" s="6"/>
      <c r="F161" s="19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</row>
    <row r="162" spans="1:25" s="20" customFormat="1" ht="89.25" customHeight="1">
      <c r="A162" s="6"/>
      <c r="B162" s="6"/>
      <c r="C162" s="16"/>
      <c r="D162" s="17"/>
      <c r="E162" s="6"/>
      <c r="F162" s="19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</row>
    <row r="163" spans="1:25" s="20" customFormat="1" ht="89.25" customHeight="1">
      <c r="A163" s="6"/>
      <c r="B163" s="6"/>
      <c r="C163" s="16"/>
      <c r="D163" s="17"/>
      <c r="E163" s="6"/>
      <c r="F163" s="19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</row>
    <row r="164" spans="1:25" s="20" customFormat="1" ht="89.25" customHeight="1">
      <c r="A164" s="6"/>
      <c r="B164" s="6"/>
      <c r="C164" s="16"/>
      <c r="D164" s="17"/>
      <c r="E164" s="6"/>
      <c r="F164" s="19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</row>
    <row r="165" spans="1:25" s="20" customFormat="1" ht="89.25" customHeight="1">
      <c r="A165" s="6"/>
      <c r="B165" s="6"/>
      <c r="C165" s="16"/>
      <c r="D165" s="17"/>
      <c r="E165" s="6"/>
      <c r="F165" s="19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</row>
    <row r="166" spans="1:25" s="20" customFormat="1" ht="89.25" customHeight="1">
      <c r="A166" s="6"/>
      <c r="B166" s="6"/>
      <c r="C166" s="16"/>
      <c r="D166" s="17"/>
      <c r="E166" s="6"/>
      <c r="F166" s="19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</row>
    <row r="167" spans="1:25" s="20" customFormat="1" ht="89.25" customHeight="1">
      <c r="A167" s="6"/>
      <c r="B167" s="6"/>
      <c r="C167" s="16"/>
      <c r="D167" s="17"/>
      <c r="E167" s="6"/>
      <c r="F167" s="19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</row>
    <row r="168" spans="1:25" s="20" customFormat="1" ht="89.25" customHeight="1">
      <c r="A168" s="6"/>
      <c r="B168" s="6"/>
      <c r="C168" s="16"/>
      <c r="D168" s="17"/>
      <c r="E168" s="6"/>
      <c r="F168" s="19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</row>
    <row r="169" spans="1:25" s="20" customFormat="1" ht="89.25" customHeight="1">
      <c r="A169" s="6"/>
      <c r="B169" s="6"/>
      <c r="C169" s="16"/>
      <c r="D169" s="17"/>
      <c r="E169" s="6"/>
      <c r="F169" s="19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</row>
    <row r="170" spans="1:25" s="20" customFormat="1" ht="89.25" customHeight="1">
      <c r="A170" s="6"/>
      <c r="B170" s="6"/>
      <c r="C170" s="16"/>
      <c r="D170" s="17"/>
      <c r="E170" s="6"/>
      <c r="F170" s="19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</row>
    <row r="171" spans="1:25" s="20" customFormat="1" ht="89.25" customHeight="1">
      <c r="A171" s="6"/>
      <c r="B171" s="6"/>
      <c r="C171" s="16"/>
      <c r="D171" s="17"/>
      <c r="E171" s="6"/>
      <c r="F171" s="19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</row>
    <row r="172" spans="1:25" s="20" customFormat="1" ht="89.25" customHeight="1">
      <c r="A172" s="6"/>
      <c r="B172" s="6"/>
      <c r="C172" s="16"/>
      <c r="D172" s="17"/>
      <c r="E172" s="6"/>
      <c r="F172" s="19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</row>
    <row r="173" spans="1:25" s="20" customFormat="1" ht="89.25" customHeight="1">
      <c r="A173" s="6"/>
      <c r="B173" s="6"/>
      <c r="C173" s="16"/>
      <c r="D173" s="17"/>
      <c r="E173" s="6"/>
      <c r="F173" s="19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</row>
    <row r="174" spans="1:25" s="20" customFormat="1" ht="89.25" customHeight="1">
      <c r="A174" s="6"/>
      <c r="B174" s="6"/>
      <c r="C174" s="16"/>
      <c r="D174" s="17"/>
      <c r="E174" s="6"/>
      <c r="F174" s="19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</row>
    <row r="175" spans="1:25" s="20" customFormat="1" ht="89.25" customHeight="1">
      <c r="A175" s="6"/>
      <c r="B175" s="6"/>
      <c r="C175" s="16"/>
      <c r="D175" s="17"/>
      <c r="E175" s="6"/>
      <c r="F175" s="19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</row>
    <row r="176" spans="1:25" s="20" customFormat="1" ht="89.25" customHeight="1">
      <c r="A176" s="6"/>
      <c r="B176" s="6"/>
      <c r="C176" s="16"/>
      <c r="D176" s="17"/>
      <c r="E176" s="6"/>
      <c r="F176" s="19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</row>
    <row r="177" spans="1:25" s="20" customFormat="1" ht="89.25" customHeight="1">
      <c r="A177" s="6"/>
      <c r="B177" s="6"/>
      <c r="C177" s="16"/>
      <c r="D177" s="17"/>
      <c r="E177" s="6"/>
      <c r="F177" s="19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</row>
    <row r="178" spans="1:25" s="20" customFormat="1" ht="89.25" customHeight="1">
      <c r="A178" s="6"/>
      <c r="B178" s="6"/>
      <c r="C178" s="16"/>
      <c r="D178" s="17"/>
      <c r="E178" s="6"/>
      <c r="F178" s="19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</row>
    <row r="179" spans="1:25" s="20" customFormat="1" ht="89.25" customHeight="1">
      <c r="A179" s="6"/>
      <c r="B179" s="6"/>
      <c r="C179" s="16"/>
      <c r="D179" s="17"/>
      <c r="E179" s="6"/>
      <c r="F179" s="19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</row>
    <row r="180" spans="1:25" s="20" customFormat="1" ht="89.25" customHeight="1">
      <c r="A180" s="6"/>
      <c r="B180" s="6"/>
      <c r="C180" s="16"/>
      <c r="D180" s="17"/>
      <c r="E180" s="6"/>
      <c r="F180" s="19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</row>
    <row r="181" spans="1:25" s="20" customFormat="1" ht="89.25" customHeight="1">
      <c r="A181" s="6"/>
      <c r="B181" s="6"/>
      <c r="C181" s="16"/>
      <c r="D181" s="17"/>
      <c r="E181" s="6"/>
      <c r="F181" s="19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</row>
    <row r="182" spans="1:25" s="20" customFormat="1" ht="89.25" customHeight="1">
      <c r="A182" s="6"/>
      <c r="B182" s="6"/>
      <c r="C182" s="16"/>
      <c r="D182" s="17"/>
      <c r="E182" s="6"/>
      <c r="F182" s="19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</row>
    <row r="183" spans="1:25" s="20" customFormat="1" ht="89.25" customHeight="1">
      <c r="A183" s="6"/>
      <c r="B183" s="6"/>
      <c r="C183" s="16"/>
      <c r="D183" s="17"/>
      <c r="E183" s="6"/>
      <c r="F183" s="19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</row>
    <row r="184" spans="1:25" s="20" customFormat="1" ht="89.25" customHeight="1">
      <c r="A184" s="6"/>
      <c r="B184" s="6"/>
      <c r="C184" s="16"/>
      <c r="D184" s="17"/>
      <c r="E184" s="6"/>
      <c r="F184" s="19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</row>
    <row r="185" spans="1:25" s="20" customFormat="1" ht="89.25" customHeight="1">
      <c r="A185" s="6"/>
      <c r="B185" s="6"/>
      <c r="C185" s="16"/>
      <c r="D185" s="17"/>
      <c r="E185" s="6"/>
      <c r="F185" s="19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</row>
    <row r="186" spans="1:25" s="20" customFormat="1" ht="89.25" customHeight="1">
      <c r="A186" s="6"/>
      <c r="B186" s="6"/>
      <c r="C186" s="16"/>
      <c r="D186" s="17"/>
      <c r="E186" s="6"/>
      <c r="F186" s="19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</row>
    <row r="187" spans="1:25" s="20" customFormat="1" ht="89.25" customHeight="1">
      <c r="A187" s="6"/>
      <c r="B187" s="6"/>
      <c r="C187" s="16"/>
      <c r="D187" s="17"/>
      <c r="E187" s="6"/>
      <c r="F187" s="19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</row>
    <row r="188" spans="1:25" s="20" customFormat="1" ht="89.25" customHeight="1">
      <c r="A188" s="6"/>
      <c r="B188" s="6"/>
      <c r="C188" s="16"/>
      <c r="D188" s="17"/>
      <c r="E188" s="6"/>
      <c r="F188" s="19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</row>
    <row r="189" spans="1:25" s="20" customFormat="1" ht="89.25" customHeight="1">
      <c r="A189" s="6"/>
      <c r="B189" s="6"/>
      <c r="C189" s="16"/>
      <c r="D189" s="17"/>
      <c r="E189" s="6"/>
      <c r="F189" s="19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</row>
    <row r="190" spans="1:25" s="20" customFormat="1" ht="89.25" customHeight="1">
      <c r="A190" s="6"/>
      <c r="B190" s="6"/>
      <c r="C190" s="16"/>
      <c r="D190" s="17"/>
      <c r="E190" s="6"/>
      <c r="F190" s="19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</row>
    <row r="191" spans="1:25" s="20" customFormat="1" ht="89.25" customHeight="1">
      <c r="A191" s="6"/>
      <c r="B191" s="6"/>
      <c r="C191" s="16"/>
      <c r="D191" s="17"/>
      <c r="E191" s="6"/>
      <c r="F191" s="19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</row>
    <row r="192" spans="1:25" s="20" customFormat="1" ht="89.25" customHeight="1">
      <c r="A192" s="6"/>
      <c r="B192" s="6"/>
      <c r="C192" s="16"/>
      <c r="D192" s="17"/>
      <c r="E192" s="6"/>
      <c r="F192" s="19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</row>
    <row r="193" spans="1:25" s="20" customFormat="1" ht="89.25" customHeight="1">
      <c r="A193" s="6"/>
      <c r="B193" s="6"/>
      <c r="C193" s="16"/>
      <c r="D193" s="17"/>
      <c r="E193" s="6"/>
      <c r="F193" s="19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</row>
    <row r="194" spans="1:25" s="20" customFormat="1" ht="89.25" customHeight="1">
      <c r="A194" s="6"/>
      <c r="B194" s="6"/>
      <c r="C194" s="16"/>
      <c r="D194" s="17"/>
      <c r="E194" s="6"/>
      <c r="F194" s="19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</row>
    <row r="195" spans="1:25" s="20" customFormat="1" ht="89.25" customHeight="1">
      <c r="A195" s="6"/>
      <c r="B195" s="6"/>
      <c r="C195" s="16"/>
      <c r="D195" s="17"/>
      <c r="E195" s="6"/>
      <c r="F195" s="19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</row>
    <row r="196" spans="1:25" s="20" customFormat="1" ht="89.25" customHeight="1">
      <c r="A196" s="6"/>
      <c r="B196" s="6"/>
      <c r="C196" s="16"/>
      <c r="D196" s="17"/>
      <c r="E196" s="6"/>
      <c r="F196" s="19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</row>
    <row r="197" spans="1:25" s="20" customFormat="1" ht="89.25" customHeight="1">
      <c r="A197" s="6"/>
      <c r="B197" s="6"/>
      <c r="C197" s="16"/>
      <c r="D197" s="17"/>
      <c r="E197" s="6"/>
      <c r="F197" s="19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</row>
    <row r="198" spans="1:25" s="20" customFormat="1" ht="89.25" customHeight="1">
      <c r="A198" s="6"/>
      <c r="B198" s="6"/>
      <c r="C198" s="16"/>
      <c r="D198" s="17"/>
      <c r="E198" s="6"/>
      <c r="F198" s="19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</row>
    <row r="199" spans="1:25" s="20" customFormat="1" ht="89.25" customHeight="1">
      <c r="A199" s="6"/>
      <c r="B199" s="6"/>
      <c r="C199" s="16"/>
      <c r="D199" s="17"/>
      <c r="E199" s="6"/>
      <c r="F199" s="19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</row>
    <row r="200" spans="1:25" s="20" customFormat="1" ht="89.25" customHeight="1">
      <c r="A200" s="6"/>
      <c r="B200" s="6"/>
      <c r="C200" s="16"/>
      <c r="D200" s="17"/>
      <c r="E200" s="6"/>
      <c r="F200" s="19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</row>
    <row r="201" spans="1:25" s="20" customFormat="1" ht="89.25" customHeight="1">
      <c r="A201" s="6"/>
      <c r="B201" s="6"/>
      <c r="C201" s="16"/>
      <c r="D201" s="17"/>
      <c r="E201" s="6"/>
      <c r="F201" s="19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</row>
    <row r="202" spans="1:25" s="20" customFormat="1" ht="89.25" customHeight="1">
      <c r="A202" s="6"/>
      <c r="B202" s="6"/>
      <c r="C202" s="16"/>
      <c r="D202" s="17"/>
      <c r="E202" s="6"/>
      <c r="F202" s="19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</row>
    <row r="203" spans="1:25" s="20" customFormat="1" ht="89.25" customHeight="1">
      <c r="A203" s="6"/>
      <c r="B203" s="6"/>
      <c r="C203" s="16"/>
      <c r="D203" s="17"/>
      <c r="E203" s="6"/>
      <c r="F203" s="19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</row>
    <row r="204" spans="1:25" s="20" customFormat="1" ht="89.25" customHeight="1">
      <c r="A204" s="6"/>
      <c r="B204" s="6"/>
      <c r="C204" s="16"/>
      <c r="D204" s="17"/>
      <c r="E204" s="6"/>
      <c r="F204" s="19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</row>
    <row r="205" spans="1:25" s="20" customFormat="1" ht="89.25" customHeight="1">
      <c r="A205" s="6"/>
      <c r="B205" s="6"/>
      <c r="C205" s="16"/>
      <c r="D205" s="17"/>
      <c r="E205" s="6"/>
      <c r="F205" s="19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</row>
    <row r="206" spans="1:25" s="20" customFormat="1" ht="89.25" customHeight="1">
      <c r="A206" s="6"/>
      <c r="B206" s="6"/>
      <c r="C206" s="16"/>
      <c r="D206" s="17"/>
      <c r="E206" s="6"/>
      <c r="F206" s="19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</row>
    <row r="207" spans="1:25" s="20" customFormat="1" ht="89.25" customHeight="1">
      <c r="A207" s="6"/>
      <c r="B207" s="6"/>
      <c r="C207" s="16"/>
      <c r="D207" s="17"/>
      <c r="E207" s="6"/>
      <c r="F207" s="19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</row>
    <row r="208" spans="1:25" s="20" customFormat="1" ht="89.25" customHeight="1">
      <c r="A208" s="6"/>
      <c r="B208" s="6"/>
      <c r="C208" s="16"/>
      <c r="D208" s="17"/>
      <c r="E208" s="6"/>
      <c r="F208" s="19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</row>
    <row r="209" spans="1:25" s="20" customFormat="1" ht="89.25" customHeight="1">
      <c r="A209" s="6"/>
      <c r="B209" s="6"/>
      <c r="C209" s="16"/>
      <c r="D209" s="17"/>
      <c r="E209" s="6"/>
      <c r="F209" s="19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</row>
    <row r="210" spans="1:25" s="20" customFormat="1" ht="89.25" customHeight="1">
      <c r="A210" s="6"/>
      <c r="B210" s="6"/>
      <c r="C210" s="16"/>
      <c r="D210" s="17"/>
      <c r="E210" s="6"/>
      <c r="F210" s="19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</row>
    <row r="211" spans="1:25" s="20" customFormat="1" ht="89.25" customHeight="1">
      <c r="A211" s="6"/>
      <c r="B211" s="6"/>
      <c r="C211" s="16"/>
      <c r="D211" s="17"/>
      <c r="E211" s="6"/>
      <c r="F211" s="19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</row>
    <row r="212" spans="1:25" s="20" customFormat="1" ht="89.25" customHeight="1">
      <c r="A212" s="6"/>
      <c r="B212" s="6"/>
      <c r="C212" s="16"/>
      <c r="D212" s="17"/>
      <c r="E212" s="6"/>
      <c r="F212" s="19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</row>
    <row r="213" spans="1:25" s="20" customFormat="1" ht="89.25" customHeight="1">
      <c r="A213" s="6"/>
      <c r="B213" s="6"/>
      <c r="C213" s="16"/>
      <c r="D213" s="17"/>
      <c r="E213" s="6"/>
      <c r="F213" s="19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</row>
    <row r="214" spans="1:25" s="20" customFormat="1" ht="89.25" customHeight="1">
      <c r="A214" s="6"/>
      <c r="B214" s="6"/>
      <c r="C214" s="16"/>
      <c r="D214" s="17"/>
      <c r="E214" s="6"/>
      <c r="F214" s="19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</row>
    <row r="215" spans="1:25" s="20" customFormat="1" ht="89.25" customHeight="1">
      <c r="A215" s="6"/>
      <c r="B215" s="6"/>
      <c r="C215" s="16"/>
      <c r="D215" s="17"/>
      <c r="E215" s="6"/>
      <c r="F215" s="19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</row>
    <row r="216" spans="1:25" s="20" customFormat="1" ht="89.25" customHeight="1">
      <c r="A216" s="6"/>
      <c r="B216" s="6"/>
      <c r="C216" s="16"/>
      <c r="D216" s="17"/>
      <c r="E216" s="6"/>
      <c r="F216" s="19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</row>
    <row r="217" spans="1:25" s="20" customFormat="1" ht="89.25" customHeight="1">
      <c r="A217" s="6"/>
      <c r="B217" s="6"/>
      <c r="C217" s="16"/>
      <c r="D217" s="17"/>
      <c r="E217" s="6"/>
      <c r="F217" s="19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</row>
    <row r="218" spans="1:25" s="20" customFormat="1" ht="89.25" customHeight="1">
      <c r="A218" s="6"/>
      <c r="B218" s="6"/>
      <c r="C218" s="16"/>
      <c r="D218" s="17"/>
      <c r="E218" s="6"/>
      <c r="F218" s="19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</row>
    <row r="219" spans="1:25" s="20" customFormat="1" ht="89.25" customHeight="1">
      <c r="A219" s="6"/>
      <c r="B219" s="6"/>
      <c r="C219" s="16"/>
      <c r="D219" s="17"/>
      <c r="E219" s="6"/>
      <c r="F219" s="19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</row>
    <row r="220" spans="1:25" s="20" customFormat="1" ht="89.25" customHeight="1">
      <c r="A220" s="6"/>
      <c r="B220" s="6"/>
      <c r="C220" s="16"/>
      <c r="D220" s="17"/>
      <c r="E220" s="6"/>
      <c r="F220" s="19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</row>
    <row r="221" spans="1:25" s="20" customFormat="1" ht="89.25" customHeight="1">
      <c r="A221" s="6"/>
      <c r="B221" s="6"/>
      <c r="C221" s="16"/>
      <c r="D221" s="17"/>
      <c r="E221" s="6"/>
      <c r="F221" s="19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</row>
    <row r="222" spans="1:25" s="20" customFormat="1" ht="89.25" customHeight="1">
      <c r="A222" s="6"/>
      <c r="B222" s="6"/>
      <c r="C222" s="16"/>
      <c r="D222" s="17"/>
      <c r="E222" s="6"/>
      <c r="F222" s="19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</row>
    <row r="223" spans="1:25" s="20" customFormat="1" ht="89.25" customHeight="1">
      <c r="A223" s="6"/>
      <c r="B223" s="6"/>
      <c r="C223" s="16"/>
      <c r="D223" s="17"/>
      <c r="E223" s="6"/>
      <c r="F223" s="19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</row>
    <row r="224" spans="1:25" s="20" customFormat="1" ht="89.25" customHeight="1">
      <c r="A224" s="6"/>
      <c r="B224" s="6"/>
      <c r="C224" s="16"/>
      <c r="D224" s="17"/>
      <c r="E224" s="6"/>
      <c r="F224" s="19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</row>
    <row r="225" spans="1:25" s="20" customFormat="1" ht="89.25" customHeight="1">
      <c r="A225" s="6"/>
      <c r="B225" s="6"/>
      <c r="C225" s="16"/>
      <c r="D225" s="17"/>
      <c r="E225" s="6"/>
      <c r="F225" s="19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</row>
    <row r="226" spans="1:25" s="20" customFormat="1" ht="89.25" customHeight="1">
      <c r="A226" s="6"/>
      <c r="B226" s="6"/>
      <c r="C226" s="16"/>
      <c r="D226" s="17"/>
      <c r="E226" s="6"/>
      <c r="F226" s="19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</row>
    <row r="227" spans="1:25" s="20" customFormat="1" ht="89.25" customHeight="1">
      <c r="A227" s="6"/>
      <c r="B227" s="6"/>
      <c r="C227" s="16"/>
      <c r="D227" s="17"/>
      <c r="E227" s="6"/>
      <c r="F227" s="19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</row>
    <row r="228" spans="1:25" s="20" customFormat="1" ht="89.25" customHeight="1">
      <c r="A228" s="6"/>
      <c r="B228" s="6"/>
      <c r="C228" s="16"/>
      <c r="D228" s="17"/>
      <c r="E228" s="6"/>
      <c r="F228" s="19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</row>
    <row r="229" spans="1:25" s="20" customFormat="1" ht="89.25" customHeight="1">
      <c r="A229" s="6"/>
      <c r="B229" s="6"/>
      <c r="C229" s="16"/>
      <c r="D229" s="17"/>
      <c r="E229" s="6"/>
      <c r="F229" s="19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</row>
    <row r="230" spans="1:25" s="20" customFormat="1" ht="89.25" customHeight="1">
      <c r="A230" s="6"/>
      <c r="B230" s="6"/>
      <c r="C230" s="16"/>
      <c r="D230" s="17"/>
      <c r="E230" s="6"/>
      <c r="F230" s="19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</row>
    <row r="231" spans="1:25" s="20" customFormat="1" ht="89.25" customHeight="1">
      <c r="A231" s="6"/>
      <c r="B231" s="6"/>
      <c r="C231" s="16"/>
      <c r="D231" s="17"/>
      <c r="E231" s="6"/>
      <c r="F231" s="19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</row>
    <row r="232" spans="1:25" s="20" customFormat="1" ht="89.25" customHeight="1">
      <c r="A232" s="6"/>
      <c r="B232" s="6"/>
      <c r="C232" s="16"/>
      <c r="D232" s="17"/>
      <c r="E232" s="6"/>
      <c r="F232" s="19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</row>
    <row r="233" spans="1:25" s="20" customFormat="1" ht="89.25" customHeight="1">
      <c r="A233" s="6"/>
      <c r="B233" s="6"/>
      <c r="C233" s="16"/>
      <c r="D233" s="17"/>
      <c r="E233" s="6"/>
      <c r="F233" s="19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</row>
    <row r="234" spans="1:25" s="20" customFormat="1" ht="89.25" customHeight="1">
      <c r="A234" s="6"/>
      <c r="B234" s="6"/>
      <c r="C234" s="16"/>
      <c r="D234" s="17"/>
      <c r="E234" s="6"/>
      <c r="F234" s="19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</row>
    <row r="235" spans="1:25" s="20" customFormat="1" ht="89.25" customHeight="1">
      <c r="A235" s="6"/>
      <c r="B235" s="6"/>
      <c r="C235" s="16"/>
      <c r="D235" s="17"/>
      <c r="E235" s="6"/>
      <c r="F235" s="19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</row>
    <row r="236" spans="1:25" s="20" customFormat="1" ht="89.25" customHeight="1">
      <c r="A236" s="6"/>
      <c r="B236" s="6"/>
      <c r="C236" s="16"/>
      <c r="D236" s="17"/>
      <c r="E236" s="6"/>
      <c r="F236" s="19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</row>
    <row r="237" spans="1:25" s="20" customFormat="1" ht="89.25" customHeight="1">
      <c r="A237" s="6"/>
      <c r="B237" s="6"/>
      <c r="C237" s="16"/>
      <c r="D237" s="17"/>
      <c r="E237" s="6"/>
      <c r="F237" s="19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</row>
  </sheetData>
  <mergeCells count="22">
    <mergeCell ref="D52:E52"/>
    <mergeCell ref="A49:B49"/>
    <mergeCell ref="A14:D14"/>
    <mergeCell ref="A18:D18"/>
    <mergeCell ref="A16:D16"/>
    <mergeCell ref="A17:D17"/>
    <mergeCell ref="A51:B51"/>
    <mergeCell ref="A50:B50"/>
    <mergeCell ref="D51:E51"/>
    <mergeCell ref="D50:E50"/>
    <mergeCell ref="A1:F3"/>
    <mergeCell ref="A5:F5"/>
    <mergeCell ref="A6:F6"/>
    <mergeCell ref="A7:E7"/>
    <mergeCell ref="A9:D9"/>
    <mergeCell ref="A4:F4"/>
    <mergeCell ref="A10:D10"/>
    <mergeCell ref="A13:D13"/>
    <mergeCell ref="A12:D12"/>
    <mergeCell ref="A11:D11"/>
    <mergeCell ref="D49:E49"/>
    <mergeCell ref="A15:D15"/>
  </mergeCells>
  <printOptions horizontalCentered="1" verticalCentered="1"/>
  <pageMargins left="0.59055118110236227" right="0.59055118110236227" top="0.59055118110236227" bottom="0.59055118110236227" header="0.31496062992125984" footer="0.31496062992125984"/>
  <pageSetup paperSize="9" scale="47" orientation="landscape" r:id="rId1"/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Hoja32">
    <tabColor rgb="FF00B0F0"/>
    <pageSetUpPr fitToPage="1"/>
  </sheetPr>
  <dimension ref="A1:AG234"/>
  <sheetViews>
    <sheetView showGridLines="0" topLeftCell="A18" zoomScale="80" zoomScaleNormal="80" workbookViewId="0">
      <selection activeCell="F43" sqref="F43"/>
    </sheetView>
  </sheetViews>
  <sheetFormatPr baseColWidth="10" defaultRowHeight="89.25" customHeight="1"/>
  <cols>
    <col min="1" max="1" width="25.28515625" style="6" customWidth="1"/>
    <col min="2" max="2" width="28.28515625" style="6" customWidth="1"/>
    <col min="3" max="3" width="25.28515625" style="16" customWidth="1"/>
    <col min="4" max="4" width="25.28515625" style="17" customWidth="1"/>
    <col min="5" max="5" width="15.28515625" style="6" bestFit="1" customWidth="1"/>
    <col min="6" max="6" width="21.7109375" style="19" bestFit="1" customWidth="1"/>
    <col min="7" max="7" width="19.140625" style="5" bestFit="1" customWidth="1"/>
    <col min="8" max="8" width="20" style="5" bestFit="1" customWidth="1"/>
    <col min="9" max="10" width="18.7109375" style="5" customWidth="1"/>
    <col min="11" max="25" width="11.42578125" style="5"/>
    <col min="26" max="16384" width="11.42578125" style="6"/>
  </cols>
  <sheetData>
    <row r="1" spans="1:25" s="4" customFormat="1" ht="33.75" customHeight="1">
      <c r="A1" s="1348" t="s">
        <v>765</v>
      </c>
      <c r="B1" s="1348"/>
      <c r="C1" s="1348"/>
      <c r="D1" s="1348"/>
      <c r="E1" s="1348"/>
      <c r="F1" s="1348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spans="1:25" s="4" customFormat="1" ht="33.75" customHeight="1">
      <c r="A2" s="1348"/>
      <c r="B2" s="1348"/>
      <c r="C2" s="1348"/>
      <c r="D2" s="1348"/>
      <c r="E2" s="1348"/>
      <c r="F2" s="1348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 s="4" customFormat="1" ht="15.75">
      <c r="A3" s="1348"/>
      <c r="B3" s="1348"/>
      <c r="C3" s="1348"/>
      <c r="D3" s="1348"/>
      <c r="E3" s="1348"/>
      <c r="F3" s="1348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</row>
    <row r="4" spans="1:25" s="4" customFormat="1" ht="15.75">
      <c r="A4" s="1349" t="str">
        <f>+'Anexo 20 Minera de Cobre'!A4:F4</f>
        <v>AL 31 DE JULIO DE 2023</v>
      </c>
      <c r="B4" s="1349"/>
      <c r="C4" s="1349"/>
      <c r="D4" s="1349"/>
      <c r="E4" s="1349"/>
      <c r="F4" s="1349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</row>
    <row r="5" spans="1:25" ht="30" customHeight="1">
      <c r="A5" s="1339" t="s">
        <v>205</v>
      </c>
      <c r="B5" s="1339"/>
      <c r="C5" s="1339"/>
      <c r="D5" s="1339"/>
      <c r="E5" s="1339"/>
      <c r="F5" s="1339"/>
    </row>
    <row r="6" spans="1:25" ht="30" customHeight="1" thickBot="1">
      <c r="A6" s="1339" t="s">
        <v>273</v>
      </c>
      <c r="B6" s="1339"/>
      <c r="C6" s="1339"/>
      <c r="D6" s="1339"/>
      <c r="E6" s="1339"/>
      <c r="F6" s="1339"/>
    </row>
    <row r="7" spans="1:25" ht="30" customHeight="1" thickBot="1">
      <c r="A7" s="1346" t="s">
        <v>1</v>
      </c>
      <c r="B7" s="1347"/>
      <c r="C7" s="1347"/>
      <c r="D7" s="1347"/>
      <c r="E7" s="1347"/>
      <c r="F7" s="7" t="s">
        <v>2</v>
      </c>
    </row>
    <row r="8" spans="1:25" ht="18.600000000000001" customHeight="1">
      <c r="A8" s="8"/>
      <c r="B8" s="9"/>
      <c r="C8" s="9"/>
      <c r="D8" s="9"/>
      <c r="E8" s="10"/>
      <c r="F8" s="11"/>
      <c r="I8" s="12"/>
      <c r="J8" s="12"/>
    </row>
    <row r="9" spans="1:25" ht="18.600000000000001" customHeight="1">
      <c r="A9" s="1342" t="str">
        <f>+'Anexo 20 Minera de Cobre'!A9:D9</f>
        <v>TOTAL RENDIMIENTOS GENERADOS POR LOS RECURSOS DEL FONDO DE JULIO DE 2023</v>
      </c>
      <c r="B9" s="1343"/>
      <c r="C9" s="1343"/>
      <c r="D9" s="1343"/>
      <c r="E9" s="259"/>
      <c r="F9" s="260">
        <f>F40</f>
        <v>1114113.24</v>
      </c>
      <c r="I9" s="13"/>
      <c r="J9" s="12"/>
    </row>
    <row r="10" spans="1:25" ht="18.600000000000001" customHeight="1">
      <c r="A10" s="1333" t="s">
        <v>231</v>
      </c>
      <c r="B10" s="1334"/>
      <c r="C10" s="1334"/>
      <c r="D10" s="1334"/>
      <c r="E10" s="261">
        <v>0</v>
      </c>
      <c r="F10" s="262"/>
    </row>
    <row r="11" spans="1:25" ht="18.600000000000001" customHeight="1">
      <c r="A11" s="1333" t="s">
        <v>244</v>
      </c>
      <c r="B11" s="1334"/>
      <c r="C11" s="1334"/>
      <c r="D11" s="1334"/>
      <c r="E11" s="261">
        <v>41000</v>
      </c>
      <c r="F11" s="262"/>
    </row>
    <row r="12" spans="1:25" ht="15.75" customHeight="1">
      <c r="A12" s="1333" t="s">
        <v>272</v>
      </c>
      <c r="B12" s="1334"/>
      <c r="C12" s="1334"/>
      <c r="D12" s="1334"/>
      <c r="E12" s="261">
        <v>85003.48</v>
      </c>
      <c r="F12" s="262"/>
    </row>
    <row r="13" spans="1:25" ht="18.600000000000001" customHeight="1">
      <c r="A13" s="1333" t="s">
        <v>276</v>
      </c>
      <c r="B13" s="1334"/>
      <c r="C13" s="1334"/>
      <c r="D13" s="1334"/>
      <c r="E13" s="261">
        <v>82010.33</v>
      </c>
      <c r="F13" s="262"/>
    </row>
    <row r="14" spans="1:25" ht="18.600000000000001" customHeight="1">
      <c r="A14" s="1333" t="s">
        <v>294</v>
      </c>
      <c r="B14" s="1334"/>
      <c r="C14" s="1334"/>
      <c r="D14" s="1334"/>
      <c r="E14" s="261">
        <v>85017.68</v>
      </c>
      <c r="F14" s="262"/>
    </row>
    <row r="15" spans="1:25" ht="18.600000000000001" customHeight="1">
      <c r="A15" s="1333" t="s">
        <v>307</v>
      </c>
      <c r="B15" s="1334"/>
      <c r="C15" s="1334"/>
      <c r="D15" s="1334"/>
      <c r="E15" s="261">
        <v>85024.9</v>
      </c>
      <c r="F15" s="262"/>
    </row>
    <row r="16" spans="1:25" ht="16.5" customHeight="1">
      <c r="A16" s="543" t="s">
        <v>365</v>
      </c>
      <c r="B16" s="544"/>
      <c r="C16" s="544"/>
      <c r="D16" s="544"/>
      <c r="E16" s="261">
        <v>82031</v>
      </c>
      <c r="F16" s="262"/>
    </row>
    <row r="17" spans="1:7" ht="16.5" customHeight="1">
      <c r="A17" s="574" t="s">
        <v>427</v>
      </c>
      <c r="B17" s="575"/>
      <c r="C17" s="575"/>
      <c r="D17" s="575"/>
      <c r="E17" s="261">
        <v>85039.1</v>
      </c>
      <c r="F17" s="262"/>
    </row>
    <row r="18" spans="1:7" ht="16.5" customHeight="1">
      <c r="A18" s="651" t="s">
        <v>462</v>
      </c>
      <c r="B18" s="652"/>
      <c r="C18" s="652"/>
      <c r="D18" s="652"/>
      <c r="E18" s="261">
        <v>82044.7</v>
      </c>
      <c r="F18" s="262"/>
    </row>
    <row r="19" spans="1:7" ht="16.5" customHeight="1">
      <c r="A19" s="670" t="s">
        <v>494</v>
      </c>
      <c r="B19" s="671"/>
      <c r="C19" s="671"/>
      <c r="D19" s="671"/>
      <c r="E19" s="261">
        <f>49092.6+1</f>
        <v>49093.599999999999</v>
      </c>
      <c r="F19" s="262"/>
      <c r="G19" s="5" t="str">
        <f>+"+1"</f>
        <v>+1</v>
      </c>
    </row>
    <row r="20" spans="1:7" ht="16.5" customHeight="1">
      <c r="A20" s="689" t="s">
        <v>501</v>
      </c>
      <c r="B20" s="690"/>
      <c r="C20" s="690"/>
      <c r="D20" s="690"/>
      <c r="E20" s="261">
        <v>26384.75</v>
      </c>
      <c r="F20" s="262"/>
    </row>
    <row r="21" spans="1:7" ht="16.5" customHeight="1">
      <c r="A21" s="725" t="s">
        <v>515</v>
      </c>
      <c r="B21" s="726"/>
      <c r="C21" s="726"/>
      <c r="D21" s="726"/>
      <c r="E21" s="261">
        <v>23903.51</v>
      </c>
      <c r="F21" s="262"/>
    </row>
    <row r="22" spans="1:7" ht="16.5" customHeight="1">
      <c r="A22" s="743" t="s">
        <v>520</v>
      </c>
      <c r="B22" s="744"/>
      <c r="C22" s="744"/>
      <c r="D22" s="744"/>
      <c r="E22" s="261">
        <f>6701.35+1</f>
        <v>6702.35</v>
      </c>
      <c r="F22" s="262"/>
      <c r="G22" s="5" t="str">
        <f>+"+1"</f>
        <v>+1</v>
      </c>
    </row>
    <row r="23" spans="1:7" ht="16.5" customHeight="1">
      <c r="A23" s="773" t="s">
        <v>537</v>
      </c>
      <c r="B23" s="774"/>
      <c r="C23" s="774"/>
      <c r="D23" s="774"/>
      <c r="E23" s="261">
        <f>925.81-2</f>
        <v>923.81</v>
      </c>
      <c r="F23" s="262"/>
      <c r="G23" s="785" t="str">
        <f>"-2"</f>
        <v>-2</v>
      </c>
    </row>
    <row r="24" spans="1:7" ht="16.5" customHeight="1">
      <c r="A24" s="793" t="s">
        <v>567</v>
      </c>
      <c r="B24" s="794"/>
      <c r="C24" s="794"/>
      <c r="D24" s="794"/>
      <c r="E24" s="261">
        <v>959.76</v>
      </c>
      <c r="F24" s="262"/>
      <c r="G24" s="785"/>
    </row>
    <row r="25" spans="1:7" ht="16.5" customHeight="1">
      <c r="A25" s="811" t="s">
        <v>577</v>
      </c>
      <c r="B25" s="812"/>
      <c r="C25" s="812"/>
      <c r="D25" s="812"/>
      <c r="E25" s="261">
        <v>925.96</v>
      </c>
      <c r="F25" s="262"/>
      <c r="G25" s="785"/>
    </row>
    <row r="26" spans="1:7" ht="16.5" customHeight="1">
      <c r="A26" s="874" t="s">
        <v>625</v>
      </c>
      <c r="B26" s="875"/>
      <c r="C26" s="875"/>
      <c r="D26" s="875"/>
      <c r="E26" s="261">
        <v>959.92</v>
      </c>
      <c r="F26" s="262"/>
      <c r="G26" s="785"/>
    </row>
    <row r="27" spans="1:7" ht="16.5" customHeight="1">
      <c r="A27" s="895" t="s">
        <v>638</v>
      </c>
      <c r="B27" s="896"/>
      <c r="C27" s="896"/>
      <c r="D27" s="896"/>
      <c r="E27" s="261">
        <v>960</v>
      </c>
      <c r="F27" s="262"/>
      <c r="G27" s="785"/>
    </row>
    <row r="28" spans="1:7" ht="16.5" customHeight="1">
      <c r="A28" s="904" t="s">
        <v>647</v>
      </c>
      <c r="B28" s="905"/>
      <c r="C28" s="905"/>
      <c r="D28" s="905"/>
      <c r="E28" s="261">
        <v>926.19</v>
      </c>
      <c r="F28" s="262"/>
      <c r="G28" s="785"/>
    </row>
    <row r="29" spans="1:7" ht="16.5" customHeight="1">
      <c r="A29" s="924" t="s">
        <v>655</v>
      </c>
      <c r="B29" s="925"/>
      <c r="C29" s="925"/>
      <c r="D29" s="925"/>
      <c r="E29" s="261">
        <v>960.16</v>
      </c>
      <c r="F29" s="262"/>
      <c r="G29" s="785"/>
    </row>
    <row r="30" spans="1:7" ht="16.5" customHeight="1">
      <c r="A30" s="1143" t="s">
        <v>665</v>
      </c>
      <c r="B30" s="1144"/>
      <c r="C30" s="1144"/>
      <c r="D30" s="1144"/>
      <c r="E30" s="261">
        <v>926.35</v>
      </c>
      <c r="F30" s="262"/>
      <c r="G30" s="785"/>
    </row>
    <row r="31" spans="1:7" ht="16.5" customHeight="1">
      <c r="A31" s="1143" t="s">
        <v>677</v>
      </c>
      <c r="B31" s="1144"/>
      <c r="C31" s="1144"/>
      <c r="D31" s="1144"/>
      <c r="E31" s="261">
        <v>960.32</v>
      </c>
      <c r="F31" s="262"/>
      <c r="G31" s="785"/>
    </row>
    <row r="32" spans="1:7" ht="16.5" customHeight="1">
      <c r="A32" s="1143" t="s">
        <v>687</v>
      </c>
      <c r="B32" s="1144"/>
      <c r="C32" s="1144"/>
      <c r="D32" s="1144"/>
      <c r="E32" s="261">
        <v>960.4</v>
      </c>
      <c r="F32" s="262"/>
      <c r="G32" s="785"/>
    </row>
    <row r="33" spans="1:33" ht="16.5" customHeight="1">
      <c r="A33" s="1143" t="s">
        <v>720</v>
      </c>
      <c r="B33" s="1144"/>
      <c r="C33" s="1144"/>
      <c r="D33" s="1144"/>
      <c r="E33" s="261">
        <v>870.08</v>
      </c>
      <c r="F33" s="262"/>
      <c r="G33" s="785"/>
    </row>
    <row r="34" spans="1:33" ht="16.5" customHeight="1">
      <c r="A34" s="1032" t="s">
        <v>729</v>
      </c>
      <c r="B34" s="1033"/>
      <c r="C34" s="1033"/>
      <c r="D34" s="1033"/>
      <c r="E34" s="261">
        <v>74110.14</v>
      </c>
      <c r="F34" s="262"/>
      <c r="G34" s="785"/>
    </row>
    <row r="35" spans="1:33" ht="16.5" customHeight="1">
      <c r="A35" s="1069" t="s">
        <v>748</v>
      </c>
      <c r="B35" s="1070"/>
      <c r="C35" s="1070"/>
      <c r="D35" s="1070"/>
      <c r="E35" s="261">
        <v>72184.69</v>
      </c>
      <c r="F35" s="262"/>
      <c r="G35" s="785"/>
    </row>
    <row r="36" spans="1:33" ht="16.5" customHeight="1">
      <c r="A36" s="1090" t="str">
        <f>+'Anexo 20 Minera de Cobre'!A39</f>
        <v>Rendimientos financieros AL 31 DE MAYO DE 2023</v>
      </c>
      <c r="B36" s="1091"/>
      <c r="C36" s="1091"/>
      <c r="D36" s="1091"/>
      <c r="E36" s="261">
        <v>75069.539999999994</v>
      </c>
      <c r="F36" s="262"/>
      <c r="G36" s="785">
        <f>+SUM(E7:E36)</f>
        <v>964952.72</v>
      </c>
    </row>
    <row r="37" spans="1:33" ht="16.5" customHeight="1">
      <c r="A37" s="1100" t="str">
        <f>+'Anexo 20 Minera de Cobre'!A40</f>
        <v>Rendimientos financieros AL 30 DE JUNIO DE 2023</v>
      </c>
      <c r="B37" s="1101"/>
      <c r="C37" s="1101"/>
      <c r="D37" s="1101"/>
      <c r="E37" s="261">
        <v>73119.16</v>
      </c>
      <c r="F37" s="262"/>
      <c r="G37" s="785"/>
    </row>
    <row r="38" spans="1:33" ht="16.5" customHeight="1">
      <c r="A38" s="1128" t="str">
        <f>+'Anexo 20 Minera de Cobre'!A41</f>
        <v>Rendimientos financieros AL 31 DE JULIO DE 2023</v>
      </c>
      <c r="B38" s="1129"/>
      <c r="C38" s="1129"/>
      <c r="D38" s="1129"/>
      <c r="E38" s="261">
        <v>76041.36</v>
      </c>
      <c r="F38" s="262"/>
      <c r="G38" s="785"/>
    </row>
    <row r="39" spans="1:33" s="5" customFormat="1" ht="18.600000000000001" customHeight="1">
      <c r="A39" s="268"/>
      <c r="B39" s="269"/>
      <c r="C39" s="269"/>
      <c r="D39" s="269"/>
      <c r="E39" s="263"/>
      <c r="F39" s="264"/>
      <c r="G39" s="776" t="s">
        <v>535</v>
      </c>
      <c r="H39" s="775" t="s">
        <v>536</v>
      </c>
      <c r="I39" s="775" t="s">
        <v>516</v>
      </c>
      <c r="J39" s="742" t="s">
        <v>65</v>
      </c>
      <c r="Z39" s="6"/>
      <c r="AA39" s="6"/>
      <c r="AB39" s="6"/>
      <c r="AC39" s="6"/>
      <c r="AD39" s="6"/>
      <c r="AE39" s="6"/>
      <c r="AF39" s="6"/>
      <c r="AG39" s="6"/>
    </row>
    <row r="40" spans="1:33" s="5" customFormat="1" ht="24.75" customHeight="1" thickBot="1">
      <c r="A40" s="14" t="str">
        <f>+'Anexo 20 Minera de Cobre'!A43</f>
        <v>TOTAL RENDIMIENTOS DISPONIBLES AL 31 DE JULIO DE 2023</v>
      </c>
      <c r="B40" s="15"/>
      <c r="C40" s="15"/>
      <c r="D40" s="15"/>
      <c r="E40" s="265"/>
      <c r="F40" s="266">
        <f>SUM(E9:E39)</f>
        <v>1114113.24</v>
      </c>
      <c r="G40" s="5">
        <f>+F40+Adhesiones!H81</f>
        <v>11671246.24</v>
      </c>
      <c r="H40" s="741">
        <f>+G40-F40</f>
        <v>10557133</v>
      </c>
      <c r="I40" s="5">
        <f>-'Anexo 3-Porcion C-NC'!B31</f>
        <v>-10557133</v>
      </c>
      <c r="J40" s="5">
        <f>+H40+I40</f>
        <v>0</v>
      </c>
      <c r="Z40" s="6"/>
      <c r="AA40" s="6"/>
      <c r="AB40" s="6"/>
      <c r="AC40" s="6"/>
      <c r="AD40" s="6"/>
      <c r="AE40" s="6"/>
      <c r="AF40" s="6"/>
      <c r="AG40" s="6"/>
    </row>
    <row r="41" spans="1:33" s="20" customFormat="1" ht="15.75">
      <c r="A41" s="6"/>
      <c r="B41" s="6"/>
      <c r="C41" s="16"/>
      <c r="D41" s="17"/>
      <c r="E41" s="18"/>
      <c r="F41" s="19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</row>
    <row r="42" spans="1:33" s="20" customFormat="1" ht="15.75">
      <c r="A42" s="6"/>
      <c r="B42" s="6"/>
      <c r="C42" s="16"/>
      <c r="D42" s="17"/>
      <c r="E42" s="21"/>
      <c r="F42" s="19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</row>
    <row r="43" spans="1:33" s="20" customFormat="1" ht="15.75">
      <c r="A43" s="6"/>
      <c r="B43" s="6"/>
      <c r="C43" s="16"/>
      <c r="D43" s="17"/>
      <c r="E43" s="22"/>
      <c r="F43" s="19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</row>
    <row r="44" spans="1:33" s="20" customFormat="1" ht="15.75">
      <c r="A44" s="6"/>
      <c r="B44" s="6"/>
      <c r="C44" s="16"/>
      <c r="D44" s="17"/>
      <c r="E44" s="22"/>
      <c r="F44" s="19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</row>
    <row r="45" spans="1:33" s="5" customFormat="1" ht="16.5" thickBot="1">
      <c r="A45" s="23"/>
      <c r="B45" s="24"/>
      <c r="C45" s="25"/>
      <c r="D45" s="131"/>
      <c r="E45" s="132"/>
      <c r="F45" s="133"/>
    </row>
    <row r="46" spans="1:33" s="5" customFormat="1" ht="15" customHeight="1">
      <c r="A46" s="1336" t="s">
        <v>135</v>
      </c>
      <c r="B46" s="1336"/>
      <c r="C46" s="1"/>
      <c r="D46" s="1336" t="s">
        <v>517</v>
      </c>
      <c r="E46" s="1336"/>
      <c r="F46" s="270"/>
    </row>
    <row r="47" spans="1:33" s="5" customFormat="1" ht="14.45" customHeight="1">
      <c r="A47" s="1332" t="s">
        <v>145</v>
      </c>
      <c r="B47" s="1332"/>
      <c r="C47" s="2"/>
      <c r="D47" s="1332" t="s">
        <v>519</v>
      </c>
      <c r="E47" s="1332"/>
      <c r="F47" s="271"/>
    </row>
    <row r="48" spans="1:33" s="5" customFormat="1" ht="15.75" customHeight="1">
      <c r="A48" s="1332" t="s">
        <v>48</v>
      </c>
      <c r="B48" s="1332"/>
      <c r="C48" s="2"/>
      <c r="D48" s="1332" t="s">
        <v>48</v>
      </c>
      <c r="E48" s="1332"/>
      <c r="F48" s="271"/>
    </row>
    <row r="49" spans="1:25" s="20" customFormat="1" ht="15.75" customHeight="1">
      <c r="A49" s="6"/>
      <c r="B49" s="6"/>
      <c r="C49" s="16"/>
      <c r="D49" s="1335" t="s">
        <v>518</v>
      </c>
      <c r="E49" s="1335"/>
      <c r="F49" s="271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</row>
    <row r="50" spans="1:25" s="20" customFormat="1" ht="15.75">
      <c r="A50" s="6"/>
      <c r="B50" s="6"/>
      <c r="C50" s="16"/>
      <c r="D50" s="17"/>
      <c r="E50" s="22"/>
      <c r="F50" s="19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</row>
    <row r="51" spans="1:25" s="20" customFormat="1" ht="15.75">
      <c r="A51" s="6"/>
      <c r="B51" s="6"/>
      <c r="C51" s="16"/>
      <c r="D51" s="17"/>
      <c r="E51" s="22"/>
      <c r="F51" s="19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</row>
    <row r="52" spans="1:25" s="20" customFormat="1" ht="15.75">
      <c r="A52" s="27"/>
      <c r="B52" s="27"/>
      <c r="C52" s="27"/>
      <c r="D52" s="27"/>
      <c r="E52" s="27"/>
      <c r="F52" s="19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</row>
    <row r="53" spans="1:25" s="5" customFormat="1" ht="15.75">
      <c r="A53" s="27"/>
      <c r="B53" s="27"/>
      <c r="C53" s="27"/>
      <c r="D53" s="27"/>
      <c r="E53" s="27"/>
      <c r="F53" s="26"/>
    </row>
    <row r="54" spans="1:25" s="5" customFormat="1" ht="15" customHeight="1">
      <c r="A54" s="27"/>
      <c r="B54" s="27"/>
      <c r="C54" s="27"/>
      <c r="D54" s="27"/>
      <c r="E54" s="27"/>
      <c r="F54" s="26"/>
    </row>
    <row r="55" spans="1:25" s="5" customFormat="1" ht="14.45" customHeight="1">
      <c r="A55" s="27"/>
      <c r="B55" s="27"/>
      <c r="C55" s="27"/>
      <c r="D55" s="27"/>
      <c r="E55" s="27"/>
      <c r="F55" s="26"/>
    </row>
    <row r="56" spans="1:25" s="5" customFormat="1" ht="14.45" customHeight="1">
      <c r="A56" s="27"/>
      <c r="B56" s="27"/>
      <c r="C56" s="27"/>
      <c r="D56" s="27"/>
      <c r="E56" s="27"/>
      <c r="F56" s="26"/>
    </row>
    <row r="57" spans="1:25" s="20" customFormat="1" ht="15.75">
      <c r="A57" s="27"/>
      <c r="B57" s="27"/>
      <c r="C57" s="27"/>
      <c r="D57" s="27"/>
      <c r="E57" s="27"/>
      <c r="F57" s="19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</row>
    <row r="58" spans="1:25" s="20" customFormat="1" ht="15.75">
      <c r="A58" s="6"/>
      <c r="B58" s="6"/>
      <c r="C58" s="16"/>
      <c r="D58" s="17"/>
      <c r="E58" s="6"/>
      <c r="F58" s="19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</row>
    <row r="59" spans="1:25" s="20" customFormat="1" ht="15.75">
      <c r="A59" s="6"/>
      <c r="B59" s="6"/>
      <c r="C59" s="16"/>
      <c r="D59" s="17"/>
      <c r="E59" s="6"/>
      <c r="F59" s="19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</row>
    <row r="60" spans="1:25" s="20" customFormat="1" ht="15.75">
      <c r="A60" s="6"/>
      <c r="B60" s="6"/>
      <c r="C60" s="16"/>
      <c r="D60" s="17"/>
      <c r="E60" s="6"/>
      <c r="F60" s="19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</row>
    <row r="61" spans="1:25" s="20" customFormat="1" ht="15.75">
      <c r="A61" s="6"/>
      <c r="B61" s="6"/>
      <c r="C61" s="16"/>
      <c r="D61" s="17"/>
      <c r="E61" s="6"/>
      <c r="F61" s="19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</row>
    <row r="62" spans="1:25" s="20" customFormat="1" ht="15.75">
      <c r="A62" s="6"/>
      <c r="B62" s="6"/>
      <c r="C62" s="16"/>
      <c r="D62" s="17"/>
      <c r="E62" s="6"/>
      <c r="F62" s="19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</row>
    <row r="63" spans="1:25" s="20" customFormat="1" ht="15.75">
      <c r="A63" s="6"/>
      <c r="B63" s="6"/>
      <c r="C63" s="16"/>
      <c r="D63" s="17"/>
      <c r="E63" s="6"/>
      <c r="F63" s="19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</row>
    <row r="64" spans="1:25" s="20" customFormat="1" ht="15.75">
      <c r="A64" s="6"/>
      <c r="B64" s="6"/>
      <c r="C64" s="16"/>
      <c r="D64" s="17"/>
      <c r="E64" s="6"/>
      <c r="F64" s="19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</row>
    <row r="65" spans="1:25" s="20" customFormat="1" ht="15.75">
      <c r="A65" s="6"/>
      <c r="B65" s="6"/>
      <c r="C65" s="16"/>
      <c r="D65" s="17"/>
      <c r="E65" s="6"/>
      <c r="F65" s="19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</row>
    <row r="66" spans="1:25" s="20" customFormat="1" ht="15.75">
      <c r="A66" s="6"/>
      <c r="B66" s="6"/>
      <c r="C66" s="16"/>
      <c r="D66" s="17"/>
      <c r="E66" s="6"/>
      <c r="F66" s="19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</row>
    <row r="67" spans="1:25" s="20" customFormat="1" ht="15.75">
      <c r="A67" s="6"/>
      <c r="B67" s="6"/>
      <c r="C67" s="16"/>
      <c r="D67" s="17"/>
      <c r="E67" s="6"/>
      <c r="F67" s="19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</row>
    <row r="68" spans="1:25" s="20" customFormat="1" ht="15.75">
      <c r="A68" s="6"/>
      <c r="B68" s="6"/>
      <c r="C68" s="16"/>
      <c r="D68" s="17"/>
      <c r="E68" s="6"/>
      <c r="F68" s="19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</row>
    <row r="69" spans="1:25" s="20" customFormat="1" ht="15.75">
      <c r="A69" s="6"/>
      <c r="B69" s="6"/>
      <c r="C69" s="16"/>
      <c r="D69" s="17"/>
      <c r="E69" s="6"/>
      <c r="F69" s="19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</row>
    <row r="70" spans="1:25" s="20" customFormat="1" ht="15.75">
      <c r="A70" s="6"/>
      <c r="B70" s="6"/>
      <c r="C70" s="16"/>
      <c r="D70" s="17"/>
      <c r="E70" s="6"/>
      <c r="F70" s="19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</row>
    <row r="71" spans="1:25" s="20" customFormat="1" ht="15.75">
      <c r="A71" s="6"/>
      <c r="B71" s="6"/>
      <c r="C71" s="16"/>
      <c r="D71" s="17"/>
      <c r="E71" s="6"/>
      <c r="F71" s="19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</row>
    <row r="72" spans="1:25" s="20" customFormat="1" ht="15.75">
      <c r="A72" s="6"/>
      <c r="B72" s="6"/>
      <c r="C72" s="16"/>
      <c r="D72" s="17"/>
      <c r="E72" s="6"/>
      <c r="F72" s="19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</row>
    <row r="73" spans="1:25" s="20" customFormat="1" ht="15.75">
      <c r="A73" s="6"/>
      <c r="B73" s="6"/>
      <c r="C73" s="16"/>
      <c r="D73" s="17"/>
      <c r="E73" s="6"/>
      <c r="F73" s="19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</row>
    <row r="74" spans="1:25" s="20" customFormat="1" ht="15.75">
      <c r="A74" s="6"/>
      <c r="B74" s="6"/>
      <c r="C74" s="16"/>
      <c r="D74" s="17"/>
      <c r="E74" s="6"/>
      <c r="F74" s="19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</row>
    <row r="75" spans="1:25" s="20" customFormat="1" ht="15.75">
      <c r="A75" s="6"/>
      <c r="B75" s="6"/>
      <c r="C75" s="16"/>
      <c r="D75" s="17"/>
      <c r="E75" s="6"/>
      <c r="F75" s="19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</row>
    <row r="76" spans="1:25" s="20" customFormat="1" ht="15.75">
      <c r="A76" s="6"/>
      <c r="B76" s="6"/>
      <c r="C76" s="16"/>
      <c r="D76" s="17"/>
      <c r="E76" s="6"/>
      <c r="F76" s="19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</row>
    <row r="77" spans="1:25" s="20" customFormat="1" ht="89.25" customHeight="1">
      <c r="A77" s="6"/>
      <c r="B77" s="6"/>
      <c r="C77" s="16"/>
      <c r="D77" s="17"/>
      <c r="E77" s="6"/>
      <c r="F77" s="19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</row>
    <row r="78" spans="1:25" s="20" customFormat="1" ht="89.25" customHeight="1">
      <c r="A78" s="6"/>
      <c r="B78" s="6"/>
      <c r="C78" s="16"/>
      <c r="D78" s="17"/>
      <c r="E78" s="6"/>
      <c r="F78" s="19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</row>
    <row r="79" spans="1:25" s="20" customFormat="1" ht="89.25" customHeight="1">
      <c r="A79" s="6"/>
      <c r="B79" s="6"/>
      <c r="C79" s="16"/>
      <c r="D79" s="17"/>
      <c r="E79" s="6"/>
      <c r="F79" s="19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</row>
    <row r="80" spans="1:25" s="20" customFormat="1" ht="89.25" customHeight="1">
      <c r="A80" s="6"/>
      <c r="B80" s="6"/>
      <c r="C80" s="16"/>
      <c r="D80" s="17"/>
      <c r="E80" s="6"/>
      <c r="F80" s="19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</row>
    <row r="81" spans="1:25" s="20" customFormat="1" ht="89.25" customHeight="1">
      <c r="A81" s="6"/>
      <c r="B81" s="6"/>
      <c r="C81" s="16"/>
      <c r="D81" s="17"/>
      <c r="E81" s="6"/>
      <c r="F81" s="19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</row>
    <row r="82" spans="1:25" s="20" customFormat="1" ht="89.25" customHeight="1">
      <c r="A82" s="6"/>
      <c r="B82" s="6"/>
      <c r="C82" s="16"/>
      <c r="D82" s="17"/>
      <c r="E82" s="6"/>
      <c r="F82" s="19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</row>
    <row r="83" spans="1:25" s="20" customFormat="1" ht="89.25" customHeight="1">
      <c r="A83" s="6"/>
      <c r="B83" s="6"/>
      <c r="C83" s="16"/>
      <c r="D83" s="17"/>
      <c r="E83" s="6"/>
      <c r="F83" s="19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</row>
    <row r="84" spans="1:25" s="20" customFormat="1" ht="89.25" customHeight="1">
      <c r="A84" s="6"/>
      <c r="B84" s="6"/>
      <c r="C84" s="16"/>
      <c r="D84" s="17"/>
      <c r="E84" s="6"/>
      <c r="F84" s="19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</row>
    <row r="85" spans="1:25" s="20" customFormat="1" ht="89.25" customHeight="1">
      <c r="A85" s="6"/>
      <c r="B85" s="6"/>
      <c r="C85" s="16"/>
      <c r="D85" s="17"/>
      <c r="E85" s="6"/>
      <c r="F85" s="19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</row>
    <row r="86" spans="1:25" s="20" customFormat="1" ht="89.25" customHeight="1">
      <c r="A86" s="6"/>
      <c r="B86" s="6"/>
      <c r="C86" s="16"/>
      <c r="D86" s="17"/>
      <c r="E86" s="6"/>
      <c r="F86" s="19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</row>
    <row r="87" spans="1:25" s="20" customFormat="1" ht="89.25" customHeight="1">
      <c r="A87" s="6"/>
      <c r="B87" s="6"/>
      <c r="C87" s="16"/>
      <c r="D87" s="17"/>
      <c r="E87" s="6"/>
      <c r="F87" s="19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</row>
    <row r="88" spans="1:25" s="20" customFormat="1" ht="89.25" customHeight="1">
      <c r="A88" s="6"/>
      <c r="B88" s="6"/>
      <c r="C88" s="16"/>
      <c r="D88" s="17"/>
      <c r="E88" s="6"/>
      <c r="F88" s="19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</row>
    <row r="89" spans="1:25" s="20" customFormat="1" ht="89.25" customHeight="1">
      <c r="A89" s="6"/>
      <c r="B89" s="6"/>
      <c r="C89" s="16"/>
      <c r="D89" s="17"/>
      <c r="E89" s="6"/>
      <c r="F89" s="19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</row>
    <row r="90" spans="1:25" s="20" customFormat="1" ht="89.25" customHeight="1">
      <c r="A90" s="6"/>
      <c r="B90" s="6"/>
      <c r="C90" s="16"/>
      <c r="D90" s="17"/>
      <c r="E90" s="6"/>
      <c r="F90" s="19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</row>
    <row r="91" spans="1:25" s="20" customFormat="1" ht="89.25" customHeight="1">
      <c r="A91" s="6"/>
      <c r="B91" s="6"/>
      <c r="C91" s="16"/>
      <c r="D91" s="17"/>
      <c r="E91" s="6"/>
      <c r="F91" s="19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</row>
    <row r="92" spans="1:25" s="20" customFormat="1" ht="89.25" customHeight="1">
      <c r="A92" s="6"/>
      <c r="B92" s="6"/>
      <c r="C92" s="16"/>
      <c r="D92" s="17"/>
      <c r="E92" s="6"/>
      <c r="F92" s="19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</row>
    <row r="93" spans="1:25" s="20" customFormat="1" ht="89.25" customHeight="1">
      <c r="A93" s="6"/>
      <c r="B93" s="6"/>
      <c r="C93" s="16"/>
      <c r="D93" s="17"/>
      <c r="E93" s="6"/>
      <c r="F93" s="19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</row>
    <row r="94" spans="1:25" s="20" customFormat="1" ht="89.25" customHeight="1">
      <c r="A94" s="6"/>
      <c r="B94" s="6"/>
      <c r="C94" s="16"/>
      <c r="D94" s="17"/>
      <c r="E94" s="6"/>
      <c r="F94" s="19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</row>
    <row r="95" spans="1:25" s="20" customFormat="1" ht="89.25" customHeight="1">
      <c r="A95" s="6"/>
      <c r="B95" s="6"/>
      <c r="C95" s="16"/>
      <c r="D95" s="17"/>
      <c r="E95" s="6"/>
      <c r="F95" s="19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</row>
    <row r="96" spans="1:25" s="20" customFormat="1" ht="89.25" customHeight="1">
      <c r="A96" s="6"/>
      <c r="B96" s="6"/>
      <c r="C96" s="16"/>
      <c r="D96" s="17"/>
      <c r="E96" s="6"/>
      <c r="F96" s="19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</row>
    <row r="97" spans="1:25" s="20" customFormat="1" ht="89.25" customHeight="1">
      <c r="A97" s="6"/>
      <c r="B97" s="6"/>
      <c r="C97" s="16"/>
      <c r="D97" s="17"/>
      <c r="E97" s="6"/>
      <c r="F97" s="19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</row>
    <row r="98" spans="1:25" s="20" customFormat="1" ht="89.25" customHeight="1">
      <c r="A98" s="6"/>
      <c r="B98" s="6"/>
      <c r="C98" s="16"/>
      <c r="D98" s="17"/>
      <c r="E98" s="6"/>
      <c r="F98" s="19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</row>
    <row r="99" spans="1:25" s="20" customFormat="1" ht="89.25" customHeight="1">
      <c r="A99" s="6"/>
      <c r="B99" s="6"/>
      <c r="C99" s="16"/>
      <c r="D99" s="17"/>
      <c r="E99" s="6"/>
      <c r="F99" s="19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</row>
    <row r="100" spans="1:25" s="20" customFormat="1" ht="89.25" customHeight="1">
      <c r="A100" s="6"/>
      <c r="B100" s="6"/>
      <c r="C100" s="16"/>
      <c r="D100" s="17"/>
      <c r="E100" s="6"/>
      <c r="F100" s="19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</row>
    <row r="101" spans="1:25" s="20" customFormat="1" ht="89.25" customHeight="1">
      <c r="A101" s="6"/>
      <c r="B101" s="6"/>
      <c r="C101" s="16"/>
      <c r="D101" s="17"/>
      <c r="E101" s="6"/>
      <c r="F101" s="19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</row>
    <row r="102" spans="1:25" s="20" customFormat="1" ht="89.25" customHeight="1">
      <c r="A102" s="6"/>
      <c r="B102" s="6"/>
      <c r="C102" s="16"/>
      <c r="D102" s="17"/>
      <c r="E102" s="6"/>
      <c r="F102" s="19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</row>
    <row r="103" spans="1:25" s="20" customFormat="1" ht="89.25" customHeight="1">
      <c r="A103" s="6"/>
      <c r="B103" s="6"/>
      <c r="C103" s="16"/>
      <c r="D103" s="17"/>
      <c r="E103" s="6"/>
      <c r="F103" s="19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</row>
    <row r="104" spans="1:25" s="20" customFormat="1" ht="89.25" customHeight="1">
      <c r="A104" s="6"/>
      <c r="B104" s="6"/>
      <c r="C104" s="16"/>
      <c r="D104" s="17"/>
      <c r="E104" s="6"/>
      <c r="F104" s="19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</row>
    <row r="105" spans="1:25" s="20" customFormat="1" ht="89.25" customHeight="1">
      <c r="A105" s="6"/>
      <c r="B105" s="6"/>
      <c r="C105" s="16"/>
      <c r="D105" s="17"/>
      <c r="E105" s="6"/>
      <c r="F105" s="19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</row>
    <row r="106" spans="1:25" s="20" customFormat="1" ht="89.25" customHeight="1">
      <c r="A106" s="6"/>
      <c r="B106" s="6"/>
      <c r="C106" s="16"/>
      <c r="D106" s="17"/>
      <c r="E106" s="6"/>
      <c r="F106" s="19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</row>
    <row r="107" spans="1:25" s="20" customFormat="1" ht="89.25" customHeight="1">
      <c r="A107" s="6"/>
      <c r="B107" s="6"/>
      <c r="C107" s="16"/>
      <c r="D107" s="17"/>
      <c r="E107" s="6"/>
      <c r="F107" s="19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</row>
    <row r="108" spans="1:25" s="20" customFormat="1" ht="89.25" customHeight="1">
      <c r="A108" s="6"/>
      <c r="B108" s="6"/>
      <c r="C108" s="16"/>
      <c r="D108" s="17"/>
      <c r="E108" s="6"/>
      <c r="F108" s="19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</row>
    <row r="109" spans="1:25" s="20" customFormat="1" ht="89.25" customHeight="1">
      <c r="A109" s="6"/>
      <c r="B109" s="6"/>
      <c r="C109" s="16"/>
      <c r="D109" s="17"/>
      <c r="E109" s="6"/>
      <c r="F109" s="19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</row>
    <row r="110" spans="1:25" s="20" customFormat="1" ht="89.25" customHeight="1">
      <c r="A110" s="6"/>
      <c r="B110" s="6"/>
      <c r="C110" s="16"/>
      <c r="D110" s="17"/>
      <c r="E110" s="6"/>
      <c r="F110" s="19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</row>
    <row r="111" spans="1:25" s="20" customFormat="1" ht="89.25" customHeight="1">
      <c r="A111" s="6"/>
      <c r="B111" s="6"/>
      <c r="C111" s="16"/>
      <c r="D111" s="17"/>
      <c r="E111" s="6"/>
      <c r="F111" s="19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</row>
    <row r="112" spans="1:25" s="20" customFormat="1" ht="89.25" customHeight="1">
      <c r="A112" s="6"/>
      <c r="B112" s="6"/>
      <c r="C112" s="16"/>
      <c r="D112" s="17"/>
      <c r="E112" s="6"/>
      <c r="F112" s="19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</row>
    <row r="113" spans="1:25" s="20" customFormat="1" ht="89.25" customHeight="1">
      <c r="A113" s="6"/>
      <c r="B113" s="6"/>
      <c r="C113" s="16"/>
      <c r="D113" s="17"/>
      <c r="E113" s="6"/>
      <c r="F113" s="19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</row>
    <row r="114" spans="1:25" s="20" customFormat="1" ht="89.25" customHeight="1">
      <c r="A114" s="6"/>
      <c r="B114" s="6"/>
      <c r="C114" s="16"/>
      <c r="D114" s="17"/>
      <c r="E114" s="6"/>
      <c r="F114" s="19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</row>
    <row r="115" spans="1:25" s="20" customFormat="1" ht="89.25" customHeight="1">
      <c r="A115" s="6"/>
      <c r="B115" s="6"/>
      <c r="C115" s="16"/>
      <c r="D115" s="17"/>
      <c r="E115" s="6"/>
      <c r="F115" s="19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</row>
    <row r="116" spans="1:25" s="20" customFormat="1" ht="89.25" customHeight="1">
      <c r="A116" s="6"/>
      <c r="B116" s="6"/>
      <c r="C116" s="16"/>
      <c r="D116" s="17"/>
      <c r="E116" s="6"/>
      <c r="F116" s="19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</row>
    <row r="117" spans="1:25" s="20" customFormat="1" ht="89.25" customHeight="1">
      <c r="A117" s="6"/>
      <c r="B117" s="6"/>
      <c r="C117" s="16"/>
      <c r="D117" s="17"/>
      <c r="E117" s="6"/>
      <c r="F117" s="19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</row>
    <row r="118" spans="1:25" s="20" customFormat="1" ht="89.25" customHeight="1">
      <c r="A118" s="6"/>
      <c r="B118" s="6"/>
      <c r="C118" s="16"/>
      <c r="D118" s="17"/>
      <c r="E118" s="6"/>
      <c r="F118" s="19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</row>
    <row r="119" spans="1:25" s="20" customFormat="1" ht="89.25" customHeight="1">
      <c r="A119" s="6"/>
      <c r="B119" s="6"/>
      <c r="C119" s="16"/>
      <c r="D119" s="17"/>
      <c r="E119" s="6"/>
      <c r="F119" s="19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</row>
    <row r="120" spans="1:25" s="20" customFormat="1" ht="89.25" customHeight="1">
      <c r="A120" s="6"/>
      <c r="B120" s="6"/>
      <c r="C120" s="16"/>
      <c r="D120" s="17"/>
      <c r="E120" s="6"/>
      <c r="F120" s="19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</row>
    <row r="121" spans="1:25" s="20" customFormat="1" ht="89.25" customHeight="1">
      <c r="A121" s="6"/>
      <c r="B121" s="6"/>
      <c r="C121" s="16"/>
      <c r="D121" s="17"/>
      <c r="E121" s="6"/>
      <c r="F121" s="19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</row>
    <row r="122" spans="1:25" s="20" customFormat="1" ht="89.25" customHeight="1">
      <c r="A122" s="6"/>
      <c r="B122" s="6"/>
      <c r="C122" s="16"/>
      <c r="D122" s="17"/>
      <c r="E122" s="6"/>
      <c r="F122" s="19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</row>
    <row r="123" spans="1:25" s="20" customFormat="1" ht="89.25" customHeight="1">
      <c r="A123" s="6"/>
      <c r="B123" s="6"/>
      <c r="C123" s="16"/>
      <c r="D123" s="17"/>
      <c r="E123" s="6"/>
      <c r="F123" s="19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</row>
    <row r="124" spans="1:25" s="20" customFormat="1" ht="89.25" customHeight="1">
      <c r="A124" s="6"/>
      <c r="B124" s="6"/>
      <c r="C124" s="16"/>
      <c r="D124" s="17"/>
      <c r="E124" s="6"/>
      <c r="F124" s="19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</row>
    <row r="125" spans="1:25" s="20" customFormat="1" ht="89.25" customHeight="1">
      <c r="A125" s="6"/>
      <c r="B125" s="6"/>
      <c r="C125" s="16"/>
      <c r="D125" s="17"/>
      <c r="E125" s="6"/>
      <c r="F125" s="19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</row>
    <row r="126" spans="1:25" s="20" customFormat="1" ht="89.25" customHeight="1">
      <c r="A126" s="6"/>
      <c r="B126" s="6"/>
      <c r="C126" s="16"/>
      <c r="D126" s="17"/>
      <c r="E126" s="6"/>
      <c r="F126" s="19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</row>
    <row r="127" spans="1:25" s="20" customFormat="1" ht="89.25" customHeight="1">
      <c r="A127" s="6"/>
      <c r="B127" s="6"/>
      <c r="C127" s="16"/>
      <c r="D127" s="17"/>
      <c r="E127" s="6"/>
      <c r="F127" s="19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</row>
    <row r="128" spans="1:25" s="20" customFormat="1" ht="89.25" customHeight="1">
      <c r="A128" s="6"/>
      <c r="B128" s="6"/>
      <c r="C128" s="16"/>
      <c r="D128" s="17"/>
      <c r="E128" s="6"/>
      <c r="F128" s="19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</row>
    <row r="129" spans="1:25" s="20" customFormat="1" ht="89.25" customHeight="1">
      <c r="A129" s="6"/>
      <c r="B129" s="6"/>
      <c r="C129" s="16"/>
      <c r="D129" s="17"/>
      <c r="E129" s="6"/>
      <c r="F129" s="19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</row>
    <row r="130" spans="1:25" s="20" customFormat="1" ht="89.25" customHeight="1">
      <c r="A130" s="6"/>
      <c r="B130" s="6"/>
      <c r="C130" s="16"/>
      <c r="D130" s="17"/>
      <c r="E130" s="6"/>
      <c r="F130" s="19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</row>
    <row r="131" spans="1:25" s="20" customFormat="1" ht="89.25" customHeight="1">
      <c r="A131" s="6"/>
      <c r="B131" s="6"/>
      <c r="C131" s="16"/>
      <c r="D131" s="17"/>
      <c r="E131" s="6"/>
      <c r="F131" s="19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</row>
    <row r="132" spans="1:25" s="20" customFormat="1" ht="89.25" customHeight="1">
      <c r="A132" s="6"/>
      <c r="B132" s="6"/>
      <c r="C132" s="16"/>
      <c r="D132" s="17"/>
      <c r="E132" s="6"/>
      <c r="F132" s="19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</row>
    <row r="133" spans="1:25" s="20" customFormat="1" ht="89.25" customHeight="1">
      <c r="A133" s="6"/>
      <c r="B133" s="6"/>
      <c r="C133" s="16"/>
      <c r="D133" s="17"/>
      <c r="E133" s="6"/>
      <c r="F133" s="19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</row>
    <row r="134" spans="1:25" s="20" customFormat="1" ht="89.25" customHeight="1">
      <c r="A134" s="6"/>
      <c r="B134" s="6"/>
      <c r="C134" s="16"/>
      <c r="D134" s="17"/>
      <c r="E134" s="6"/>
      <c r="F134" s="19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</row>
    <row r="135" spans="1:25" s="20" customFormat="1" ht="89.25" customHeight="1">
      <c r="A135" s="6"/>
      <c r="B135" s="6"/>
      <c r="C135" s="16"/>
      <c r="D135" s="17"/>
      <c r="E135" s="6"/>
      <c r="F135" s="19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</row>
    <row r="136" spans="1:25" s="20" customFormat="1" ht="89.25" customHeight="1">
      <c r="A136" s="6"/>
      <c r="B136" s="6"/>
      <c r="C136" s="16"/>
      <c r="D136" s="17"/>
      <c r="E136" s="6"/>
      <c r="F136" s="19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</row>
    <row r="137" spans="1:25" s="20" customFormat="1" ht="89.25" customHeight="1">
      <c r="A137" s="6"/>
      <c r="B137" s="6"/>
      <c r="C137" s="16"/>
      <c r="D137" s="17"/>
      <c r="E137" s="6"/>
      <c r="F137" s="19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</row>
    <row r="138" spans="1:25" s="20" customFormat="1" ht="89.25" customHeight="1">
      <c r="A138" s="6"/>
      <c r="B138" s="6"/>
      <c r="C138" s="16"/>
      <c r="D138" s="17"/>
      <c r="E138" s="6"/>
      <c r="F138" s="19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</row>
    <row r="139" spans="1:25" s="20" customFormat="1" ht="89.25" customHeight="1">
      <c r="A139" s="6"/>
      <c r="B139" s="6"/>
      <c r="C139" s="16"/>
      <c r="D139" s="17"/>
      <c r="E139" s="6"/>
      <c r="F139" s="19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</row>
    <row r="140" spans="1:25" s="20" customFormat="1" ht="89.25" customHeight="1">
      <c r="A140" s="6"/>
      <c r="B140" s="6"/>
      <c r="C140" s="16"/>
      <c r="D140" s="17"/>
      <c r="E140" s="6"/>
      <c r="F140" s="19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</row>
    <row r="141" spans="1:25" s="20" customFormat="1" ht="89.25" customHeight="1">
      <c r="A141" s="6"/>
      <c r="B141" s="6"/>
      <c r="C141" s="16"/>
      <c r="D141" s="17"/>
      <c r="E141" s="6"/>
      <c r="F141" s="19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</row>
    <row r="142" spans="1:25" s="20" customFormat="1" ht="89.25" customHeight="1">
      <c r="A142" s="6"/>
      <c r="B142" s="6"/>
      <c r="C142" s="16"/>
      <c r="D142" s="17"/>
      <c r="E142" s="6"/>
      <c r="F142" s="19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</row>
    <row r="143" spans="1:25" s="20" customFormat="1" ht="89.25" customHeight="1">
      <c r="A143" s="6"/>
      <c r="B143" s="6"/>
      <c r="C143" s="16"/>
      <c r="D143" s="17"/>
      <c r="E143" s="6"/>
      <c r="F143" s="19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</row>
    <row r="144" spans="1:25" s="20" customFormat="1" ht="89.25" customHeight="1">
      <c r="A144" s="6"/>
      <c r="B144" s="6"/>
      <c r="C144" s="16"/>
      <c r="D144" s="17"/>
      <c r="E144" s="6"/>
      <c r="F144" s="19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</row>
    <row r="145" spans="1:25" s="20" customFormat="1" ht="89.25" customHeight="1">
      <c r="A145" s="6"/>
      <c r="B145" s="6"/>
      <c r="C145" s="16"/>
      <c r="D145" s="17"/>
      <c r="E145" s="6"/>
      <c r="F145" s="19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</row>
    <row r="146" spans="1:25" s="20" customFormat="1" ht="89.25" customHeight="1">
      <c r="A146" s="6"/>
      <c r="B146" s="6"/>
      <c r="C146" s="16"/>
      <c r="D146" s="17"/>
      <c r="E146" s="6"/>
      <c r="F146" s="19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</row>
    <row r="147" spans="1:25" s="20" customFormat="1" ht="89.25" customHeight="1">
      <c r="A147" s="6"/>
      <c r="B147" s="6"/>
      <c r="C147" s="16"/>
      <c r="D147" s="17"/>
      <c r="E147" s="6"/>
      <c r="F147" s="19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</row>
    <row r="148" spans="1:25" s="20" customFormat="1" ht="89.25" customHeight="1">
      <c r="A148" s="6"/>
      <c r="B148" s="6"/>
      <c r="C148" s="16"/>
      <c r="D148" s="17"/>
      <c r="E148" s="6"/>
      <c r="F148" s="19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</row>
    <row r="149" spans="1:25" s="20" customFormat="1" ht="89.25" customHeight="1">
      <c r="A149" s="6"/>
      <c r="B149" s="6"/>
      <c r="C149" s="16"/>
      <c r="D149" s="17"/>
      <c r="E149" s="6"/>
      <c r="F149" s="19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</row>
    <row r="150" spans="1:25" s="20" customFormat="1" ht="89.25" customHeight="1">
      <c r="A150" s="6"/>
      <c r="B150" s="6"/>
      <c r="C150" s="16"/>
      <c r="D150" s="17"/>
      <c r="E150" s="6"/>
      <c r="F150" s="19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</row>
    <row r="151" spans="1:25" s="20" customFormat="1" ht="89.25" customHeight="1">
      <c r="A151" s="6"/>
      <c r="B151" s="6"/>
      <c r="C151" s="16"/>
      <c r="D151" s="17"/>
      <c r="E151" s="6"/>
      <c r="F151" s="19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</row>
    <row r="152" spans="1:25" s="20" customFormat="1" ht="89.25" customHeight="1">
      <c r="A152" s="6"/>
      <c r="B152" s="6"/>
      <c r="C152" s="16"/>
      <c r="D152" s="17"/>
      <c r="E152" s="6"/>
      <c r="F152" s="19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</row>
    <row r="153" spans="1:25" s="20" customFormat="1" ht="89.25" customHeight="1">
      <c r="A153" s="6"/>
      <c r="B153" s="6"/>
      <c r="C153" s="16"/>
      <c r="D153" s="17"/>
      <c r="E153" s="6"/>
      <c r="F153" s="19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</row>
    <row r="154" spans="1:25" s="20" customFormat="1" ht="89.25" customHeight="1">
      <c r="A154" s="6"/>
      <c r="B154" s="6"/>
      <c r="C154" s="16"/>
      <c r="D154" s="17"/>
      <c r="E154" s="6"/>
      <c r="F154" s="19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</row>
    <row r="155" spans="1:25" s="20" customFormat="1" ht="89.25" customHeight="1">
      <c r="A155" s="6"/>
      <c r="B155" s="6"/>
      <c r="C155" s="16"/>
      <c r="D155" s="17"/>
      <c r="E155" s="6"/>
      <c r="F155" s="19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</row>
    <row r="156" spans="1:25" s="20" customFormat="1" ht="89.25" customHeight="1">
      <c r="A156" s="6"/>
      <c r="B156" s="6"/>
      <c r="C156" s="16"/>
      <c r="D156" s="17"/>
      <c r="E156" s="6"/>
      <c r="F156" s="19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</row>
    <row r="157" spans="1:25" s="20" customFormat="1" ht="89.25" customHeight="1">
      <c r="A157" s="6"/>
      <c r="B157" s="6"/>
      <c r="C157" s="16"/>
      <c r="D157" s="17"/>
      <c r="E157" s="6"/>
      <c r="F157" s="19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</row>
    <row r="158" spans="1:25" s="20" customFormat="1" ht="89.25" customHeight="1">
      <c r="A158" s="6"/>
      <c r="B158" s="6"/>
      <c r="C158" s="16"/>
      <c r="D158" s="17"/>
      <c r="E158" s="6"/>
      <c r="F158" s="19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</row>
    <row r="159" spans="1:25" s="20" customFormat="1" ht="89.25" customHeight="1">
      <c r="A159" s="6"/>
      <c r="B159" s="6"/>
      <c r="C159" s="16"/>
      <c r="D159" s="17"/>
      <c r="E159" s="6"/>
      <c r="F159" s="19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</row>
    <row r="160" spans="1:25" s="20" customFormat="1" ht="89.25" customHeight="1">
      <c r="A160" s="6"/>
      <c r="B160" s="6"/>
      <c r="C160" s="16"/>
      <c r="D160" s="17"/>
      <c r="E160" s="6"/>
      <c r="F160" s="19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</row>
    <row r="161" spans="1:25" s="20" customFormat="1" ht="89.25" customHeight="1">
      <c r="A161" s="6"/>
      <c r="B161" s="6"/>
      <c r="C161" s="16"/>
      <c r="D161" s="17"/>
      <c r="E161" s="6"/>
      <c r="F161" s="19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</row>
    <row r="162" spans="1:25" s="20" customFormat="1" ht="89.25" customHeight="1">
      <c r="A162" s="6"/>
      <c r="B162" s="6"/>
      <c r="C162" s="16"/>
      <c r="D162" s="17"/>
      <c r="E162" s="6"/>
      <c r="F162" s="19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</row>
    <row r="163" spans="1:25" s="20" customFormat="1" ht="89.25" customHeight="1">
      <c r="A163" s="6"/>
      <c r="B163" s="6"/>
      <c r="C163" s="16"/>
      <c r="D163" s="17"/>
      <c r="E163" s="6"/>
      <c r="F163" s="19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</row>
    <row r="164" spans="1:25" s="20" customFormat="1" ht="89.25" customHeight="1">
      <c r="A164" s="6"/>
      <c r="B164" s="6"/>
      <c r="C164" s="16"/>
      <c r="D164" s="17"/>
      <c r="E164" s="6"/>
      <c r="F164" s="19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</row>
    <row r="165" spans="1:25" s="20" customFormat="1" ht="89.25" customHeight="1">
      <c r="A165" s="6"/>
      <c r="B165" s="6"/>
      <c r="C165" s="16"/>
      <c r="D165" s="17"/>
      <c r="E165" s="6"/>
      <c r="F165" s="19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</row>
    <row r="166" spans="1:25" s="20" customFormat="1" ht="89.25" customHeight="1">
      <c r="A166" s="6"/>
      <c r="B166" s="6"/>
      <c r="C166" s="16"/>
      <c r="D166" s="17"/>
      <c r="E166" s="6"/>
      <c r="F166" s="19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</row>
    <row r="167" spans="1:25" s="20" customFormat="1" ht="89.25" customHeight="1">
      <c r="A167" s="6"/>
      <c r="B167" s="6"/>
      <c r="C167" s="16"/>
      <c r="D167" s="17"/>
      <c r="E167" s="6"/>
      <c r="F167" s="19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</row>
    <row r="168" spans="1:25" s="20" customFormat="1" ht="89.25" customHeight="1">
      <c r="A168" s="6"/>
      <c r="B168" s="6"/>
      <c r="C168" s="16"/>
      <c r="D168" s="17"/>
      <c r="E168" s="6"/>
      <c r="F168" s="19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</row>
    <row r="169" spans="1:25" s="20" customFormat="1" ht="89.25" customHeight="1">
      <c r="A169" s="6"/>
      <c r="B169" s="6"/>
      <c r="C169" s="16"/>
      <c r="D169" s="17"/>
      <c r="E169" s="6"/>
      <c r="F169" s="19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</row>
    <row r="170" spans="1:25" s="20" customFormat="1" ht="89.25" customHeight="1">
      <c r="A170" s="6"/>
      <c r="B170" s="6"/>
      <c r="C170" s="16"/>
      <c r="D170" s="17"/>
      <c r="E170" s="6"/>
      <c r="F170" s="19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</row>
    <row r="171" spans="1:25" s="20" customFormat="1" ht="89.25" customHeight="1">
      <c r="A171" s="6"/>
      <c r="B171" s="6"/>
      <c r="C171" s="16"/>
      <c r="D171" s="17"/>
      <c r="E171" s="6"/>
      <c r="F171" s="19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</row>
    <row r="172" spans="1:25" s="20" customFormat="1" ht="89.25" customHeight="1">
      <c r="A172" s="6"/>
      <c r="B172" s="6"/>
      <c r="C172" s="16"/>
      <c r="D172" s="17"/>
      <c r="E172" s="6"/>
      <c r="F172" s="19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</row>
    <row r="173" spans="1:25" s="20" customFormat="1" ht="89.25" customHeight="1">
      <c r="A173" s="6"/>
      <c r="B173" s="6"/>
      <c r="C173" s="16"/>
      <c r="D173" s="17"/>
      <c r="E173" s="6"/>
      <c r="F173" s="19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</row>
    <row r="174" spans="1:25" s="20" customFormat="1" ht="89.25" customHeight="1">
      <c r="A174" s="6"/>
      <c r="B174" s="6"/>
      <c r="C174" s="16"/>
      <c r="D174" s="17"/>
      <c r="E174" s="6"/>
      <c r="F174" s="19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</row>
    <row r="175" spans="1:25" s="20" customFormat="1" ht="89.25" customHeight="1">
      <c r="A175" s="6"/>
      <c r="B175" s="6"/>
      <c r="C175" s="16"/>
      <c r="D175" s="17"/>
      <c r="E175" s="6"/>
      <c r="F175" s="19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</row>
    <row r="176" spans="1:25" s="20" customFormat="1" ht="89.25" customHeight="1">
      <c r="A176" s="6"/>
      <c r="B176" s="6"/>
      <c r="C176" s="16"/>
      <c r="D176" s="17"/>
      <c r="E176" s="6"/>
      <c r="F176" s="19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</row>
    <row r="177" spans="1:25" s="20" customFormat="1" ht="89.25" customHeight="1">
      <c r="A177" s="6"/>
      <c r="B177" s="6"/>
      <c r="C177" s="16"/>
      <c r="D177" s="17"/>
      <c r="E177" s="6"/>
      <c r="F177" s="19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</row>
    <row r="178" spans="1:25" s="20" customFormat="1" ht="89.25" customHeight="1">
      <c r="A178" s="6"/>
      <c r="B178" s="6"/>
      <c r="C178" s="16"/>
      <c r="D178" s="17"/>
      <c r="E178" s="6"/>
      <c r="F178" s="19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</row>
    <row r="179" spans="1:25" s="20" customFormat="1" ht="89.25" customHeight="1">
      <c r="A179" s="6"/>
      <c r="B179" s="6"/>
      <c r="C179" s="16"/>
      <c r="D179" s="17"/>
      <c r="E179" s="6"/>
      <c r="F179" s="19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</row>
    <row r="180" spans="1:25" s="20" customFormat="1" ht="89.25" customHeight="1">
      <c r="A180" s="6"/>
      <c r="B180" s="6"/>
      <c r="C180" s="16"/>
      <c r="D180" s="17"/>
      <c r="E180" s="6"/>
      <c r="F180" s="19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</row>
    <row r="181" spans="1:25" s="20" customFormat="1" ht="89.25" customHeight="1">
      <c r="A181" s="6"/>
      <c r="B181" s="6"/>
      <c r="C181" s="16"/>
      <c r="D181" s="17"/>
      <c r="E181" s="6"/>
      <c r="F181" s="19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</row>
    <row r="182" spans="1:25" s="20" customFormat="1" ht="89.25" customHeight="1">
      <c r="A182" s="6"/>
      <c r="B182" s="6"/>
      <c r="C182" s="16"/>
      <c r="D182" s="17"/>
      <c r="E182" s="6"/>
      <c r="F182" s="19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</row>
    <row r="183" spans="1:25" s="20" customFormat="1" ht="89.25" customHeight="1">
      <c r="A183" s="6"/>
      <c r="B183" s="6"/>
      <c r="C183" s="16"/>
      <c r="D183" s="17"/>
      <c r="E183" s="6"/>
      <c r="F183" s="19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</row>
    <row r="184" spans="1:25" s="20" customFormat="1" ht="89.25" customHeight="1">
      <c r="A184" s="6"/>
      <c r="B184" s="6"/>
      <c r="C184" s="16"/>
      <c r="D184" s="17"/>
      <c r="E184" s="6"/>
      <c r="F184" s="19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</row>
    <row r="185" spans="1:25" s="20" customFormat="1" ht="89.25" customHeight="1">
      <c r="A185" s="6"/>
      <c r="B185" s="6"/>
      <c r="C185" s="16"/>
      <c r="D185" s="17"/>
      <c r="E185" s="6"/>
      <c r="F185" s="19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</row>
    <row r="186" spans="1:25" s="20" customFormat="1" ht="89.25" customHeight="1">
      <c r="A186" s="6"/>
      <c r="B186" s="6"/>
      <c r="C186" s="16"/>
      <c r="D186" s="17"/>
      <c r="E186" s="6"/>
      <c r="F186" s="19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</row>
    <row r="187" spans="1:25" s="20" customFormat="1" ht="89.25" customHeight="1">
      <c r="A187" s="6"/>
      <c r="B187" s="6"/>
      <c r="C187" s="16"/>
      <c r="D187" s="17"/>
      <c r="E187" s="6"/>
      <c r="F187" s="19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</row>
    <row r="188" spans="1:25" s="20" customFormat="1" ht="89.25" customHeight="1">
      <c r="A188" s="6"/>
      <c r="B188" s="6"/>
      <c r="C188" s="16"/>
      <c r="D188" s="17"/>
      <c r="E188" s="6"/>
      <c r="F188" s="19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</row>
    <row r="189" spans="1:25" s="20" customFormat="1" ht="89.25" customHeight="1">
      <c r="A189" s="6"/>
      <c r="B189" s="6"/>
      <c r="C189" s="16"/>
      <c r="D189" s="17"/>
      <c r="E189" s="6"/>
      <c r="F189" s="19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</row>
    <row r="190" spans="1:25" s="20" customFormat="1" ht="89.25" customHeight="1">
      <c r="A190" s="6"/>
      <c r="B190" s="6"/>
      <c r="C190" s="16"/>
      <c r="D190" s="17"/>
      <c r="E190" s="6"/>
      <c r="F190" s="19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</row>
    <row r="191" spans="1:25" s="20" customFormat="1" ht="89.25" customHeight="1">
      <c r="A191" s="6"/>
      <c r="B191" s="6"/>
      <c r="C191" s="16"/>
      <c r="D191" s="17"/>
      <c r="E191" s="6"/>
      <c r="F191" s="19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</row>
    <row r="192" spans="1:25" s="20" customFormat="1" ht="89.25" customHeight="1">
      <c r="A192" s="6"/>
      <c r="B192" s="6"/>
      <c r="C192" s="16"/>
      <c r="D192" s="17"/>
      <c r="E192" s="6"/>
      <c r="F192" s="19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</row>
    <row r="193" spans="1:25" s="20" customFormat="1" ht="89.25" customHeight="1">
      <c r="A193" s="6"/>
      <c r="B193" s="6"/>
      <c r="C193" s="16"/>
      <c r="D193" s="17"/>
      <c r="E193" s="6"/>
      <c r="F193" s="19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</row>
    <row r="194" spans="1:25" s="20" customFormat="1" ht="89.25" customHeight="1">
      <c r="A194" s="6"/>
      <c r="B194" s="6"/>
      <c r="C194" s="16"/>
      <c r="D194" s="17"/>
      <c r="E194" s="6"/>
      <c r="F194" s="19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</row>
    <row r="195" spans="1:25" s="20" customFormat="1" ht="89.25" customHeight="1">
      <c r="A195" s="6"/>
      <c r="B195" s="6"/>
      <c r="C195" s="16"/>
      <c r="D195" s="17"/>
      <c r="E195" s="6"/>
      <c r="F195" s="19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</row>
    <row r="196" spans="1:25" s="20" customFormat="1" ht="89.25" customHeight="1">
      <c r="A196" s="6"/>
      <c r="B196" s="6"/>
      <c r="C196" s="16"/>
      <c r="D196" s="17"/>
      <c r="E196" s="6"/>
      <c r="F196" s="19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</row>
    <row r="197" spans="1:25" s="20" customFormat="1" ht="89.25" customHeight="1">
      <c r="A197" s="6"/>
      <c r="B197" s="6"/>
      <c r="C197" s="16"/>
      <c r="D197" s="17"/>
      <c r="E197" s="6"/>
      <c r="F197" s="19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</row>
    <row r="198" spans="1:25" s="20" customFormat="1" ht="89.25" customHeight="1">
      <c r="A198" s="6"/>
      <c r="B198" s="6"/>
      <c r="C198" s="16"/>
      <c r="D198" s="17"/>
      <c r="E198" s="6"/>
      <c r="F198" s="19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</row>
    <row r="199" spans="1:25" s="20" customFormat="1" ht="89.25" customHeight="1">
      <c r="A199" s="6"/>
      <c r="B199" s="6"/>
      <c r="C199" s="16"/>
      <c r="D199" s="17"/>
      <c r="E199" s="6"/>
      <c r="F199" s="19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</row>
    <row r="200" spans="1:25" s="20" customFormat="1" ht="89.25" customHeight="1">
      <c r="A200" s="6"/>
      <c r="B200" s="6"/>
      <c r="C200" s="16"/>
      <c r="D200" s="17"/>
      <c r="E200" s="6"/>
      <c r="F200" s="19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</row>
    <row r="201" spans="1:25" s="20" customFormat="1" ht="89.25" customHeight="1">
      <c r="A201" s="6"/>
      <c r="B201" s="6"/>
      <c r="C201" s="16"/>
      <c r="D201" s="17"/>
      <c r="E201" s="6"/>
      <c r="F201" s="19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</row>
    <row r="202" spans="1:25" s="20" customFormat="1" ht="89.25" customHeight="1">
      <c r="A202" s="6"/>
      <c r="B202" s="6"/>
      <c r="C202" s="16"/>
      <c r="D202" s="17"/>
      <c r="E202" s="6"/>
      <c r="F202" s="19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</row>
    <row r="203" spans="1:25" s="20" customFormat="1" ht="89.25" customHeight="1">
      <c r="A203" s="6"/>
      <c r="B203" s="6"/>
      <c r="C203" s="16"/>
      <c r="D203" s="17"/>
      <c r="E203" s="6"/>
      <c r="F203" s="19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</row>
    <row r="204" spans="1:25" s="20" customFormat="1" ht="89.25" customHeight="1">
      <c r="A204" s="6"/>
      <c r="B204" s="6"/>
      <c r="C204" s="16"/>
      <c r="D204" s="17"/>
      <c r="E204" s="6"/>
      <c r="F204" s="19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</row>
    <row r="205" spans="1:25" s="20" customFormat="1" ht="89.25" customHeight="1">
      <c r="A205" s="6"/>
      <c r="B205" s="6"/>
      <c r="C205" s="16"/>
      <c r="D205" s="17"/>
      <c r="E205" s="6"/>
      <c r="F205" s="19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</row>
    <row r="206" spans="1:25" s="20" customFormat="1" ht="89.25" customHeight="1">
      <c r="A206" s="6"/>
      <c r="B206" s="6"/>
      <c r="C206" s="16"/>
      <c r="D206" s="17"/>
      <c r="E206" s="6"/>
      <c r="F206" s="19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</row>
    <row r="207" spans="1:25" s="20" customFormat="1" ht="89.25" customHeight="1">
      <c r="A207" s="6"/>
      <c r="B207" s="6"/>
      <c r="C207" s="16"/>
      <c r="D207" s="17"/>
      <c r="E207" s="6"/>
      <c r="F207" s="19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</row>
    <row r="208" spans="1:25" s="20" customFormat="1" ht="89.25" customHeight="1">
      <c r="A208" s="6"/>
      <c r="B208" s="6"/>
      <c r="C208" s="16"/>
      <c r="D208" s="17"/>
      <c r="E208" s="6"/>
      <c r="F208" s="19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</row>
    <row r="209" spans="1:25" s="20" customFormat="1" ht="89.25" customHeight="1">
      <c r="A209" s="6"/>
      <c r="B209" s="6"/>
      <c r="C209" s="16"/>
      <c r="D209" s="17"/>
      <c r="E209" s="6"/>
      <c r="F209" s="19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</row>
    <row r="210" spans="1:25" s="20" customFormat="1" ht="89.25" customHeight="1">
      <c r="A210" s="6"/>
      <c r="B210" s="6"/>
      <c r="C210" s="16"/>
      <c r="D210" s="17"/>
      <c r="E210" s="6"/>
      <c r="F210" s="19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</row>
    <row r="211" spans="1:25" s="20" customFormat="1" ht="89.25" customHeight="1">
      <c r="A211" s="6"/>
      <c r="B211" s="6"/>
      <c r="C211" s="16"/>
      <c r="D211" s="17"/>
      <c r="E211" s="6"/>
      <c r="F211" s="19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</row>
    <row r="212" spans="1:25" s="20" customFormat="1" ht="89.25" customHeight="1">
      <c r="A212" s="6"/>
      <c r="B212" s="6"/>
      <c r="C212" s="16"/>
      <c r="D212" s="17"/>
      <c r="E212" s="6"/>
      <c r="F212" s="19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</row>
    <row r="213" spans="1:25" s="20" customFormat="1" ht="89.25" customHeight="1">
      <c r="A213" s="6"/>
      <c r="B213" s="6"/>
      <c r="C213" s="16"/>
      <c r="D213" s="17"/>
      <c r="E213" s="6"/>
      <c r="F213" s="19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</row>
    <row r="214" spans="1:25" s="20" customFormat="1" ht="89.25" customHeight="1">
      <c r="A214" s="6"/>
      <c r="B214" s="6"/>
      <c r="C214" s="16"/>
      <c r="D214" s="17"/>
      <c r="E214" s="6"/>
      <c r="F214" s="19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</row>
    <row r="215" spans="1:25" s="20" customFormat="1" ht="89.25" customHeight="1">
      <c r="A215" s="6"/>
      <c r="B215" s="6"/>
      <c r="C215" s="16"/>
      <c r="D215" s="17"/>
      <c r="E215" s="6"/>
      <c r="F215" s="19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</row>
    <row r="216" spans="1:25" s="20" customFormat="1" ht="89.25" customHeight="1">
      <c r="A216" s="6"/>
      <c r="B216" s="6"/>
      <c r="C216" s="16"/>
      <c r="D216" s="17"/>
      <c r="E216" s="6"/>
      <c r="F216" s="19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</row>
    <row r="217" spans="1:25" s="20" customFormat="1" ht="89.25" customHeight="1">
      <c r="A217" s="6"/>
      <c r="B217" s="6"/>
      <c r="C217" s="16"/>
      <c r="D217" s="17"/>
      <c r="E217" s="6"/>
      <c r="F217" s="19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</row>
    <row r="218" spans="1:25" s="20" customFormat="1" ht="89.25" customHeight="1">
      <c r="A218" s="6"/>
      <c r="B218" s="6"/>
      <c r="C218" s="16"/>
      <c r="D218" s="17"/>
      <c r="E218" s="6"/>
      <c r="F218" s="19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</row>
    <row r="219" spans="1:25" s="20" customFormat="1" ht="89.25" customHeight="1">
      <c r="A219" s="6"/>
      <c r="B219" s="6"/>
      <c r="C219" s="16"/>
      <c r="D219" s="17"/>
      <c r="E219" s="6"/>
      <c r="F219" s="19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</row>
    <row r="220" spans="1:25" s="20" customFormat="1" ht="89.25" customHeight="1">
      <c r="A220" s="6"/>
      <c r="B220" s="6"/>
      <c r="C220" s="16"/>
      <c r="D220" s="17"/>
      <c r="E220" s="6"/>
      <c r="F220" s="19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</row>
    <row r="221" spans="1:25" s="20" customFormat="1" ht="89.25" customHeight="1">
      <c r="A221" s="6"/>
      <c r="B221" s="6"/>
      <c r="C221" s="16"/>
      <c r="D221" s="17"/>
      <c r="E221" s="6"/>
      <c r="F221" s="19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</row>
    <row r="222" spans="1:25" s="20" customFormat="1" ht="89.25" customHeight="1">
      <c r="A222" s="6"/>
      <c r="B222" s="6"/>
      <c r="C222" s="16"/>
      <c r="D222" s="17"/>
      <c r="E222" s="6"/>
      <c r="F222" s="19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</row>
    <row r="223" spans="1:25" s="20" customFormat="1" ht="89.25" customHeight="1">
      <c r="A223" s="6"/>
      <c r="B223" s="6"/>
      <c r="C223" s="16"/>
      <c r="D223" s="17"/>
      <c r="E223" s="6"/>
      <c r="F223" s="19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</row>
    <row r="224" spans="1:25" s="20" customFormat="1" ht="89.25" customHeight="1">
      <c r="A224" s="6"/>
      <c r="B224" s="6"/>
      <c r="C224" s="16"/>
      <c r="D224" s="17"/>
      <c r="E224" s="6"/>
      <c r="F224" s="19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</row>
    <row r="225" spans="1:25" s="20" customFormat="1" ht="89.25" customHeight="1">
      <c r="A225" s="6"/>
      <c r="B225" s="6"/>
      <c r="C225" s="16"/>
      <c r="D225" s="17"/>
      <c r="E225" s="6"/>
      <c r="F225" s="19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</row>
    <row r="226" spans="1:25" s="20" customFormat="1" ht="89.25" customHeight="1">
      <c r="A226" s="6"/>
      <c r="B226" s="6"/>
      <c r="C226" s="16"/>
      <c r="D226" s="17"/>
      <c r="E226" s="6"/>
      <c r="F226" s="19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</row>
    <row r="227" spans="1:25" s="20" customFormat="1" ht="89.25" customHeight="1">
      <c r="A227" s="6"/>
      <c r="B227" s="6"/>
      <c r="C227" s="16"/>
      <c r="D227" s="17"/>
      <c r="E227" s="6"/>
      <c r="F227" s="19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</row>
    <row r="228" spans="1:25" s="20" customFormat="1" ht="89.25" customHeight="1">
      <c r="A228" s="6"/>
      <c r="B228" s="6"/>
      <c r="C228" s="16"/>
      <c r="D228" s="17"/>
      <c r="E228" s="6"/>
      <c r="F228" s="19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</row>
    <row r="229" spans="1:25" s="20" customFormat="1" ht="89.25" customHeight="1">
      <c r="A229" s="6"/>
      <c r="B229" s="6"/>
      <c r="C229" s="16"/>
      <c r="D229" s="17"/>
      <c r="E229" s="6"/>
      <c r="F229" s="19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</row>
    <row r="230" spans="1:25" s="20" customFormat="1" ht="89.25" customHeight="1">
      <c r="A230" s="6"/>
      <c r="B230" s="6"/>
      <c r="C230" s="16"/>
      <c r="D230" s="17"/>
      <c r="E230" s="6"/>
      <c r="F230" s="19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</row>
    <row r="231" spans="1:25" s="20" customFormat="1" ht="89.25" customHeight="1">
      <c r="A231" s="6"/>
      <c r="B231" s="6"/>
      <c r="C231" s="16"/>
      <c r="D231" s="17"/>
      <c r="E231" s="6"/>
      <c r="F231" s="19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</row>
    <row r="232" spans="1:25" s="20" customFormat="1" ht="89.25" customHeight="1">
      <c r="A232" s="6"/>
      <c r="B232" s="6"/>
      <c r="C232" s="16"/>
      <c r="D232" s="17"/>
      <c r="E232" s="6"/>
      <c r="F232" s="19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</row>
    <row r="233" spans="1:25" s="20" customFormat="1" ht="89.25" customHeight="1">
      <c r="A233" s="6"/>
      <c r="B233" s="6"/>
      <c r="C233" s="16"/>
      <c r="D233" s="17"/>
      <c r="E233" s="6"/>
      <c r="F233" s="19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</row>
    <row r="234" spans="1:25" s="20" customFormat="1" ht="89.25" customHeight="1">
      <c r="A234" s="6"/>
      <c r="B234" s="6"/>
      <c r="C234" s="16"/>
      <c r="D234" s="17"/>
      <c r="E234" s="6"/>
      <c r="F234" s="19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</row>
  </sheetData>
  <mergeCells count="19">
    <mergeCell ref="D49:E49"/>
    <mergeCell ref="A11:D11"/>
    <mergeCell ref="A46:B46"/>
    <mergeCell ref="D46:E46"/>
    <mergeCell ref="A47:B47"/>
    <mergeCell ref="D47:E47"/>
    <mergeCell ref="A12:D12"/>
    <mergeCell ref="A15:D15"/>
    <mergeCell ref="A14:D14"/>
    <mergeCell ref="A48:B48"/>
    <mergeCell ref="D48:E48"/>
    <mergeCell ref="A10:D10"/>
    <mergeCell ref="A13:D13"/>
    <mergeCell ref="A1:F3"/>
    <mergeCell ref="A5:F5"/>
    <mergeCell ref="A6:F6"/>
    <mergeCell ref="A7:E7"/>
    <mergeCell ref="A9:D9"/>
    <mergeCell ref="A4:F4"/>
  </mergeCells>
  <printOptions horizontalCentered="1" verticalCentered="1"/>
  <pageMargins left="0.59055118110236227" right="0.59055118110236227" top="0.59055118110236227" bottom="0.59055118110236227" header="0.31496062992125984" footer="0.31496062992125984"/>
  <pageSetup paperSize="9" scale="51" orientation="landscape" r:id="rId1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 codeName="Hoja33">
    <tabColor rgb="FF00B0F0"/>
    <pageSetUpPr fitToPage="1"/>
  </sheetPr>
  <dimension ref="A1:AG232"/>
  <sheetViews>
    <sheetView showGridLines="0" topLeftCell="A17" zoomScale="80" zoomScaleNormal="80" workbookViewId="0">
      <selection activeCell="F43" sqref="F43"/>
    </sheetView>
  </sheetViews>
  <sheetFormatPr baseColWidth="10" defaultRowHeight="89.25" customHeight="1"/>
  <cols>
    <col min="1" max="1" width="25.28515625" style="6" customWidth="1"/>
    <col min="2" max="2" width="28.28515625" style="6" customWidth="1"/>
    <col min="3" max="3" width="25.28515625" style="16" customWidth="1"/>
    <col min="4" max="4" width="25.28515625" style="17" customWidth="1"/>
    <col min="5" max="5" width="15.28515625" style="6" bestFit="1" customWidth="1"/>
    <col min="6" max="6" width="21.7109375" style="19" bestFit="1" customWidth="1"/>
    <col min="7" max="7" width="19.140625" style="5" bestFit="1" customWidth="1"/>
    <col min="8" max="8" width="21.7109375" style="5" bestFit="1" customWidth="1"/>
    <col min="9" max="10" width="18.7109375" style="5" customWidth="1"/>
    <col min="11" max="25" width="11.42578125" style="5"/>
    <col min="26" max="16384" width="11.42578125" style="6"/>
  </cols>
  <sheetData>
    <row r="1" spans="1:25" s="4" customFormat="1" ht="33.75" customHeight="1">
      <c r="A1" s="1348" t="s">
        <v>766</v>
      </c>
      <c r="B1" s="1348"/>
      <c r="C1" s="1348"/>
      <c r="D1" s="1348"/>
      <c r="E1" s="1348"/>
      <c r="F1" s="1348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spans="1:25" s="4" customFormat="1" ht="33.75" customHeight="1">
      <c r="A2" s="1348"/>
      <c r="B2" s="1348"/>
      <c r="C2" s="1348"/>
      <c r="D2" s="1348"/>
      <c r="E2" s="1348"/>
      <c r="F2" s="1348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 s="4" customFormat="1" ht="15.75">
      <c r="A3" s="1348"/>
      <c r="B3" s="1348"/>
      <c r="C3" s="1348"/>
      <c r="D3" s="1348"/>
      <c r="E3" s="1348"/>
      <c r="F3" s="1348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</row>
    <row r="4" spans="1:25" s="4" customFormat="1" ht="15.75">
      <c r="A4" s="1349" t="str">
        <f>+'Anexo 21 Ministerio del Interio'!A4:F4</f>
        <v>AL 31 DE JULIO DE 2023</v>
      </c>
      <c r="B4" s="1349"/>
      <c r="C4" s="1349"/>
      <c r="D4" s="1349"/>
      <c r="E4" s="1349"/>
      <c r="F4" s="1349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</row>
    <row r="5" spans="1:25" ht="30" customHeight="1">
      <c r="A5" s="1339" t="s">
        <v>205</v>
      </c>
      <c r="B5" s="1339"/>
      <c r="C5" s="1339"/>
      <c r="D5" s="1339"/>
      <c r="E5" s="1339"/>
      <c r="F5" s="1339"/>
    </row>
    <row r="6" spans="1:25" ht="30" customHeight="1" thickBot="1">
      <c r="A6" s="1339" t="s">
        <v>283</v>
      </c>
      <c r="B6" s="1339"/>
      <c r="C6" s="1339"/>
      <c r="D6" s="1339"/>
      <c r="E6" s="1339"/>
      <c r="F6" s="1339"/>
    </row>
    <row r="7" spans="1:25" ht="30" customHeight="1" thickBot="1">
      <c r="A7" s="1346" t="s">
        <v>1</v>
      </c>
      <c r="B7" s="1347"/>
      <c r="C7" s="1347"/>
      <c r="D7" s="1347"/>
      <c r="E7" s="1347"/>
      <c r="F7" s="7" t="s">
        <v>2</v>
      </c>
    </row>
    <row r="8" spans="1:25" ht="18.600000000000001" customHeight="1">
      <c r="A8" s="8"/>
      <c r="B8" s="9"/>
      <c r="C8" s="9"/>
      <c r="D8" s="9"/>
      <c r="E8" s="10"/>
      <c r="F8" s="11"/>
      <c r="I8" s="12"/>
      <c r="J8" s="12"/>
    </row>
    <row r="9" spans="1:25" ht="18.600000000000001" customHeight="1">
      <c r="A9" s="1342" t="str">
        <f>+'Anexo 21 Ministerio del Interio'!A9:D9</f>
        <v>TOTAL RENDIMIENTOS GENERADOS POR LOS RECURSOS DEL FONDO DE JULIO DE 2023</v>
      </c>
      <c r="B9" s="1343"/>
      <c r="C9" s="1343"/>
      <c r="D9" s="1343"/>
      <c r="E9" s="259"/>
      <c r="F9" s="260">
        <f>F38</f>
        <v>3134105</v>
      </c>
      <c r="I9" s="13"/>
      <c r="J9" s="12"/>
    </row>
    <row r="10" spans="1:25" ht="15.75" customHeight="1">
      <c r="A10" s="1333" t="s">
        <v>272</v>
      </c>
      <c r="B10" s="1334"/>
      <c r="C10" s="1334"/>
      <c r="D10" s="1334"/>
      <c r="E10" s="261">
        <v>8774.19</v>
      </c>
      <c r="F10" s="262"/>
    </row>
    <row r="11" spans="1:25" ht="18.600000000000001" customHeight="1">
      <c r="A11" s="1333" t="s">
        <v>276</v>
      </c>
      <c r="B11" s="1334"/>
      <c r="C11" s="1334"/>
      <c r="D11" s="1334"/>
      <c r="E11" s="261">
        <v>65600.710000000006</v>
      </c>
      <c r="F11" s="262"/>
    </row>
    <row r="12" spans="1:25" ht="18.600000000000001" customHeight="1">
      <c r="A12" s="1333" t="s">
        <v>294</v>
      </c>
      <c r="B12" s="1334"/>
      <c r="C12" s="1334"/>
      <c r="D12" s="1334"/>
      <c r="E12" s="261">
        <v>68006.320000000007</v>
      </c>
      <c r="F12" s="262"/>
    </row>
    <row r="13" spans="1:25" ht="18.600000000000001" customHeight="1">
      <c r="A13" s="1333" t="s">
        <v>307</v>
      </c>
      <c r="B13" s="1334"/>
      <c r="C13" s="1334"/>
      <c r="D13" s="1334"/>
      <c r="E13" s="261">
        <v>68012.100000000006</v>
      </c>
      <c r="F13" s="262"/>
    </row>
    <row r="14" spans="1:25" ht="18.600000000000001" customHeight="1">
      <c r="A14" s="543" t="s">
        <v>365</v>
      </c>
      <c r="B14" s="544"/>
      <c r="C14" s="544"/>
      <c r="D14" s="544"/>
      <c r="E14" s="261">
        <v>65617.25</v>
      </c>
      <c r="F14" s="262"/>
    </row>
    <row r="15" spans="1:25" ht="18.600000000000001" customHeight="1">
      <c r="A15" s="574" t="s">
        <v>427</v>
      </c>
      <c r="B15" s="575"/>
      <c r="C15" s="575"/>
      <c r="D15" s="575"/>
      <c r="E15" s="261">
        <v>68023.460000000006</v>
      </c>
      <c r="F15" s="262"/>
    </row>
    <row r="16" spans="1:25" ht="18.600000000000001" customHeight="1">
      <c r="A16" s="651" t="s">
        <v>462</v>
      </c>
      <c r="B16" s="652"/>
      <c r="C16" s="652"/>
      <c r="D16" s="652"/>
      <c r="E16" s="261">
        <v>65628.210000000006</v>
      </c>
      <c r="F16" s="262"/>
    </row>
    <row r="17" spans="1:7" ht="18.600000000000001" customHeight="1">
      <c r="A17" s="670" t="s">
        <v>494</v>
      </c>
      <c r="B17" s="671"/>
      <c r="C17" s="671"/>
      <c r="D17" s="671"/>
      <c r="E17" s="261">
        <v>89433.83</v>
      </c>
      <c r="F17" s="262"/>
    </row>
    <row r="18" spans="1:7" ht="18.600000000000001" customHeight="1">
      <c r="A18" s="689" t="s">
        <v>501</v>
      </c>
      <c r="B18" s="690"/>
      <c r="C18" s="690"/>
      <c r="D18" s="690"/>
      <c r="E18" s="261">
        <v>93763.18</v>
      </c>
      <c r="F18" s="262"/>
    </row>
    <row r="19" spans="1:7" ht="18.600000000000001" customHeight="1">
      <c r="A19" s="725" t="s">
        <v>515</v>
      </c>
      <c r="B19" s="726"/>
      <c r="C19" s="726"/>
      <c r="D19" s="726"/>
      <c r="E19" s="261">
        <v>84945.63</v>
      </c>
      <c r="F19" s="262"/>
    </row>
    <row r="20" spans="1:7" ht="18.600000000000001" customHeight="1">
      <c r="A20" s="743" t="s">
        <v>520</v>
      </c>
      <c r="B20" s="744"/>
      <c r="C20" s="744"/>
      <c r="D20" s="744"/>
      <c r="E20" s="261">
        <v>71601.98</v>
      </c>
      <c r="F20" s="262"/>
      <c r="G20" s="765" t="str">
        <f>"+1"</f>
        <v>+1</v>
      </c>
    </row>
    <row r="21" spans="1:7" ht="18.600000000000001" customHeight="1">
      <c r="A21" s="773" t="s">
        <v>537</v>
      </c>
      <c r="B21" s="774"/>
      <c r="C21" s="774"/>
      <c r="D21" s="774"/>
      <c r="E21" s="261">
        <f>56945.65-1</f>
        <v>56944.65</v>
      </c>
      <c r="F21" s="262"/>
      <c r="G21" s="785" t="str">
        <f>"-1"</f>
        <v>-1</v>
      </c>
    </row>
    <row r="22" spans="1:7" ht="18.600000000000001" customHeight="1">
      <c r="A22" s="793" t="s">
        <v>567</v>
      </c>
      <c r="B22" s="794"/>
      <c r="C22" s="794"/>
      <c r="D22" s="794"/>
      <c r="E22" s="261">
        <v>58355.02</v>
      </c>
      <c r="F22" s="262"/>
      <c r="G22" s="785"/>
    </row>
    <row r="23" spans="1:7" ht="18.600000000000001" customHeight="1">
      <c r="A23" s="811" t="s">
        <v>577</v>
      </c>
      <c r="B23" s="812"/>
      <c r="C23" s="812"/>
      <c r="D23" s="812"/>
      <c r="E23" s="261">
        <v>56300.21</v>
      </c>
      <c r="F23" s="262"/>
      <c r="G23" s="785"/>
    </row>
    <row r="24" spans="1:7" ht="18.600000000000001" customHeight="1">
      <c r="A24" s="874" t="s">
        <v>625</v>
      </c>
      <c r="B24" s="875"/>
      <c r="C24" s="875"/>
      <c r="D24" s="875"/>
      <c r="E24" s="261">
        <v>58364.76</v>
      </c>
      <c r="F24" s="262"/>
      <c r="G24" s="785"/>
    </row>
    <row r="25" spans="1:7" ht="18.600000000000001" customHeight="1">
      <c r="A25" s="895" t="s">
        <v>638</v>
      </c>
      <c r="B25" s="896"/>
      <c r="C25" s="896"/>
      <c r="D25" s="896"/>
      <c r="E25" s="261">
        <v>58369.72</v>
      </c>
      <c r="F25" s="262"/>
      <c r="G25" s="785"/>
    </row>
    <row r="26" spans="1:7" ht="18.600000000000001" customHeight="1">
      <c r="A26" s="904" t="s">
        <v>647</v>
      </c>
      <c r="B26" s="905"/>
      <c r="C26" s="905"/>
      <c r="D26" s="905"/>
      <c r="E26" s="261">
        <v>56314.400000000001</v>
      </c>
      <c r="F26" s="262"/>
      <c r="G26" s="785"/>
    </row>
    <row r="27" spans="1:7" ht="18.600000000000001" customHeight="1">
      <c r="A27" s="924" t="s">
        <v>655</v>
      </c>
      <c r="B27" s="925"/>
      <c r="C27" s="925"/>
      <c r="D27" s="925"/>
      <c r="E27" s="261">
        <v>58379.47</v>
      </c>
      <c r="F27" s="262"/>
      <c r="G27" s="785"/>
    </row>
    <row r="28" spans="1:7" ht="18.600000000000001" customHeight="1">
      <c r="A28" s="948" t="s">
        <v>665</v>
      </c>
      <c r="B28" s="949"/>
      <c r="C28" s="949"/>
      <c r="D28" s="949"/>
      <c r="E28" s="261">
        <v>53725.23</v>
      </c>
      <c r="F28" s="262"/>
      <c r="G28" s="785"/>
    </row>
    <row r="29" spans="1:7" ht="18.600000000000001" customHeight="1">
      <c r="A29" s="966" t="s">
        <v>677</v>
      </c>
      <c r="B29" s="967"/>
      <c r="C29" s="967"/>
      <c r="D29" s="967"/>
      <c r="E29" s="261">
        <v>17984.22</v>
      </c>
      <c r="F29" s="262"/>
      <c r="G29" s="785"/>
    </row>
    <row r="30" spans="1:7" ht="18.600000000000001" customHeight="1">
      <c r="A30" s="989" t="s">
        <v>687</v>
      </c>
      <c r="B30" s="990"/>
      <c r="C30" s="990"/>
      <c r="D30" s="990"/>
      <c r="E30" s="261">
        <v>17985.75</v>
      </c>
      <c r="F30" s="262"/>
      <c r="G30" s="785"/>
    </row>
    <row r="31" spans="1:7" ht="18.600000000000001" customHeight="1">
      <c r="A31" s="1032" t="s">
        <v>720</v>
      </c>
      <c r="B31" s="1033"/>
      <c r="C31" s="1033"/>
      <c r="D31" s="1012"/>
      <c r="E31" s="261">
        <v>16294.36</v>
      </c>
      <c r="F31" s="262"/>
      <c r="G31" s="785"/>
    </row>
    <row r="32" spans="1:7" ht="18.600000000000001" customHeight="1">
      <c r="A32" s="1032" t="s">
        <v>729</v>
      </c>
      <c r="B32" s="1033"/>
      <c r="C32" s="1033"/>
      <c r="D32" s="1033"/>
      <c r="E32" s="261">
        <v>594489.21</v>
      </c>
      <c r="F32" s="262"/>
      <c r="G32" s="785"/>
    </row>
    <row r="33" spans="1:33" ht="18.600000000000001" customHeight="1">
      <c r="A33" s="1069" t="s">
        <v>748</v>
      </c>
      <c r="B33" s="1070"/>
      <c r="C33" s="1070"/>
      <c r="D33" s="1070"/>
      <c r="E33" s="261">
        <v>312003.31</v>
      </c>
      <c r="F33" s="262"/>
      <c r="G33" s="785"/>
    </row>
    <row r="34" spans="1:33" ht="18.600000000000001" customHeight="1">
      <c r="A34" s="1090" t="str">
        <f>+'Anexo 21 Ministerio del Interio'!A36</f>
        <v>Rendimientos financieros AL 31 DE MAYO DE 2023</v>
      </c>
      <c r="B34" s="1091"/>
      <c r="C34" s="1091"/>
      <c r="D34" s="1091"/>
      <c r="E34" s="261">
        <v>324472.48</v>
      </c>
      <c r="F34" s="262"/>
      <c r="G34" s="785">
        <f>+SUM(E5:E34)</f>
        <v>2489389.65</v>
      </c>
    </row>
    <row r="35" spans="1:33" ht="18.600000000000001" customHeight="1">
      <c r="A35" s="1100" t="str">
        <f>+'Anexo 21 Ministerio del Interio'!A37</f>
        <v>Rendimientos financieros AL 30 DE JUNIO DE 2023</v>
      </c>
      <c r="B35" s="1101"/>
      <c r="C35" s="1101"/>
      <c r="D35" s="1101"/>
      <c r="E35" s="261">
        <v>316042.38</v>
      </c>
      <c r="F35" s="262"/>
      <c r="G35" s="785"/>
    </row>
    <row r="36" spans="1:33" ht="18.600000000000001" customHeight="1">
      <c r="A36" s="1128" t="str">
        <f>+'Anexo 21 Ministerio del Interio'!A38</f>
        <v>Rendimientos financieros AL 31 DE JULIO DE 2023</v>
      </c>
      <c r="B36" s="1129"/>
      <c r="C36" s="1129"/>
      <c r="D36" s="1129"/>
      <c r="E36" s="261">
        <v>328672.96999999997</v>
      </c>
      <c r="F36" s="262"/>
      <c r="G36" s="785"/>
    </row>
    <row r="37" spans="1:33" s="5" customFormat="1" ht="18.600000000000001" customHeight="1">
      <c r="A37" s="268"/>
      <c r="B37" s="269"/>
      <c r="C37" s="269"/>
      <c r="D37" s="269"/>
      <c r="E37" s="263"/>
      <c r="F37" s="264"/>
      <c r="G37" s="776" t="s">
        <v>535</v>
      </c>
      <c r="H37" s="775" t="s">
        <v>536</v>
      </c>
      <c r="I37" s="775" t="s">
        <v>516</v>
      </c>
      <c r="J37" s="742" t="s">
        <v>65</v>
      </c>
      <c r="Z37" s="6"/>
      <c r="AA37" s="6"/>
      <c r="AB37" s="6"/>
      <c r="AC37" s="6"/>
      <c r="AD37" s="6"/>
      <c r="AE37" s="6"/>
      <c r="AF37" s="6"/>
      <c r="AG37" s="6"/>
    </row>
    <row r="38" spans="1:33" s="5" customFormat="1" ht="24.75" customHeight="1" thickBot="1">
      <c r="A38" s="14" t="str">
        <f>+'Anexo 21 Ministerio del Interio'!A40</f>
        <v>TOTAL RENDIMIENTOS DISPONIBLES AL 31 DE JULIO DE 2023</v>
      </c>
      <c r="B38" s="15"/>
      <c r="C38" s="15"/>
      <c r="D38" s="15"/>
      <c r="E38" s="265"/>
      <c r="F38" s="266">
        <f>SUM(E9:E37)</f>
        <v>3134105</v>
      </c>
      <c r="G38" s="5">
        <f>+F38+Adhesiones!H82</f>
        <v>50446540.5</v>
      </c>
      <c r="H38" s="741">
        <f>+G38-F38</f>
        <v>47312435.5</v>
      </c>
      <c r="I38" s="5">
        <f>-'Anexo 3-Porcion C-NC'!B32</f>
        <v>-47312435</v>
      </c>
      <c r="J38" s="1018">
        <f>+H38+I38</f>
        <v>0.5</v>
      </c>
      <c r="Z38" s="6"/>
      <c r="AA38" s="6"/>
      <c r="AB38" s="6"/>
      <c r="AC38" s="6"/>
      <c r="AD38" s="6"/>
      <c r="AE38" s="6"/>
      <c r="AF38" s="6"/>
      <c r="AG38" s="6"/>
    </row>
    <row r="39" spans="1:33" s="20" customFormat="1" ht="15.75">
      <c r="A39" s="6"/>
      <c r="B39" s="6"/>
      <c r="C39" s="16"/>
      <c r="D39" s="17"/>
      <c r="E39" s="18"/>
      <c r="F39" s="19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33" s="20" customFormat="1" ht="15.75">
      <c r="A40" s="6"/>
      <c r="B40" s="6"/>
      <c r="C40" s="16"/>
      <c r="D40" s="17"/>
      <c r="E40" s="21"/>
      <c r="F40" s="19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spans="1:33" s="20" customFormat="1" ht="15.75">
      <c r="A41" s="6"/>
      <c r="B41" s="6"/>
      <c r="C41" s="16"/>
      <c r="D41" s="17"/>
      <c r="E41" s="22"/>
      <c r="F41" s="19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</row>
    <row r="42" spans="1:33" s="20" customFormat="1" ht="15.75">
      <c r="A42" s="6"/>
      <c r="B42" s="6"/>
      <c r="C42" s="16"/>
      <c r="D42" s="17"/>
      <c r="E42" s="22"/>
      <c r="F42" s="19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</row>
    <row r="43" spans="1:33" s="5" customFormat="1" ht="16.5" thickBot="1">
      <c r="A43" s="23"/>
      <c r="B43" s="24"/>
      <c r="C43" s="25"/>
      <c r="D43" s="131"/>
      <c r="E43" s="132"/>
      <c r="F43" s="133"/>
    </row>
    <row r="44" spans="1:33" s="5" customFormat="1" ht="15" customHeight="1">
      <c r="A44" s="1336" t="s">
        <v>135</v>
      </c>
      <c r="B44" s="1336"/>
      <c r="C44" s="1"/>
      <c r="D44" s="1336" t="s">
        <v>517</v>
      </c>
      <c r="E44" s="1336"/>
      <c r="F44" s="282"/>
    </row>
    <row r="45" spans="1:33" s="5" customFormat="1" ht="14.45" customHeight="1">
      <c r="A45" s="1332" t="s">
        <v>145</v>
      </c>
      <c r="B45" s="1332"/>
      <c r="C45" s="2"/>
      <c r="D45" s="1332" t="s">
        <v>519</v>
      </c>
      <c r="E45" s="1332"/>
      <c r="F45" s="283"/>
    </row>
    <row r="46" spans="1:33" s="5" customFormat="1" ht="15.75" customHeight="1">
      <c r="A46" s="1332" t="s">
        <v>48</v>
      </c>
      <c r="B46" s="1332"/>
      <c r="C46" s="2"/>
      <c r="D46" s="1332" t="s">
        <v>48</v>
      </c>
      <c r="E46" s="1332"/>
      <c r="F46" s="283"/>
    </row>
    <row r="47" spans="1:33" s="20" customFormat="1" ht="15.75" customHeight="1">
      <c r="A47" s="6"/>
      <c r="B47" s="6"/>
      <c r="C47" s="16"/>
      <c r="D47" s="1335" t="s">
        <v>518</v>
      </c>
      <c r="E47" s="1335"/>
      <c r="F47" s="283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</row>
    <row r="48" spans="1:33" s="20" customFormat="1" ht="15.75">
      <c r="A48" s="6"/>
      <c r="B48" s="6"/>
      <c r="C48" s="16"/>
      <c r="D48" s="17"/>
      <c r="E48" s="22"/>
      <c r="F48" s="19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</row>
    <row r="49" spans="1:25" s="20" customFormat="1" ht="15.75">
      <c r="A49" s="6"/>
      <c r="B49" s="6"/>
      <c r="C49" s="16"/>
      <c r="D49" s="17"/>
      <c r="E49" s="22"/>
      <c r="F49" s="19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</row>
    <row r="50" spans="1:25" s="20" customFormat="1" ht="15.75">
      <c r="A50" s="27"/>
      <c r="B50" s="27"/>
      <c r="C50" s="27"/>
      <c r="D50" s="27"/>
      <c r="E50" s="27"/>
      <c r="F50" s="19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</row>
    <row r="51" spans="1:25" s="5" customFormat="1" ht="15.75">
      <c r="A51" s="27"/>
      <c r="B51" s="27"/>
      <c r="C51" s="27"/>
      <c r="D51" s="27"/>
      <c r="E51" s="27"/>
      <c r="F51" s="26"/>
    </row>
    <row r="52" spans="1:25" s="5" customFormat="1" ht="15" customHeight="1">
      <c r="A52" s="27"/>
      <c r="B52" s="27"/>
      <c r="C52" s="27"/>
      <c r="D52" s="27"/>
      <c r="E52" s="27"/>
      <c r="F52" s="26"/>
    </row>
    <row r="53" spans="1:25" s="5" customFormat="1" ht="14.45" customHeight="1">
      <c r="A53" s="27"/>
      <c r="B53" s="27"/>
      <c r="C53" s="27"/>
      <c r="D53" s="27"/>
      <c r="E53" s="27"/>
      <c r="F53" s="26"/>
    </row>
    <row r="54" spans="1:25" s="5" customFormat="1" ht="14.45" customHeight="1">
      <c r="A54" s="27"/>
      <c r="B54" s="27"/>
      <c r="C54" s="27"/>
      <c r="D54" s="27"/>
      <c r="E54" s="27"/>
      <c r="F54" s="26"/>
    </row>
    <row r="55" spans="1:25" s="20" customFormat="1" ht="15.75">
      <c r="A55" s="27"/>
      <c r="B55" s="27"/>
      <c r="C55" s="27"/>
      <c r="D55" s="27"/>
      <c r="E55" s="27"/>
      <c r="F55" s="19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</row>
    <row r="56" spans="1:25" s="20" customFormat="1" ht="15.75">
      <c r="A56" s="6"/>
      <c r="B56" s="6"/>
      <c r="C56" s="16"/>
      <c r="D56" s="17"/>
      <c r="E56" s="6"/>
      <c r="F56" s="19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</row>
    <row r="57" spans="1:25" s="20" customFormat="1" ht="15.75">
      <c r="A57" s="6"/>
      <c r="B57" s="6"/>
      <c r="C57" s="16"/>
      <c r="D57" s="17"/>
      <c r="E57" s="6"/>
      <c r="F57" s="19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</row>
    <row r="58" spans="1:25" s="20" customFormat="1" ht="15.75">
      <c r="A58" s="6"/>
      <c r="B58" s="6"/>
      <c r="C58" s="16"/>
      <c r="D58" s="17"/>
      <c r="E58" s="6"/>
      <c r="F58" s="19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</row>
    <row r="59" spans="1:25" s="20" customFormat="1" ht="15.75">
      <c r="A59" s="6"/>
      <c r="B59" s="6"/>
      <c r="C59" s="16"/>
      <c r="D59" s="17"/>
      <c r="E59" s="6"/>
      <c r="F59" s="19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</row>
    <row r="60" spans="1:25" s="20" customFormat="1" ht="15.75">
      <c r="A60" s="6"/>
      <c r="B60" s="6"/>
      <c r="C60" s="16"/>
      <c r="D60" s="17"/>
      <c r="E60" s="6"/>
      <c r="F60" s="19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</row>
    <row r="61" spans="1:25" s="20" customFormat="1" ht="15.75">
      <c r="A61" s="6"/>
      <c r="B61" s="6"/>
      <c r="C61" s="16"/>
      <c r="D61" s="17"/>
      <c r="E61" s="6"/>
      <c r="F61" s="19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</row>
    <row r="62" spans="1:25" s="20" customFormat="1" ht="15.75">
      <c r="A62" s="6"/>
      <c r="B62" s="6"/>
      <c r="C62" s="16"/>
      <c r="D62" s="17"/>
      <c r="E62" s="6"/>
      <c r="F62" s="19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</row>
    <row r="63" spans="1:25" s="20" customFormat="1" ht="15.75">
      <c r="A63" s="6"/>
      <c r="B63" s="6"/>
      <c r="C63" s="16"/>
      <c r="D63" s="17"/>
      <c r="E63" s="6"/>
      <c r="F63" s="19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</row>
    <row r="64" spans="1:25" s="20" customFormat="1" ht="15.75">
      <c r="A64" s="6"/>
      <c r="B64" s="6"/>
      <c r="C64" s="16"/>
      <c r="D64" s="17"/>
      <c r="E64" s="6"/>
      <c r="F64" s="19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</row>
    <row r="65" spans="1:25" s="20" customFormat="1" ht="15.75">
      <c r="A65" s="6"/>
      <c r="B65" s="6"/>
      <c r="C65" s="16"/>
      <c r="D65" s="17"/>
      <c r="E65" s="6"/>
      <c r="F65" s="19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</row>
    <row r="66" spans="1:25" s="20" customFormat="1" ht="15.75">
      <c r="A66" s="6"/>
      <c r="B66" s="6"/>
      <c r="C66" s="16"/>
      <c r="D66" s="17"/>
      <c r="E66" s="6"/>
      <c r="F66" s="19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</row>
    <row r="67" spans="1:25" s="20" customFormat="1" ht="15.75">
      <c r="A67" s="6"/>
      <c r="B67" s="6"/>
      <c r="C67" s="16"/>
      <c r="D67" s="17"/>
      <c r="E67" s="6"/>
      <c r="F67" s="19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</row>
    <row r="68" spans="1:25" s="20" customFormat="1" ht="15.75">
      <c r="A68" s="6"/>
      <c r="B68" s="6"/>
      <c r="C68" s="16"/>
      <c r="D68" s="17"/>
      <c r="E68" s="6"/>
      <c r="F68" s="19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</row>
    <row r="69" spans="1:25" s="20" customFormat="1" ht="15.75">
      <c r="A69" s="6"/>
      <c r="B69" s="6"/>
      <c r="C69" s="16"/>
      <c r="D69" s="17"/>
      <c r="E69" s="6"/>
      <c r="F69" s="19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</row>
    <row r="70" spans="1:25" s="20" customFormat="1" ht="15.75">
      <c r="A70" s="6"/>
      <c r="B70" s="6"/>
      <c r="C70" s="16"/>
      <c r="D70" s="17"/>
      <c r="E70" s="6"/>
      <c r="F70" s="19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</row>
    <row r="71" spans="1:25" s="20" customFormat="1" ht="15.75">
      <c r="A71" s="6"/>
      <c r="B71" s="6"/>
      <c r="C71" s="16"/>
      <c r="D71" s="17"/>
      <c r="E71" s="6"/>
      <c r="F71" s="19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</row>
    <row r="72" spans="1:25" s="20" customFormat="1" ht="15.75">
      <c r="A72" s="6"/>
      <c r="B72" s="6"/>
      <c r="C72" s="16"/>
      <c r="D72" s="17"/>
      <c r="E72" s="6"/>
      <c r="F72" s="19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</row>
    <row r="73" spans="1:25" s="20" customFormat="1" ht="15.75">
      <c r="A73" s="6"/>
      <c r="B73" s="6"/>
      <c r="C73" s="16"/>
      <c r="D73" s="17"/>
      <c r="E73" s="6"/>
      <c r="F73" s="19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</row>
    <row r="74" spans="1:25" s="20" customFormat="1" ht="15.75">
      <c r="A74" s="6"/>
      <c r="B74" s="6"/>
      <c r="C74" s="16"/>
      <c r="D74" s="17"/>
      <c r="E74" s="6"/>
      <c r="F74" s="19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</row>
    <row r="75" spans="1:25" s="20" customFormat="1" ht="89.25" customHeight="1">
      <c r="A75" s="6"/>
      <c r="B75" s="6"/>
      <c r="C75" s="16"/>
      <c r="D75" s="17"/>
      <c r="E75" s="6"/>
      <c r="F75" s="19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</row>
    <row r="76" spans="1:25" s="20" customFormat="1" ht="89.25" customHeight="1">
      <c r="A76" s="6"/>
      <c r="B76" s="6"/>
      <c r="C76" s="16"/>
      <c r="D76" s="17"/>
      <c r="E76" s="6"/>
      <c r="F76" s="19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</row>
    <row r="77" spans="1:25" s="20" customFormat="1" ht="89.25" customHeight="1">
      <c r="A77" s="6"/>
      <c r="B77" s="6"/>
      <c r="C77" s="16"/>
      <c r="D77" s="17"/>
      <c r="E77" s="6"/>
      <c r="F77" s="19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</row>
    <row r="78" spans="1:25" s="20" customFormat="1" ht="89.25" customHeight="1">
      <c r="A78" s="6"/>
      <c r="B78" s="6"/>
      <c r="C78" s="16"/>
      <c r="D78" s="17"/>
      <c r="E78" s="6"/>
      <c r="F78" s="19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</row>
    <row r="79" spans="1:25" s="20" customFormat="1" ht="89.25" customHeight="1">
      <c r="A79" s="6"/>
      <c r="B79" s="6"/>
      <c r="C79" s="16"/>
      <c r="D79" s="17"/>
      <c r="E79" s="6"/>
      <c r="F79" s="19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</row>
    <row r="80" spans="1:25" s="20" customFormat="1" ht="89.25" customHeight="1">
      <c r="A80" s="6"/>
      <c r="B80" s="6"/>
      <c r="C80" s="16"/>
      <c r="D80" s="17"/>
      <c r="E80" s="6"/>
      <c r="F80" s="19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</row>
    <row r="81" spans="1:25" s="20" customFormat="1" ht="89.25" customHeight="1">
      <c r="A81" s="6"/>
      <c r="B81" s="6"/>
      <c r="C81" s="16"/>
      <c r="D81" s="17"/>
      <c r="E81" s="6"/>
      <c r="F81" s="19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</row>
    <row r="82" spans="1:25" s="20" customFormat="1" ht="89.25" customHeight="1">
      <c r="A82" s="6"/>
      <c r="B82" s="6"/>
      <c r="C82" s="16"/>
      <c r="D82" s="17"/>
      <c r="E82" s="6"/>
      <c r="F82" s="19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</row>
    <row r="83" spans="1:25" s="20" customFormat="1" ht="89.25" customHeight="1">
      <c r="A83" s="6"/>
      <c r="B83" s="6"/>
      <c r="C83" s="16"/>
      <c r="D83" s="17"/>
      <c r="E83" s="6"/>
      <c r="F83" s="19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</row>
    <row r="84" spans="1:25" s="20" customFormat="1" ht="89.25" customHeight="1">
      <c r="A84" s="6"/>
      <c r="B84" s="6"/>
      <c r="C84" s="16"/>
      <c r="D84" s="17"/>
      <c r="E84" s="6"/>
      <c r="F84" s="19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</row>
    <row r="85" spans="1:25" s="20" customFormat="1" ht="89.25" customHeight="1">
      <c r="A85" s="6"/>
      <c r="B85" s="6"/>
      <c r="C85" s="16"/>
      <c r="D85" s="17"/>
      <c r="E85" s="6"/>
      <c r="F85" s="19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</row>
    <row r="86" spans="1:25" s="20" customFormat="1" ht="89.25" customHeight="1">
      <c r="A86" s="6"/>
      <c r="B86" s="6"/>
      <c r="C86" s="16"/>
      <c r="D86" s="17"/>
      <c r="E86" s="6"/>
      <c r="F86" s="19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</row>
    <row r="87" spans="1:25" s="20" customFormat="1" ht="89.25" customHeight="1">
      <c r="A87" s="6"/>
      <c r="B87" s="6"/>
      <c r="C87" s="16"/>
      <c r="D87" s="17"/>
      <c r="E87" s="6"/>
      <c r="F87" s="19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</row>
    <row r="88" spans="1:25" s="20" customFormat="1" ht="89.25" customHeight="1">
      <c r="A88" s="6"/>
      <c r="B88" s="6"/>
      <c r="C88" s="16"/>
      <c r="D88" s="17"/>
      <c r="E88" s="6"/>
      <c r="F88" s="19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</row>
    <row r="89" spans="1:25" s="20" customFormat="1" ht="89.25" customHeight="1">
      <c r="A89" s="6"/>
      <c r="B89" s="6"/>
      <c r="C89" s="16"/>
      <c r="D89" s="17"/>
      <c r="E89" s="6"/>
      <c r="F89" s="19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</row>
    <row r="90" spans="1:25" s="20" customFormat="1" ht="89.25" customHeight="1">
      <c r="A90" s="6"/>
      <c r="B90" s="6"/>
      <c r="C90" s="16"/>
      <c r="D90" s="17"/>
      <c r="E90" s="6"/>
      <c r="F90" s="19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</row>
    <row r="91" spans="1:25" s="20" customFormat="1" ht="89.25" customHeight="1">
      <c r="A91" s="6"/>
      <c r="B91" s="6"/>
      <c r="C91" s="16"/>
      <c r="D91" s="17"/>
      <c r="E91" s="6"/>
      <c r="F91" s="19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</row>
    <row r="92" spans="1:25" s="20" customFormat="1" ht="89.25" customHeight="1">
      <c r="A92" s="6"/>
      <c r="B92" s="6"/>
      <c r="C92" s="16"/>
      <c r="D92" s="17"/>
      <c r="E92" s="6"/>
      <c r="F92" s="19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</row>
    <row r="93" spans="1:25" s="20" customFormat="1" ht="89.25" customHeight="1">
      <c r="A93" s="6"/>
      <c r="B93" s="6"/>
      <c r="C93" s="16"/>
      <c r="D93" s="17"/>
      <c r="E93" s="6"/>
      <c r="F93" s="19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</row>
    <row r="94" spans="1:25" s="20" customFormat="1" ht="89.25" customHeight="1">
      <c r="A94" s="6"/>
      <c r="B94" s="6"/>
      <c r="C94" s="16"/>
      <c r="D94" s="17"/>
      <c r="E94" s="6"/>
      <c r="F94" s="19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</row>
    <row r="95" spans="1:25" s="20" customFormat="1" ht="89.25" customHeight="1">
      <c r="A95" s="6"/>
      <c r="B95" s="6"/>
      <c r="C95" s="16"/>
      <c r="D95" s="17"/>
      <c r="E95" s="6"/>
      <c r="F95" s="19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</row>
    <row r="96" spans="1:25" s="20" customFormat="1" ht="89.25" customHeight="1">
      <c r="A96" s="6"/>
      <c r="B96" s="6"/>
      <c r="C96" s="16"/>
      <c r="D96" s="17"/>
      <c r="E96" s="6"/>
      <c r="F96" s="19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</row>
    <row r="97" spans="1:25" s="20" customFormat="1" ht="89.25" customHeight="1">
      <c r="A97" s="6"/>
      <c r="B97" s="6"/>
      <c r="C97" s="16"/>
      <c r="D97" s="17"/>
      <c r="E97" s="6"/>
      <c r="F97" s="19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</row>
    <row r="98" spans="1:25" s="20" customFormat="1" ht="89.25" customHeight="1">
      <c r="A98" s="6"/>
      <c r="B98" s="6"/>
      <c r="C98" s="16"/>
      <c r="D98" s="17"/>
      <c r="E98" s="6"/>
      <c r="F98" s="19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</row>
    <row r="99" spans="1:25" s="20" customFormat="1" ht="89.25" customHeight="1">
      <c r="A99" s="6"/>
      <c r="B99" s="6"/>
      <c r="C99" s="16"/>
      <c r="D99" s="17"/>
      <c r="E99" s="6"/>
      <c r="F99" s="19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</row>
    <row r="100" spans="1:25" s="20" customFormat="1" ht="89.25" customHeight="1">
      <c r="A100" s="6"/>
      <c r="B100" s="6"/>
      <c r="C100" s="16"/>
      <c r="D100" s="17"/>
      <c r="E100" s="6"/>
      <c r="F100" s="19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</row>
    <row r="101" spans="1:25" s="20" customFormat="1" ht="89.25" customHeight="1">
      <c r="A101" s="6"/>
      <c r="B101" s="6"/>
      <c r="C101" s="16"/>
      <c r="D101" s="17"/>
      <c r="E101" s="6"/>
      <c r="F101" s="19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</row>
    <row r="102" spans="1:25" s="20" customFormat="1" ht="89.25" customHeight="1">
      <c r="A102" s="6"/>
      <c r="B102" s="6"/>
      <c r="C102" s="16"/>
      <c r="D102" s="17"/>
      <c r="E102" s="6"/>
      <c r="F102" s="19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</row>
    <row r="103" spans="1:25" s="20" customFormat="1" ht="89.25" customHeight="1">
      <c r="A103" s="6"/>
      <c r="B103" s="6"/>
      <c r="C103" s="16"/>
      <c r="D103" s="17"/>
      <c r="E103" s="6"/>
      <c r="F103" s="19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</row>
    <row r="104" spans="1:25" s="20" customFormat="1" ht="89.25" customHeight="1">
      <c r="A104" s="6"/>
      <c r="B104" s="6"/>
      <c r="C104" s="16"/>
      <c r="D104" s="17"/>
      <c r="E104" s="6"/>
      <c r="F104" s="19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</row>
    <row r="105" spans="1:25" s="20" customFormat="1" ht="89.25" customHeight="1">
      <c r="A105" s="6"/>
      <c r="B105" s="6"/>
      <c r="C105" s="16"/>
      <c r="D105" s="17"/>
      <c r="E105" s="6"/>
      <c r="F105" s="19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</row>
    <row r="106" spans="1:25" s="20" customFormat="1" ht="89.25" customHeight="1">
      <c r="A106" s="6"/>
      <c r="B106" s="6"/>
      <c r="C106" s="16"/>
      <c r="D106" s="17"/>
      <c r="E106" s="6"/>
      <c r="F106" s="19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</row>
    <row r="107" spans="1:25" s="20" customFormat="1" ht="89.25" customHeight="1">
      <c r="A107" s="6"/>
      <c r="B107" s="6"/>
      <c r="C107" s="16"/>
      <c r="D107" s="17"/>
      <c r="E107" s="6"/>
      <c r="F107" s="19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</row>
    <row r="108" spans="1:25" s="20" customFormat="1" ht="89.25" customHeight="1">
      <c r="A108" s="6"/>
      <c r="B108" s="6"/>
      <c r="C108" s="16"/>
      <c r="D108" s="17"/>
      <c r="E108" s="6"/>
      <c r="F108" s="19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</row>
    <row r="109" spans="1:25" s="20" customFormat="1" ht="89.25" customHeight="1">
      <c r="A109" s="6"/>
      <c r="B109" s="6"/>
      <c r="C109" s="16"/>
      <c r="D109" s="17"/>
      <c r="E109" s="6"/>
      <c r="F109" s="19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</row>
    <row r="110" spans="1:25" s="20" customFormat="1" ht="89.25" customHeight="1">
      <c r="A110" s="6"/>
      <c r="B110" s="6"/>
      <c r="C110" s="16"/>
      <c r="D110" s="17"/>
      <c r="E110" s="6"/>
      <c r="F110" s="19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</row>
    <row r="111" spans="1:25" s="20" customFormat="1" ht="89.25" customHeight="1">
      <c r="A111" s="6"/>
      <c r="B111" s="6"/>
      <c r="C111" s="16"/>
      <c r="D111" s="17"/>
      <c r="E111" s="6"/>
      <c r="F111" s="19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</row>
    <row r="112" spans="1:25" s="20" customFormat="1" ht="89.25" customHeight="1">
      <c r="A112" s="6"/>
      <c r="B112" s="6"/>
      <c r="C112" s="16"/>
      <c r="D112" s="17"/>
      <c r="E112" s="6"/>
      <c r="F112" s="19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</row>
    <row r="113" spans="1:25" s="20" customFormat="1" ht="89.25" customHeight="1">
      <c r="A113" s="6"/>
      <c r="B113" s="6"/>
      <c r="C113" s="16"/>
      <c r="D113" s="17"/>
      <c r="E113" s="6"/>
      <c r="F113" s="19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</row>
    <row r="114" spans="1:25" s="20" customFormat="1" ht="89.25" customHeight="1">
      <c r="A114" s="6"/>
      <c r="B114" s="6"/>
      <c r="C114" s="16"/>
      <c r="D114" s="17"/>
      <c r="E114" s="6"/>
      <c r="F114" s="19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</row>
    <row r="115" spans="1:25" s="20" customFormat="1" ht="89.25" customHeight="1">
      <c r="A115" s="6"/>
      <c r="B115" s="6"/>
      <c r="C115" s="16"/>
      <c r="D115" s="17"/>
      <c r="E115" s="6"/>
      <c r="F115" s="19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</row>
    <row r="116" spans="1:25" s="20" customFormat="1" ht="89.25" customHeight="1">
      <c r="A116" s="6"/>
      <c r="B116" s="6"/>
      <c r="C116" s="16"/>
      <c r="D116" s="17"/>
      <c r="E116" s="6"/>
      <c r="F116" s="19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</row>
    <row r="117" spans="1:25" s="20" customFormat="1" ht="89.25" customHeight="1">
      <c r="A117" s="6"/>
      <c r="B117" s="6"/>
      <c r="C117" s="16"/>
      <c r="D117" s="17"/>
      <c r="E117" s="6"/>
      <c r="F117" s="19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</row>
    <row r="118" spans="1:25" s="20" customFormat="1" ht="89.25" customHeight="1">
      <c r="A118" s="6"/>
      <c r="B118" s="6"/>
      <c r="C118" s="16"/>
      <c r="D118" s="17"/>
      <c r="E118" s="6"/>
      <c r="F118" s="19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</row>
    <row r="119" spans="1:25" s="20" customFormat="1" ht="89.25" customHeight="1">
      <c r="A119" s="6"/>
      <c r="B119" s="6"/>
      <c r="C119" s="16"/>
      <c r="D119" s="17"/>
      <c r="E119" s="6"/>
      <c r="F119" s="19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</row>
    <row r="120" spans="1:25" s="20" customFormat="1" ht="89.25" customHeight="1">
      <c r="A120" s="6"/>
      <c r="B120" s="6"/>
      <c r="C120" s="16"/>
      <c r="D120" s="17"/>
      <c r="E120" s="6"/>
      <c r="F120" s="19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</row>
    <row r="121" spans="1:25" s="20" customFormat="1" ht="89.25" customHeight="1">
      <c r="A121" s="6"/>
      <c r="B121" s="6"/>
      <c r="C121" s="16"/>
      <c r="D121" s="17"/>
      <c r="E121" s="6"/>
      <c r="F121" s="19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</row>
    <row r="122" spans="1:25" s="20" customFormat="1" ht="89.25" customHeight="1">
      <c r="A122" s="6"/>
      <c r="B122" s="6"/>
      <c r="C122" s="16"/>
      <c r="D122" s="17"/>
      <c r="E122" s="6"/>
      <c r="F122" s="19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</row>
    <row r="123" spans="1:25" s="20" customFormat="1" ht="89.25" customHeight="1">
      <c r="A123" s="6"/>
      <c r="B123" s="6"/>
      <c r="C123" s="16"/>
      <c r="D123" s="17"/>
      <c r="E123" s="6"/>
      <c r="F123" s="19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</row>
    <row r="124" spans="1:25" s="20" customFormat="1" ht="89.25" customHeight="1">
      <c r="A124" s="6"/>
      <c r="B124" s="6"/>
      <c r="C124" s="16"/>
      <c r="D124" s="17"/>
      <c r="E124" s="6"/>
      <c r="F124" s="19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</row>
    <row r="125" spans="1:25" s="20" customFormat="1" ht="89.25" customHeight="1">
      <c r="A125" s="6"/>
      <c r="B125" s="6"/>
      <c r="C125" s="16"/>
      <c r="D125" s="17"/>
      <c r="E125" s="6"/>
      <c r="F125" s="19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</row>
    <row r="126" spans="1:25" s="20" customFormat="1" ht="89.25" customHeight="1">
      <c r="A126" s="6"/>
      <c r="B126" s="6"/>
      <c r="C126" s="16"/>
      <c r="D126" s="17"/>
      <c r="E126" s="6"/>
      <c r="F126" s="19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</row>
    <row r="127" spans="1:25" s="20" customFormat="1" ht="89.25" customHeight="1">
      <c r="A127" s="6"/>
      <c r="B127" s="6"/>
      <c r="C127" s="16"/>
      <c r="D127" s="17"/>
      <c r="E127" s="6"/>
      <c r="F127" s="19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</row>
    <row r="128" spans="1:25" s="20" customFormat="1" ht="89.25" customHeight="1">
      <c r="A128" s="6"/>
      <c r="B128" s="6"/>
      <c r="C128" s="16"/>
      <c r="D128" s="17"/>
      <c r="E128" s="6"/>
      <c r="F128" s="19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</row>
    <row r="129" spans="1:25" s="20" customFormat="1" ht="89.25" customHeight="1">
      <c r="A129" s="6"/>
      <c r="B129" s="6"/>
      <c r="C129" s="16"/>
      <c r="D129" s="17"/>
      <c r="E129" s="6"/>
      <c r="F129" s="19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</row>
    <row r="130" spans="1:25" s="20" customFormat="1" ht="89.25" customHeight="1">
      <c r="A130" s="6"/>
      <c r="B130" s="6"/>
      <c r="C130" s="16"/>
      <c r="D130" s="17"/>
      <c r="E130" s="6"/>
      <c r="F130" s="19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</row>
    <row r="131" spans="1:25" s="20" customFormat="1" ht="89.25" customHeight="1">
      <c r="A131" s="6"/>
      <c r="B131" s="6"/>
      <c r="C131" s="16"/>
      <c r="D131" s="17"/>
      <c r="E131" s="6"/>
      <c r="F131" s="19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</row>
    <row r="132" spans="1:25" s="20" customFormat="1" ht="89.25" customHeight="1">
      <c r="A132" s="6"/>
      <c r="B132" s="6"/>
      <c r="C132" s="16"/>
      <c r="D132" s="17"/>
      <c r="E132" s="6"/>
      <c r="F132" s="19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</row>
    <row r="133" spans="1:25" s="20" customFormat="1" ht="89.25" customHeight="1">
      <c r="A133" s="6"/>
      <c r="B133" s="6"/>
      <c r="C133" s="16"/>
      <c r="D133" s="17"/>
      <c r="E133" s="6"/>
      <c r="F133" s="19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</row>
    <row r="134" spans="1:25" s="20" customFormat="1" ht="89.25" customHeight="1">
      <c r="A134" s="6"/>
      <c r="B134" s="6"/>
      <c r="C134" s="16"/>
      <c r="D134" s="17"/>
      <c r="E134" s="6"/>
      <c r="F134" s="19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</row>
    <row r="135" spans="1:25" s="20" customFormat="1" ht="89.25" customHeight="1">
      <c r="A135" s="6"/>
      <c r="B135" s="6"/>
      <c r="C135" s="16"/>
      <c r="D135" s="17"/>
      <c r="E135" s="6"/>
      <c r="F135" s="19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</row>
    <row r="136" spans="1:25" s="20" customFormat="1" ht="89.25" customHeight="1">
      <c r="A136" s="6"/>
      <c r="B136" s="6"/>
      <c r="C136" s="16"/>
      <c r="D136" s="17"/>
      <c r="E136" s="6"/>
      <c r="F136" s="19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</row>
    <row r="137" spans="1:25" s="20" customFormat="1" ht="89.25" customHeight="1">
      <c r="A137" s="6"/>
      <c r="B137" s="6"/>
      <c r="C137" s="16"/>
      <c r="D137" s="17"/>
      <c r="E137" s="6"/>
      <c r="F137" s="19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</row>
    <row r="138" spans="1:25" s="20" customFormat="1" ht="89.25" customHeight="1">
      <c r="A138" s="6"/>
      <c r="B138" s="6"/>
      <c r="C138" s="16"/>
      <c r="D138" s="17"/>
      <c r="E138" s="6"/>
      <c r="F138" s="19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</row>
    <row r="139" spans="1:25" s="20" customFormat="1" ht="89.25" customHeight="1">
      <c r="A139" s="6"/>
      <c r="B139" s="6"/>
      <c r="C139" s="16"/>
      <c r="D139" s="17"/>
      <c r="E139" s="6"/>
      <c r="F139" s="19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</row>
    <row r="140" spans="1:25" s="20" customFormat="1" ht="89.25" customHeight="1">
      <c r="A140" s="6"/>
      <c r="B140" s="6"/>
      <c r="C140" s="16"/>
      <c r="D140" s="17"/>
      <c r="E140" s="6"/>
      <c r="F140" s="19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</row>
    <row r="141" spans="1:25" s="20" customFormat="1" ht="89.25" customHeight="1">
      <c r="A141" s="6"/>
      <c r="B141" s="6"/>
      <c r="C141" s="16"/>
      <c r="D141" s="17"/>
      <c r="E141" s="6"/>
      <c r="F141" s="19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</row>
    <row r="142" spans="1:25" s="20" customFormat="1" ht="89.25" customHeight="1">
      <c r="A142" s="6"/>
      <c r="B142" s="6"/>
      <c r="C142" s="16"/>
      <c r="D142" s="17"/>
      <c r="E142" s="6"/>
      <c r="F142" s="19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</row>
    <row r="143" spans="1:25" s="20" customFormat="1" ht="89.25" customHeight="1">
      <c r="A143" s="6"/>
      <c r="B143" s="6"/>
      <c r="C143" s="16"/>
      <c r="D143" s="17"/>
      <c r="E143" s="6"/>
      <c r="F143" s="19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</row>
    <row r="144" spans="1:25" s="20" customFormat="1" ht="89.25" customHeight="1">
      <c r="A144" s="6"/>
      <c r="B144" s="6"/>
      <c r="C144" s="16"/>
      <c r="D144" s="17"/>
      <c r="E144" s="6"/>
      <c r="F144" s="19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</row>
    <row r="145" spans="1:25" s="20" customFormat="1" ht="89.25" customHeight="1">
      <c r="A145" s="6"/>
      <c r="B145" s="6"/>
      <c r="C145" s="16"/>
      <c r="D145" s="17"/>
      <c r="E145" s="6"/>
      <c r="F145" s="19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</row>
    <row r="146" spans="1:25" s="20" customFormat="1" ht="89.25" customHeight="1">
      <c r="A146" s="6"/>
      <c r="B146" s="6"/>
      <c r="C146" s="16"/>
      <c r="D146" s="17"/>
      <c r="E146" s="6"/>
      <c r="F146" s="19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</row>
    <row r="147" spans="1:25" s="20" customFormat="1" ht="89.25" customHeight="1">
      <c r="A147" s="6"/>
      <c r="B147" s="6"/>
      <c r="C147" s="16"/>
      <c r="D147" s="17"/>
      <c r="E147" s="6"/>
      <c r="F147" s="19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</row>
    <row r="148" spans="1:25" s="20" customFormat="1" ht="89.25" customHeight="1">
      <c r="A148" s="6"/>
      <c r="B148" s="6"/>
      <c r="C148" s="16"/>
      <c r="D148" s="17"/>
      <c r="E148" s="6"/>
      <c r="F148" s="19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</row>
    <row r="149" spans="1:25" s="20" customFormat="1" ht="89.25" customHeight="1">
      <c r="A149" s="6"/>
      <c r="B149" s="6"/>
      <c r="C149" s="16"/>
      <c r="D149" s="17"/>
      <c r="E149" s="6"/>
      <c r="F149" s="19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</row>
    <row r="150" spans="1:25" s="20" customFormat="1" ht="89.25" customHeight="1">
      <c r="A150" s="6"/>
      <c r="B150" s="6"/>
      <c r="C150" s="16"/>
      <c r="D150" s="17"/>
      <c r="E150" s="6"/>
      <c r="F150" s="19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</row>
    <row r="151" spans="1:25" s="20" customFormat="1" ht="89.25" customHeight="1">
      <c r="A151" s="6"/>
      <c r="B151" s="6"/>
      <c r="C151" s="16"/>
      <c r="D151" s="17"/>
      <c r="E151" s="6"/>
      <c r="F151" s="19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</row>
    <row r="152" spans="1:25" s="20" customFormat="1" ht="89.25" customHeight="1">
      <c r="A152" s="6"/>
      <c r="B152" s="6"/>
      <c r="C152" s="16"/>
      <c r="D152" s="17"/>
      <c r="E152" s="6"/>
      <c r="F152" s="19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</row>
    <row r="153" spans="1:25" s="20" customFormat="1" ht="89.25" customHeight="1">
      <c r="A153" s="6"/>
      <c r="B153" s="6"/>
      <c r="C153" s="16"/>
      <c r="D153" s="17"/>
      <c r="E153" s="6"/>
      <c r="F153" s="19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</row>
    <row r="154" spans="1:25" s="20" customFormat="1" ht="89.25" customHeight="1">
      <c r="A154" s="6"/>
      <c r="B154" s="6"/>
      <c r="C154" s="16"/>
      <c r="D154" s="17"/>
      <c r="E154" s="6"/>
      <c r="F154" s="19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</row>
    <row r="155" spans="1:25" s="20" customFormat="1" ht="89.25" customHeight="1">
      <c r="A155" s="6"/>
      <c r="B155" s="6"/>
      <c r="C155" s="16"/>
      <c r="D155" s="17"/>
      <c r="E155" s="6"/>
      <c r="F155" s="19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</row>
    <row r="156" spans="1:25" s="20" customFormat="1" ht="89.25" customHeight="1">
      <c r="A156" s="6"/>
      <c r="B156" s="6"/>
      <c r="C156" s="16"/>
      <c r="D156" s="17"/>
      <c r="E156" s="6"/>
      <c r="F156" s="19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</row>
    <row r="157" spans="1:25" s="20" customFormat="1" ht="89.25" customHeight="1">
      <c r="A157" s="6"/>
      <c r="B157" s="6"/>
      <c r="C157" s="16"/>
      <c r="D157" s="17"/>
      <c r="E157" s="6"/>
      <c r="F157" s="19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</row>
    <row r="158" spans="1:25" s="20" customFormat="1" ht="89.25" customHeight="1">
      <c r="A158" s="6"/>
      <c r="B158" s="6"/>
      <c r="C158" s="16"/>
      <c r="D158" s="17"/>
      <c r="E158" s="6"/>
      <c r="F158" s="19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</row>
    <row r="159" spans="1:25" s="20" customFormat="1" ht="89.25" customHeight="1">
      <c r="A159" s="6"/>
      <c r="B159" s="6"/>
      <c r="C159" s="16"/>
      <c r="D159" s="17"/>
      <c r="E159" s="6"/>
      <c r="F159" s="19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</row>
    <row r="160" spans="1:25" s="20" customFormat="1" ht="89.25" customHeight="1">
      <c r="A160" s="6"/>
      <c r="B160" s="6"/>
      <c r="C160" s="16"/>
      <c r="D160" s="17"/>
      <c r="E160" s="6"/>
      <c r="F160" s="19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</row>
    <row r="161" spans="1:25" s="20" customFormat="1" ht="89.25" customHeight="1">
      <c r="A161" s="6"/>
      <c r="B161" s="6"/>
      <c r="C161" s="16"/>
      <c r="D161" s="17"/>
      <c r="E161" s="6"/>
      <c r="F161" s="19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</row>
    <row r="162" spans="1:25" s="20" customFormat="1" ht="89.25" customHeight="1">
      <c r="A162" s="6"/>
      <c r="B162" s="6"/>
      <c r="C162" s="16"/>
      <c r="D162" s="17"/>
      <c r="E162" s="6"/>
      <c r="F162" s="19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</row>
    <row r="163" spans="1:25" s="20" customFormat="1" ht="89.25" customHeight="1">
      <c r="A163" s="6"/>
      <c r="B163" s="6"/>
      <c r="C163" s="16"/>
      <c r="D163" s="17"/>
      <c r="E163" s="6"/>
      <c r="F163" s="19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</row>
    <row r="164" spans="1:25" s="20" customFormat="1" ht="89.25" customHeight="1">
      <c r="A164" s="6"/>
      <c r="B164" s="6"/>
      <c r="C164" s="16"/>
      <c r="D164" s="17"/>
      <c r="E164" s="6"/>
      <c r="F164" s="19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</row>
    <row r="165" spans="1:25" s="20" customFormat="1" ht="89.25" customHeight="1">
      <c r="A165" s="6"/>
      <c r="B165" s="6"/>
      <c r="C165" s="16"/>
      <c r="D165" s="17"/>
      <c r="E165" s="6"/>
      <c r="F165" s="19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</row>
    <row r="166" spans="1:25" s="20" customFormat="1" ht="89.25" customHeight="1">
      <c r="A166" s="6"/>
      <c r="B166" s="6"/>
      <c r="C166" s="16"/>
      <c r="D166" s="17"/>
      <c r="E166" s="6"/>
      <c r="F166" s="19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</row>
    <row r="167" spans="1:25" s="20" customFormat="1" ht="89.25" customHeight="1">
      <c r="A167" s="6"/>
      <c r="B167" s="6"/>
      <c r="C167" s="16"/>
      <c r="D167" s="17"/>
      <c r="E167" s="6"/>
      <c r="F167" s="19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</row>
    <row r="168" spans="1:25" s="20" customFormat="1" ht="89.25" customHeight="1">
      <c r="A168" s="6"/>
      <c r="B168" s="6"/>
      <c r="C168" s="16"/>
      <c r="D168" s="17"/>
      <c r="E168" s="6"/>
      <c r="F168" s="19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</row>
    <row r="169" spans="1:25" s="20" customFormat="1" ht="89.25" customHeight="1">
      <c r="A169" s="6"/>
      <c r="B169" s="6"/>
      <c r="C169" s="16"/>
      <c r="D169" s="17"/>
      <c r="E169" s="6"/>
      <c r="F169" s="19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</row>
    <row r="170" spans="1:25" s="20" customFormat="1" ht="89.25" customHeight="1">
      <c r="A170" s="6"/>
      <c r="B170" s="6"/>
      <c r="C170" s="16"/>
      <c r="D170" s="17"/>
      <c r="E170" s="6"/>
      <c r="F170" s="19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</row>
    <row r="171" spans="1:25" s="20" customFormat="1" ht="89.25" customHeight="1">
      <c r="A171" s="6"/>
      <c r="B171" s="6"/>
      <c r="C171" s="16"/>
      <c r="D171" s="17"/>
      <c r="E171" s="6"/>
      <c r="F171" s="19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</row>
    <row r="172" spans="1:25" s="20" customFormat="1" ht="89.25" customHeight="1">
      <c r="A172" s="6"/>
      <c r="B172" s="6"/>
      <c r="C172" s="16"/>
      <c r="D172" s="17"/>
      <c r="E172" s="6"/>
      <c r="F172" s="19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</row>
    <row r="173" spans="1:25" s="20" customFormat="1" ht="89.25" customHeight="1">
      <c r="A173" s="6"/>
      <c r="B173" s="6"/>
      <c r="C173" s="16"/>
      <c r="D173" s="17"/>
      <c r="E173" s="6"/>
      <c r="F173" s="19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</row>
    <row r="174" spans="1:25" s="20" customFormat="1" ht="89.25" customHeight="1">
      <c r="A174" s="6"/>
      <c r="B174" s="6"/>
      <c r="C174" s="16"/>
      <c r="D174" s="17"/>
      <c r="E174" s="6"/>
      <c r="F174" s="19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</row>
    <row r="175" spans="1:25" s="20" customFormat="1" ht="89.25" customHeight="1">
      <c r="A175" s="6"/>
      <c r="B175" s="6"/>
      <c r="C175" s="16"/>
      <c r="D175" s="17"/>
      <c r="E175" s="6"/>
      <c r="F175" s="19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</row>
    <row r="176" spans="1:25" s="20" customFormat="1" ht="89.25" customHeight="1">
      <c r="A176" s="6"/>
      <c r="B176" s="6"/>
      <c r="C176" s="16"/>
      <c r="D176" s="17"/>
      <c r="E176" s="6"/>
      <c r="F176" s="19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</row>
    <row r="177" spans="1:25" s="20" customFormat="1" ht="89.25" customHeight="1">
      <c r="A177" s="6"/>
      <c r="B177" s="6"/>
      <c r="C177" s="16"/>
      <c r="D177" s="17"/>
      <c r="E177" s="6"/>
      <c r="F177" s="19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</row>
    <row r="178" spans="1:25" s="20" customFormat="1" ht="89.25" customHeight="1">
      <c r="A178" s="6"/>
      <c r="B178" s="6"/>
      <c r="C178" s="16"/>
      <c r="D178" s="17"/>
      <c r="E178" s="6"/>
      <c r="F178" s="19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</row>
    <row r="179" spans="1:25" s="20" customFormat="1" ht="89.25" customHeight="1">
      <c r="A179" s="6"/>
      <c r="B179" s="6"/>
      <c r="C179" s="16"/>
      <c r="D179" s="17"/>
      <c r="E179" s="6"/>
      <c r="F179" s="19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</row>
    <row r="180" spans="1:25" s="20" customFormat="1" ht="89.25" customHeight="1">
      <c r="A180" s="6"/>
      <c r="B180" s="6"/>
      <c r="C180" s="16"/>
      <c r="D180" s="17"/>
      <c r="E180" s="6"/>
      <c r="F180" s="19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</row>
    <row r="181" spans="1:25" s="20" customFormat="1" ht="89.25" customHeight="1">
      <c r="A181" s="6"/>
      <c r="B181" s="6"/>
      <c r="C181" s="16"/>
      <c r="D181" s="17"/>
      <c r="E181" s="6"/>
      <c r="F181" s="19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</row>
    <row r="182" spans="1:25" s="20" customFormat="1" ht="89.25" customHeight="1">
      <c r="A182" s="6"/>
      <c r="B182" s="6"/>
      <c r="C182" s="16"/>
      <c r="D182" s="17"/>
      <c r="E182" s="6"/>
      <c r="F182" s="19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</row>
    <row r="183" spans="1:25" s="20" customFormat="1" ht="89.25" customHeight="1">
      <c r="A183" s="6"/>
      <c r="B183" s="6"/>
      <c r="C183" s="16"/>
      <c r="D183" s="17"/>
      <c r="E183" s="6"/>
      <c r="F183" s="19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</row>
    <row r="184" spans="1:25" s="20" customFormat="1" ht="89.25" customHeight="1">
      <c r="A184" s="6"/>
      <c r="B184" s="6"/>
      <c r="C184" s="16"/>
      <c r="D184" s="17"/>
      <c r="E184" s="6"/>
      <c r="F184" s="19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</row>
    <row r="185" spans="1:25" s="20" customFormat="1" ht="89.25" customHeight="1">
      <c r="A185" s="6"/>
      <c r="B185" s="6"/>
      <c r="C185" s="16"/>
      <c r="D185" s="17"/>
      <c r="E185" s="6"/>
      <c r="F185" s="19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</row>
    <row r="186" spans="1:25" s="20" customFormat="1" ht="89.25" customHeight="1">
      <c r="A186" s="6"/>
      <c r="B186" s="6"/>
      <c r="C186" s="16"/>
      <c r="D186" s="17"/>
      <c r="E186" s="6"/>
      <c r="F186" s="19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</row>
    <row r="187" spans="1:25" s="20" customFormat="1" ht="89.25" customHeight="1">
      <c r="A187" s="6"/>
      <c r="B187" s="6"/>
      <c r="C187" s="16"/>
      <c r="D187" s="17"/>
      <c r="E187" s="6"/>
      <c r="F187" s="19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</row>
    <row r="188" spans="1:25" s="20" customFormat="1" ht="89.25" customHeight="1">
      <c r="A188" s="6"/>
      <c r="B188" s="6"/>
      <c r="C188" s="16"/>
      <c r="D188" s="17"/>
      <c r="E188" s="6"/>
      <c r="F188" s="19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</row>
    <row r="189" spans="1:25" s="20" customFormat="1" ht="89.25" customHeight="1">
      <c r="A189" s="6"/>
      <c r="B189" s="6"/>
      <c r="C189" s="16"/>
      <c r="D189" s="17"/>
      <c r="E189" s="6"/>
      <c r="F189" s="19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</row>
    <row r="190" spans="1:25" s="20" customFormat="1" ht="89.25" customHeight="1">
      <c r="A190" s="6"/>
      <c r="B190" s="6"/>
      <c r="C190" s="16"/>
      <c r="D190" s="17"/>
      <c r="E190" s="6"/>
      <c r="F190" s="19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</row>
    <row r="191" spans="1:25" s="20" customFormat="1" ht="89.25" customHeight="1">
      <c r="A191" s="6"/>
      <c r="B191" s="6"/>
      <c r="C191" s="16"/>
      <c r="D191" s="17"/>
      <c r="E191" s="6"/>
      <c r="F191" s="19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</row>
    <row r="192" spans="1:25" s="20" customFormat="1" ht="89.25" customHeight="1">
      <c r="A192" s="6"/>
      <c r="B192" s="6"/>
      <c r="C192" s="16"/>
      <c r="D192" s="17"/>
      <c r="E192" s="6"/>
      <c r="F192" s="19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</row>
    <row r="193" spans="1:25" s="20" customFormat="1" ht="89.25" customHeight="1">
      <c r="A193" s="6"/>
      <c r="B193" s="6"/>
      <c r="C193" s="16"/>
      <c r="D193" s="17"/>
      <c r="E193" s="6"/>
      <c r="F193" s="19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</row>
    <row r="194" spans="1:25" s="20" customFormat="1" ht="89.25" customHeight="1">
      <c r="A194" s="6"/>
      <c r="B194" s="6"/>
      <c r="C194" s="16"/>
      <c r="D194" s="17"/>
      <c r="E194" s="6"/>
      <c r="F194" s="19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</row>
    <row r="195" spans="1:25" s="20" customFormat="1" ht="89.25" customHeight="1">
      <c r="A195" s="6"/>
      <c r="B195" s="6"/>
      <c r="C195" s="16"/>
      <c r="D195" s="17"/>
      <c r="E195" s="6"/>
      <c r="F195" s="19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</row>
    <row r="196" spans="1:25" s="20" customFormat="1" ht="89.25" customHeight="1">
      <c r="A196" s="6"/>
      <c r="B196" s="6"/>
      <c r="C196" s="16"/>
      <c r="D196" s="17"/>
      <c r="E196" s="6"/>
      <c r="F196" s="19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</row>
    <row r="197" spans="1:25" s="20" customFormat="1" ht="89.25" customHeight="1">
      <c r="A197" s="6"/>
      <c r="B197" s="6"/>
      <c r="C197" s="16"/>
      <c r="D197" s="17"/>
      <c r="E197" s="6"/>
      <c r="F197" s="19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</row>
    <row r="198" spans="1:25" s="20" customFormat="1" ht="89.25" customHeight="1">
      <c r="A198" s="6"/>
      <c r="B198" s="6"/>
      <c r="C198" s="16"/>
      <c r="D198" s="17"/>
      <c r="E198" s="6"/>
      <c r="F198" s="19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</row>
    <row r="199" spans="1:25" s="20" customFormat="1" ht="89.25" customHeight="1">
      <c r="A199" s="6"/>
      <c r="B199" s="6"/>
      <c r="C199" s="16"/>
      <c r="D199" s="17"/>
      <c r="E199" s="6"/>
      <c r="F199" s="19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</row>
    <row r="200" spans="1:25" s="20" customFormat="1" ht="89.25" customHeight="1">
      <c r="A200" s="6"/>
      <c r="B200" s="6"/>
      <c r="C200" s="16"/>
      <c r="D200" s="17"/>
      <c r="E200" s="6"/>
      <c r="F200" s="19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</row>
    <row r="201" spans="1:25" s="20" customFormat="1" ht="89.25" customHeight="1">
      <c r="A201" s="6"/>
      <c r="B201" s="6"/>
      <c r="C201" s="16"/>
      <c r="D201" s="17"/>
      <c r="E201" s="6"/>
      <c r="F201" s="19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</row>
    <row r="202" spans="1:25" s="20" customFormat="1" ht="89.25" customHeight="1">
      <c r="A202" s="6"/>
      <c r="B202" s="6"/>
      <c r="C202" s="16"/>
      <c r="D202" s="17"/>
      <c r="E202" s="6"/>
      <c r="F202" s="19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</row>
    <row r="203" spans="1:25" s="20" customFormat="1" ht="89.25" customHeight="1">
      <c r="A203" s="6"/>
      <c r="B203" s="6"/>
      <c r="C203" s="16"/>
      <c r="D203" s="17"/>
      <c r="E203" s="6"/>
      <c r="F203" s="19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</row>
    <row r="204" spans="1:25" s="20" customFormat="1" ht="89.25" customHeight="1">
      <c r="A204" s="6"/>
      <c r="B204" s="6"/>
      <c r="C204" s="16"/>
      <c r="D204" s="17"/>
      <c r="E204" s="6"/>
      <c r="F204" s="19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</row>
    <row r="205" spans="1:25" s="20" customFormat="1" ht="89.25" customHeight="1">
      <c r="A205" s="6"/>
      <c r="B205" s="6"/>
      <c r="C205" s="16"/>
      <c r="D205" s="17"/>
      <c r="E205" s="6"/>
      <c r="F205" s="19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</row>
    <row r="206" spans="1:25" s="20" customFormat="1" ht="89.25" customHeight="1">
      <c r="A206" s="6"/>
      <c r="B206" s="6"/>
      <c r="C206" s="16"/>
      <c r="D206" s="17"/>
      <c r="E206" s="6"/>
      <c r="F206" s="19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</row>
    <row r="207" spans="1:25" s="20" customFormat="1" ht="89.25" customHeight="1">
      <c r="A207" s="6"/>
      <c r="B207" s="6"/>
      <c r="C207" s="16"/>
      <c r="D207" s="17"/>
      <c r="E207" s="6"/>
      <c r="F207" s="19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</row>
    <row r="208" spans="1:25" s="20" customFormat="1" ht="89.25" customHeight="1">
      <c r="A208" s="6"/>
      <c r="B208" s="6"/>
      <c r="C208" s="16"/>
      <c r="D208" s="17"/>
      <c r="E208" s="6"/>
      <c r="F208" s="19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</row>
    <row r="209" spans="1:25" s="20" customFormat="1" ht="89.25" customHeight="1">
      <c r="A209" s="6"/>
      <c r="B209" s="6"/>
      <c r="C209" s="16"/>
      <c r="D209" s="17"/>
      <c r="E209" s="6"/>
      <c r="F209" s="19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</row>
    <row r="210" spans="1:25" s="20" customFormat="1" ht="89.25" customHeight="1">
      <c r="A210" s="6"/>
      <c r="B210" s="6"/>
      <c r="C210" s="16"/>
      <c r="D210" s="17"/>
      <c r="E210" s="6"/>
      <c r="F210" s="19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</row>
    <row r="211" spans="1:25" s="20" customFormat="1" ht="89.25" customHeight="1">
      <c r="A211" s="6"/>
      <c r="B211" s="6"/>
      <c r="C211" s="16"/>
      <c r="D211" s="17"/>
      <c r="E211" s="6"/>
      <c r="F211" s="19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</row>
    <row r="212" spans="1:25" s="20" customFormat="1" ht="89.25" customHeight="1">
      <c r="A212" s="6"/>
      <c r="B212" s="6"/>
      <c r="C212" s="16"/>
      <c r="D212" s="17"/>
      <c r="E212" s="6"/>
      <c r="F212" s="19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</row>
    <row r="213" spans="1:25" s="20" customFormat="1" ht="89.25" customHeight="1">
      <c r="A213" s="6"/>
      <c r="B213" s="6"/>
      <c r="C213" s="16"/>
      <c r="D213" s="17"/>
      <c r="E213" s="6"/>
      <c r="F213" s="19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</row>
    <row r="214" spans="1:25" s="20" customFormat="1" ht="89.25" customHeight="1">
      <c r="A214" s="6"/>
      <c r="B214" s="6"/>
      <c r="C214" s="16"/>
      <c r="D214" s="17"/>
      <c r="E214" s="6"/>
      <c r="F214" s="19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</row>
    <row r="215" spans="1:25" s="20" customFormat="1" ht="89.25" customHeight="1">
      <c r="A215" s="6"/>
      <c r="B215" s="6"/>
      <c r="C215" s="16"/>
      <c r="D215" s="17"/>
      <c r="E215" s="6"/>
      <c r="F215" s="19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</row>
    <row r="216" spans="1:25" s="20" customFormat="1" ht="89.25" customHeight="1">
      <c r="A216" s="6"/>
      <c r="B216" s="6"/>
      <c r="C216" s="16"/>
      <c r="D216" s="17"/>
      <c r="E216" s="6"/>
      <c r="F216" s="19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</row>
    <row r="217" spans="1:25" s="20" customFormat="1" ht="89.25" customHeight="1">
      <c r="A217" s="6"/>
      <c r="B217" s="6"/>
      <c r="C217" s="16"/>
      <c r="D217" s="17"/>
      <c r="E217" s="6"/>
      <c r="F217" s="19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</row>
    <row r="218" spans="1:25" s="20" customFormat="1" ht="89.25" customHeight="1">
      <c r="A218" s="6"/>
      <c r="B218" s="6"/>
      <c r="C218" s="16"/>
      <c r="D218" s="17"/>
      <c r="E218" s="6"/>
      <c r="F218" s="19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</row>
    <row r="219" spans="1:25" s="20" customFormat="1" ht="89.25" customHeight="1">
      <c r="A219" s="6"/>
      <c r="B219" s="6"/>
      <c r="C219" s="16"/>
      <c r="D219" s="17"/>
      <c r="E219" s="6"/>
      <c r="F219" s="19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</row>
    <row r="220" spans="1:25" s="20" customFormat="1" ht="89.25" customHeight="1">
      <c r="A220" s="6"/>
      <c r="B220" s="6"/>
      <c r="C220" s="16"/>
      <c r="D220" s="17"/>
      <c r="E220" s="6"/>
      <c r="F220" s="19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</row>
    <row r="221" spans="1:25" s="20" customFormat="1" ht="89.25" customHeight="1">
      <c r="A221" s="6"/>
      <c r="B221" s="6"/>
      <c r="C221" s="16"/>
      <c r="D221" s="17"/>
      <c r="E221" s="6"/>
      <c r="F221" s="19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</row>
    <row r="222" spans="1:25" s="20" customFormat="1" ht="89.25" customHeight="1">
      <c r="A222" s="6"/>
      <c r="B222" s="6"/>
      <c r="C222" s="16"/>
      <c r="D222" s="17"/>
      <c r="E222" s="6"/>
      <c r="F222" s="19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</row>
    <row r="223" spans="1:25" s="20" customFormat="1" ht="89.25" customHeight="1">
      <c r="A223" s="6"/>
      <c r="B223" s="6"/>
      <c r="C223" s="16"/>
      <c r="D223" s="17"/>
      <c r="E223" s="6"/>
      <c r="F223" s="19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</row>
    <row r="224" spans="1:25" s="20" customFormat="1" ht="89.25" customHeight="1">
      <c r="A224" s="6"/>
      <c r="B224" s="6"/>
      <c r="C224" s="16"/>
      <c r="D224" s="17"/>
      <c r="E224" s="6"/>
      <c r="F224" s="19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</row>
    <row r="225" spans="1:25" s="20" customFormat="1" ht="89.25" customHeight="1">
      <c r="A225" s="6"/>
      <c r="B225" s="6"/>
      <c r="C225" s="16"/>
      <c r="D225" s="17"/>
      <c r="E225" s="6"/>
      <c r="F225" s="19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</row>
    <row r="226" spans="1:25" s="20" customFormat="1" ht="89.25" customHeight="1">
      <c r="A226" s="6"/>
      <c r="B226" s="6"/>
      <c r="C226" s="16"/>
      <c r="D226" s="17"/>
      <c r="E226" s="6"/>
      <c r="F226" s="19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</row>
    <row r="227" spans="1:25" s="20" customFormat="1" ht="89.25" customHeight="1">
      <c r="A227" s="6"/>
      <c r="B227" s="6"/>
      <c r="C227" s="16"/>
      <c r="D227" s="17"/>
      <c r="E227" s="6"/>
      <c r="F227" s="19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</row>
    <row r="228" spans="1:25" s="20" customFormat="1" ht="89.25" customHeight="1">
      <c r="A228" s="6"/>
      <c r="B228" s="6"/>
      <c r="C228" s="16"/>
      <c r="D228" s="17"/>
      <c r="E228" s="6"/>
      <c r="F228" s="19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</row>
    <row r="229" spans="1:25" s="20" customFormat="1" ht="89.25" customHeight="1">
      <c r="A229" s="6"/>
      <c r="B229" s="6"/>
      <c r="C229" s="16"/>
      <c r="D229" s="17"/>
      <c r="E229" s="6"/>
      <c r="F229" s="19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</row>
    <row r="230" spans="1:25" s="20" customFormat="1" ht="89.25" customHeight="1">
      <c r="A230" s="6"/>
      <c r="B230" s="6"/>
      <c r="C230" s="16"/>
      <c r="D230" s="17"/>
      <c r="E230" s="6"/>
      <c r="F230" s="19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</row>
    <row r="231" spans="1:25" s="20" customFormat="1" ht="89.25" customHeight="1">
      <c r="A231" s="6"/>
      <c r="B231" s="6"/>
      <c r="C231" s="16"/>
      <c r="D231" s="17"/>
      <c r="E231" s="6"/>
      <c r="F231" s="19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</row>
    <row r="232" spans="1:25" s="20" customFormat="1" ht="89.25" customHeight="1">
      <c r="A232" s="6"/>
      <c r="B232" s="6"/>
      <c r="C232" s="16"/>
      <c r="D232" s="17"/>
      <c r="E232" s="6"/>
      <c r="F232" s="19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</row>
  </sheetData>
  <mergeCells count="17">
    <mergeCell ref="D47:E47"/>
    <mergeCell ref="A10:D10"/>
    <mergeCell ref="A44:B44"/>
    <mergeCell ref="D44:E44"/>
    <mergeCell ref="A45:B45"/>
    <mergeCell ref="D45:E45"/>
    <mergeCell ref="A13:D13"/>
    <mergeCell ref="A12:D12"/>
    <mergeCell ref="A46:B46"/>
    <mergeCell ref="D46:E46"/>
    <mergeCell ref="A11:D11"/>
    <mergeCell ref="A1:F3"/>
    <mergeCell ref="A5:F5"/>
    <mergeCell ref="A6:F6"/>
    <mergeCell ref="A7:E7"/>
    <mergeCell ref="A9:D9"/>
    <mergeCell ref="A4:F4"/>
  </mergeCells>
  <printOptions horizontalCentered="1" verticalCentered="1"/>
  <pageMargins left="0.59055118110236227" right="0.59055118110236227" top="0.59055118110236227" bottom="0.59055118110236227" header="0.31496062992125984" footer="0.31496062992125984"/>
  <pageSetup paperSize="9" scale="51" orientation="landscape" r:id="rId1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 codeName="Hoja35">
    <tabColor rgb="FF00B0F0"/>
    <pageSetUpPr fitToPage="1"/>
  </sheetPr>
  <dimension ref="A1:AG231"/>
  <sheetViews>
    <sheetView showGridLines="0" topLeftCell="A16" zoomScale="80" zoomScaleNormal="80" workbookViewId="0">
      <selection activeCell="F43" sqref="F43"/>
    </sheetView>
  </sheetViews>
  <sheetFormatPr baseColWidth="10" defaultRowHeight="89.25" customHeight="1"/>
  <cols>
    <col min="1" max="1" width="25.28515625" style="6" customWidth="1"/>
    <col min="2" max="2" width="28.28515625" style="6" customWidth="1"/>
    <col min="3" max="3" width="25.28515625" style="16" customWidth="1"/>
    <col min="4" max="4" width="25.28515625" style="17" customWidth="1"/>
    <col min="5" max="5" width="15.28515625" style="6" bestFit="1" customWidth="1"/>
    <col min="6" max="6" width="21.7109375" style="19" bestFit="1" customWidth="1"/>
    <col min="7" max="7" width="19.140625" style="5" bestFit="1" customWidth="1"/>
    <col min="8" max="8" width="20" style="5" bestFit="1" customWidth="1"/>
    <col min="9" max="10" width="18.7109375" style="5" customWidth="1"/>
    <col min="11" max="25" width="11.42578125" style="5"/>
    <col min="26" max="16384" width="11.42578125" style="6"/>
  </cols>
  <sheetData>
    <row r="1" spans="1:25" s="4" customFormat="1" ht="33.75" customHeight="1">
      <c r="A1" s="1348" t="s">
        <v>767</v>
      </c>
      <c r="B1" s="1348"/>
      <c r="C1" s="1348"/>
      <c r="D1" s="1348"/>
      <c r="E1" s="1348"/>
      <c r="F1" s="1348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spans="1:25" s="4" customFormat="1" ht="33.75" customHeight="1">
      <c r="A2" s="1348"/>
      <c r="B2" s="1348"/>
      <c r="C2" s="1348"/>
      <c r="D2" s="1348"/>
      <c r="E2" s="1348"/>
      <c r="F2" s="1348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 s="4" customFormat="1" ht="15.75">
      <c r="A3" s="1348"/>
      <c r="B3" s="1348"/>
      <c r="C3" s="1348"/>
      <c r="D3" s="1348"/>
      <c r="E3" s="1348"/>
      <c r="F3" s="1348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</row>
    <row r="4" spans="1:25" s="4" customFormat="1" ht="15.75">
      <c r="A4" s="1349" t="str">
        <f>+'Anexo 22 Municipio Manizales'!A4:F4</f>
        <v>AL 31 DE JULIO DE 2023</v>
      </c>
      <c r="B4" s="1349"/>
      <c r="C4" s="1349"/>
      <c r="D4" s="1349"/>
      <c r="E4" s="1349"/>
      <c r="F4" s="1349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</row>
    <row r="5" spans="1:25" ht="30" customHeight="1">
      <c r="A5" s="1339" t="s">
        <v>205</v>
      </c>
      <c r="B5" s="1339"/>
      <c r="C5" s="1339"/>
      <c r="D5" s="1339"/>
      <c r="E5" s="1339"/>
      <c r="F5" s="1339"/>
    </row>
    <row r="6" spans="1:25" ht="30" customHeight="1" thickBot="1">
      <c r="A6" s="1339" t="s">
        <v>285</v>
      </c>
      <c r="B6" s="1339"/>
      <c r="C6" s="1339"/>
      <c r="D6" s="1339"/>
      <c r="E6" s="1339"/>
      <c r="F6" s="1339"/>
    </row>
    <row r="7" spans="1:25" ht="30" customHeight="1" thickBot="1">
      <c r="A7" s="1346" t="s">
        <v>1</v>
      </c>
      <c r="B7" s="1347"/>
      <c r="C7" s="1347"/>
      <c r="D7" s="1347"/>
      <c r="E7" s="1347"/>
      <c r="F7" s="7" t="s">
        <v>2</v>
      </c>
    </row>
    <row r="8" spans="1:25" ht="18.600000000000001" customHeight="1">
      <c r="A8" s="8"/>
      <c r="B8" s="9"/>
      <c r="C8" s="9"/>
      <c r="D8" s="9"/>
      <c r="E8" s="10"/>
      <c r="F8" s="11"/>
      <c r="I8" s="12"/>
      <c r="J8" s="12"/>
    </row>
    <row r="9" spans="1:25" ht="18.600000000000001" customHeight="1">
      <c r="A9" s="1342" t="str">
        <f>+'Anexo 22 Municipio Manizales'!A9:D9</f>
        <v>TOTAL RENDIMIENTOS GENERADOS POR LOS RECURSOS DEL FONDO DE JULIO DE 2023</v>
      </c>
      <c r="B9" s="1343"/>
      <c r="C9" s="1343"/>
      <c r="D9" s="1343"/>
      <c r="E9" s="259"/>
      <c r="F9" s="260">
        <f>F37</f>
        <v>193107.94999999995</v>
      </c>
      <c r="I9" s="13"/>
      <c r="J9" s="12"/>
    </row>
    <row r="10" spans="1:25" ht="18.600000000000001" customHeight="1">
      <c r="A10" s="1333" t="s">
        <v>276</v>
      </c>
      <c r="B10" s="1334"/>
      <c r="C10" s="1334"/>
      <c r="D10" s="1334"/>
      <c r="E10" s="261">
        <v>0</v>
      </c>
      <c r="F10" s="262"/>
    </row>
    <row r="11" spans="1:25" ht="18.600000000000001" customHeight="1">
      <c r="A11" s="1333" t="s">
        <v>294</v>
      </c>
      <c r="B11" s="1334"/>
      <c r="C11" s="1334"/>
      <c r="D11" s="1334"/>
      <c r="E11" s="261">
        <v>0</v>
      </c>
      <c r="F11" s="262"/>
    </row>
    <row r="12" spans="1:25" ht="18.600000000000001" customHeight="1">
      <c r="A12" s="1333" t="s">
        <v>307</v>
      </c>
      <c r="B12" s="1334"/>
      <c r="C12" s="1334"/>
      <c r="D12" s="1334"/>
      <c r="E12" s="261">
        <v>19462.25</v>
      </c>
      <c r="F12" s="262"/>
    </row>
    <row r="13" spans="1:25" ht="18.600000000000001" customHeight="1">
      <c r="A13" s="543" t="s">
        <v>365</v>
      </c>
      <c r="B13" s="544"/>
      <c r="C13" s="544"/>
      <c r="D13" s="544"/>
      <c r="E13" s="261">
        <v>22387.59</v>
      </c>
      <c r="F13" s="262"/>
    </row>
    <row r="14" spans="1:25" ht="18.600000000000001" customHeight="1">
      <c r="A14" s="574" t="s">
        <v>427</v>
      </c>
      <c r="B14" s="575"/>
      <c r="C14" s="575"/>
      <c r="D14" s="575"/>
      <c r="E14" s="261">
        <v>23208.55</v>
      </c>
      <c r="F14" s="262"/>
    </row>
    <row r="15" spans="1:25" ht="18.600000000000001" customHeight="1">
      <c r="A15" s="651" t="s">
        <v>462</v>
      </c>
      <c r="B15" s="652"/>
      <c r="C15" s="652"/>
      <c r="D15" s="652"/>
      <c r="E15" s="261">
        <v>22391.33</v>
      </c>
      <c r="F15" s="262"/>
    </row>
    <row r="16" spans="1:25" ht="18.600000000000001" customHeight="1">
      <c r="A16" s="670" t="s">
        <v>494</v>
      </c>
      <c r="B16" s="671"/>
      <c r="C16" s="671"/>
      <c r="D16" s="671"/>
      <c r="E16" s="261">
        <v>23212.43</v>
      </c>
      <c r="F16" s="262"/>
    </row>
    <row r="17" spans="1:7" ht="18.600000000000001" customHeight="1">
      <c r="A17" s="689" t="s">
        <v>501</v>
      </c>
      <c r="B17" s="690"/>
      <c r="C17" s="690"/>
      <c r="D17" s="690"/>
      <c r="E17" s="261">
        <v>23214.400000000001</v>
      </c>
      <c r="F17" s="262"/>
    </row>
    <row r="18" spans="1:7" ht="18.600000000000001" customHeight="1">
      <c r="A18" s="725" t="s">
        <v>515</v>
      </c>
      <c r="B18" s="726"/>
      <c r="C18" s="726"/>
      <c r="D18" s="726"/>
      <c r="E18" s="261">
        <v>21031.3</v>
      </c>
      <c r="F18" s="262"/>
    </row>
    <row r="19" spans="1:7" ht="18.600000000000001" customHeight="1">
      <c r="A19" s="743" t="s">
        <v>520</v>
      </c>
      <c r="B19" s="744"/>
      <c r="C19" s="744"/>
      <c r="D19" s="744"/>
      <c r="E19" s="261">
        <v>9248.25</v>
      </c>
      <c r="F19" s="262"/>
      <c r="G19" s="765" t="str">
        <f>"+1"</f>
        <v>+1</v>
      </c>
    </row>
    <row r="20" spans="1:7" ht="18.600000000000001" customHeight="1">
      <c r="A20" s="773" t="s">
        <v>537</v>
      </c>
      <c r="B20" s="774"/>
      <c r="C20" s="774"/>
      <c r="D20" s="774"/>
      <c r="E20" s="261">
        <f>1057.12-1</f>
        <v>1056.1199999999999</v>
      </c>
      <c r="F20" s="262"/>
      <c r="G20" s="785" t="str">
        <f>"-1"</f>
        <v>-1</v>
      </c>
    </row>
    <row r="21" spans="1:7" ht="18.600000000000001" customHeight="1">
      <c r="A21" s="793" t="s">
        <v>567</v>
      </c>
      <c r="B21" s="794"/>
      <c r="C21" s="794"/>
      <c r="D21" s="794"/>
      <c r="E21" s="261">
        <v>642.84</v>
      </c>
      <c r="F21" s="262"/>
      <c r="G21" s="785"/>
    </row>
    <row r="22" spans="1:7" ht="18.600000000000001" customHeight="1">
      <c r="A22" s="811" t="s">
        <v>577</v>
      </c>
      <c r="B22" s="812"/>
      <c r="C22" s="812"/>
      <c r="D22" s="812"/>
      <c r="E22" s="261">
        <v>620.20000000000005</v>
      </c>
      <c r="F22" s="262"/>
      <c r="G22" s="785"/>
    </row>
    <row r="23" spans="1:7" ht="18.600000000000001" customHeight="1">
      <c r="A23" s="874" t="s">
        <v>625</v>
      </c>
      <c r="B23" s="875"/>
      <c r="C23" s="875"/>
      <c r="D23" s="875"/>
      <c r="E23" s="261">
        <v>642.95000000000005</v>
      </c>
      <c r="F23" s="262"/>
      <c r="G23" s="785"/>
    </row>
    <row r="24" spans="1:7" ht="18.600000000000001" customHeight="1">
      <c r="A24" s="895" t="s">
        <v>638</v>
      </c>
      <c r="B24" s="896"/>
      <c r="C24" s="896"/>
      <c r="D24" s="896"/>
      <c r="E24" s="261">
        <v>643</v>
      </c>
      <c r="F24" s="262"/>
      <c r="G24" s="785"/>
    </row>
    <row r="25" spans="1:7" ht="18.600000000000001" customHeight="1">
      <c r="A25" s="904" t="s">
        <v>647</v>
      </c>
      <c r="B25" s="905"/>
      <c r="C25" s="905"/>
      <c r="D25" s="905"/>
      <c r="E25" s="261">
        <v>620.36</v>
      </c>
      <c r="F25" s="262"/>
      <c r="G25" s="785"/>
    </row>
    <row r="26" spans="1:7" ht="18.600000000000001" customHeight="1">
      <c r="A26" s="924" t="s">
        <v>655</v>
      </c>
      <c r="B26" s="925"/>
      <c r="C26" s="925"/>
      <c r="D26" s="925"/>
      <c r="E26" s="261">
        <v>643.11</v>
      </c>
      <c r="F26" s="262"/>
      <c r="G26" s="785"/>
    </row>
    <row r="27" spans="1:7" ht="18.600000000000001" customHeight="1">
      <c r="A27" s="948" t="s">
        <v>665</v>
      </c>
      <c r="B27" s="949"/>
      <c r="C27" s="949"/>
      <c r="D27" s="949"/>
      <c r="E27" s="261">
        <v>1276.46</v>
      </c>
      <c r="F27" s="262"/>
      <c r="G27" s="785"/>
    </row>
    <row r="28" spans="1:7" ht="18.600000000000001" customHeight="1">
      <c r="A28" s="966" t="s">
        <v>677</v>
      </c>
      <c r="B28" s="967"/>
      <c r="C28" s="967"/>
      <c r="D28" s="967"/>
      <c r="E28" s="261">
        <v>2909.93</v>
      </c>
      <c r="F28" s="262"/>
      <c r="G28" s="785"/>
    </row>
    <row r="29" spans="1:7" ht="18.600000000000001" customHeight="1">
      <c r="A29" s="989" t="s">
        <v>687</v>
      </c>
      <c r="B29" s="990"/>
      <c r="C29" s="990"/>
      <c r="D29" s="990"/>
      <c r="E29" s="261">
        <v>2910.18</v>
      </c>
      <c r="F29" s="262"/>
      <c r="G29" s="785"/>
    </row>
    <row r="30" spans="1:7" ht="18.600000000000001" customHeight="1">
      <c r="A30" s="1011" t="s">
        <v>720</v>
      </c>
      <c r="B30" s="1012"/>
      <c r="C30" s="1012"/>
      <c r="D30" s="1012"/>
      <c r="E30" s="261">
        <v>2636.5</v>
      </c>
      <c r="F30" s="262"/>
      <c r="G30" s="785"/>
    </row>
    <row r="31" spans="1:7" ht="18.600000000000001" customHeight="1">
      <c r="A31" s="1032" t="s">
        <v>729</v>
      </c>
      <c r="B31" s="1033"/>
      <c r="C31" s="1033"/>
      <c r="D31" s="1033"/>
      <c r="E31" s="261">
        <v>2910.65</v>
      </c>
      <c r="F31" s="262"/>
      <c r="G31" s="785"/>
    </row>
    <row r="32" spans="1:7" ht="18.600000000000001" customHeight="1">
      <c r="A32" s="1069" t="s">
        <v>748</v>
      </c>
      <c r="B32" s="1070"/>
      <c r="C32" s="1070"/>
      <c r="D32" s="1070"/>
      <c r="E32" s="261">
        <v>2808.16</v>
      </c>
      <c r="F32" s="262"/>
      <c r="G32" s="785"/>
    </row>
    <row r="33" spans="1:33" ht="18.600000000000001" customHeight="1">
      <c r="A33" s="1090" t="str">
        <f>+'Anexo 22 Municipio Manizales'!A34</f>
        <v>Rendimientos financieros AL 31 DE MAYO DE 2023</v>
      </c>
      <c r="B33" s="1091"/>
      <c r="C33" s="1091"/>
      <c r="D33" s="1091"/>
      <c r="E33" s="261">
        <v>2911.14</v>
      </c>
      <c r="F33" s="262"/>
      <c r="G33" s="785">
        <f>+SUM(E4:E33)</f>
        <v>187387.69999999995</v>
      </c>
    </row>
    <row r="34" spans="1:33" ht="18.600000000000001" customHeight="1">
      <c r="A34" s="1100" t="str">
        <f>+'Anexo 22 Municipio Manizales'!A35</f>
        <v>Rendimientos financieros AL 30 DE JUNIO DE 2023</v>
      </c>
      <c r="B34" s="1101"/>
      <c r="C34" s="1101"/>
      <c r="D34" s="1101"/>
      <c r="E34" s="261">
        <v>2808.63</v>
      </c>
      <c r="F34" s="262"/>
      <c r="G34" s="785"/>
    </row>
    <row r="35" spans="1:33" ht="18.600000000000001" customHeight="1">
      <c r="A35" s="1128" t="str">
        <f>+'Anexo 22 Municipio Manizales'!A36</f>
        <v>Rendimientos financieros AL 31 DE JULIO DE 2023</v>
      </c>
      <c r="B35" s="1129"/>
      <c r="C35" s="1129"/>
      <c r="D35" s="1129"/>
      <c r="E35" s="261">
        <v>2911.62</v>
      </c>
      <c r="F35" s="262"/>
      <c r="G35" s="785"/>
    </row>
    <row r="36" spans="1:33" s="5" customFormat="1" ht="18.600000000000001" customHeight="1">
      <c r="A36" s="268"/>
      <c r="B36" s="269"/>
      <c r="C36" s="269"/>
      <c r="D36" s="269"/>
      <c r="E36" s="263"/>
      <c r="F36" s="264"/>
      <c r="G36" s="776" t="s">
        <v>535</v>
      </c>
      <c r="H36" s="775" t="s">
        <v>536</v>
      </c>
      <c r="I36" s="775" t="s">
        <v>516</v>
      </c>
      <c r="J36" s="742" t="s">
        <v>65</v>
      </c>
      <c r="Z36" s="6"/>
      <c r="AA36" s="6"/>
      <c r="AB36" s="6"/>
      <c r="AC36" s="6"/>
      <c r="AD36" s="6"/>
      <c r="AE36" s="6"/>
      <c r="AF36" s="6"/>
      <c r="AG36" s="6"/>
    </row>
    <row r="37" spans="1:33" s="5" customFormat="1" ht="24.75" customHeight="1" thickBot="1">
      <c r="A37" s="14" t="str">
        <f>+'Anexo 22 Municipio Manizales'!A38</f>
        <v>TOTAL RENDIMIENTOS DISPONIBLES AL 31 DE JULIO DE 2023</v>
      </c>
      <c r="B37" s="15"/>
      <c r="C37" s="15"/>
      <c r="D37" s="15"/>
      <c r="E37" s="265"/>
      <c r="F37" s="266">
        <f>SUM(E9:E36)</f>
        <v>193107.94999999995</v>
      </c>
      <c r="G37" s="5">
        <f>+F37+'Anexo 3-Porcion C-NC'!B33</f>
        <v>34257358.950000003</v>
      </c>
      <c r="H37" s="741">
        <f>+G37-F37</f>
        <v>34064251</v>
      </c>
      <c r="I37" s="5">
        <f>-'Anexo 3-Porcion C-NC'!B33</f>
        <v>-34064251</v>
      </c>
      <c r="J37" s="5">
        <f>+H37+I37</f>
        <v>0</v>
      </c>
      <c r="Z37" s="6"/>
      <c r="AA37" s="6"/>
      <c r="AB37" s="6"/>
      <c r="AC37" s="6"/>
      <c r="AD37" s="6"/>
      <c r="AE37" s="6"/>
      <c r="AF37" s="6"/>
      <c r="AG37" s="6"/>
    </row>
    <row r="38" spans="1:33" s="20" customFormat="1" ht="15.75">
      <c r="A38" s="6"/>
      <c r="B38" s="6"/>
      <c r="C38" s="16"/>
      <c r="D38" s="17"/>
      <c r="E38" s="18"/>
      <c r="F38" s="19"/>
      <c r="G38" s="5"/>
      <c r="H38" s="5">
        <f>+SUM(E10:E30)</f>
        <v>178757.74999999994</v>
      </c>
      <c r="I38" s="5">
        <f>+'Anexo 3-Porcion C-NC'!B62</f>
        <v>190196.33</v>
      </c>
      <c r="J38" s="5">
        <f>+H38-I38</f>
        <v>-11438.580000000045</v>
      </c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33" s="20" customFormat="1" ht="15.75">
      <c r="A39" s="6"/>
      <c r="B39" s="6"/>
      <c r="C39" s="16"/>
      <c r="D39" s="17"/>
      <c r="E39" s="21"/>
      <c r="F39" s="19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33" s="20" customFormat="1" ht="15.75">
      <c r="A40" s="6"/>
      <c r="B40" s="6"/>
      <c r="C40" s="16"/>
      <c r="D40" s="17"/>
      <c r="E40" s="22"/>
      <c r="F40" s="19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spans="1:33" s="20" customFormat="1" ht="15.75">
      <c r="A41" s="6"/>
      <c r="B41" s="6"/>
      <c r="C41" s="16"/>
      <c r="D41" s="17"/>
      <c r="E41" s="22"/>
      <c r="F41" s="19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</row>
    <row r="42" spans="1:33" s="5" customFormat="1" ht="16.5" thickBot="1">
      <c r="A42" s="23"/>
      <c r="B42" s="24"/>
      <c r="C42" s="25"/>
      <c r="D42" s="131"/>
      <c r="E42" s="132"/>
      <c r="F42" s="133"/>
    </row>
    <row r="43" spans="1:33" s="5" customFormat="1" ht="15" customHeight="1">
      <c r="A43" s="1336" t="s">
        <v>135</v>
      </c>
      <c r="B43" s="1336"/>
      <c r="C43" s="1"/>
      <c r="D43" s="1336" t="s">
        <v>517</v>
      </c>
      <c r="E43" s="1336"/>
      <c r="F43" s="312"/>
    </row>
    <row r="44" spans="1:33" s="5" customFormat="1" ht="14.45" customHeight="1">
      <c r="A44" s="1332" t="s">
        <v>145</v>
      </c>
      <c r="B44" s="1332"/>
      <c r="C44" s="2"/>
      <c r="D44" s="1332" t="s">
        <v>519</v>
      </c>
      <c r="E44" s="1332"/>
      <c r="F44" s="313"/>
    </row>
    <row r="45" spans="1:33" s="5" customFormat="1" ht="15.75" customHeight="1">
      <c r="A45" s="1332" t="s">
        <v>48</v>
      </c>
      <c r="B45" s="1332"/>
      <c r="C45" s="2"/>
      <c r="D45" s="1332" t="s">
        <v>48</v>
      </c>
      <c r="E45" s="1332"/>
      <c r="F45" s="313"/>
    </row>
    <row r="46" spans="1:33" s="20" customFormat="1" ht="15.75" customHeight="1">
      <c r="A46" s="6"/>
      <c r="B46" s="6"/>
      <c r="C46" s="16"/>
      <c r="D46" s="1335" t="s">
        <v>518</v>
      </c>
      <c r="E46" s="1335"/>
      <c r="F46" s="313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</row>
    <row r="47" spans="1:33" s="20" customFormat="1" ht="15.75">
      <c r="A47" s="6"/>
      <c r="B47" s="6"/>
      <c r="C47" s="16"/>
      <c r="D47" s="17"/>
      <c r="E47" s="22"/>
      <c r="F47" s="19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</row>
    <row r="48" spans="1:33" s="20" customFormat="1" ht="15.75">
      <c r="A48" s="6"/>
      <c r="B48" s="6"/>
      <c r="C48" s="16"/>
      <c r="D48" s="17"/>
      <c r="E48" s="22"/>
      <c r="F48" s="19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</row>
    <row r="49" spans="1:25" s="20" customFormat="1" ht="15.75">
      <c r="A49" s="27"/>
      <c r="B49" s="27"/>
      <c r="C49" s="27"/>
      <c r="D49" s="27"/>
      <c r="E49" s="27"/>
      <c r="F49" s="19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</row>
    <row r="50" spans="1:25" s="5" customFormat="1" ht="15.75">
      <c r="A50" s="27"/>
      <c r="B50" s="27"/>
      <c r="C50" s="27"/>
      <c r="D50" s="27"/>
      <c r="E50" s="27"/>
      <c r="F50" s="26"/>
    </row>
    <row r="51" spans="1:25" s="5" customFormat="1" ht="15" customHeight="1">
      <c r="A51" s="27"/>
      <c r="B51" s="27"/>
      <c r="C51" s="27"/>
      <c r="D51" s="27"/>
      <c r="E51" s="27"/>
      <c r="F51" s="26"/>
    </row>
    <row r="52" spans="1:25" s="5" customFormat="1" ht="14.45" customHeight="1">
      <c r="A52" s="27"/>
      <c r="B52" s="27"/>
      <c r="C52" s="27"/>
      <c r="D52" s="27"/>
      <c r="E52" s="27"/>
      <c r="F52" s="26"/>
    </row>
    <row r="53" spans="1:25" s="5" customFormat="1" ht="14.45" customHeight="1">
      <c r="A53" s="27"/>
      <c r="B53" s="27"/>
      <c r="C53" s="27"/>
      <c r="D53" s="27"/>
      <c r="E53" s="27"/>
      <c r="F53" s="26"/>
    </row>
    <row r="54" spans="1:25" s="20" customFormat="1" ht="15.75">
      <c r="A54" s="27"/>
      <c r="B54" s="27"/>
      <c r="C54" s="27"/>
      <c r="D54" s="27"/>
      <c r="E54" s="27"/>
      <c r="F54" s="19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</row>
    <row r="55" spans="1:25" s="20" customFormat="1" ht="15.75">
      <c r="A55" s="6"/>
      <c r="B55" s="6"/>
      <c r="C55" s="16"/>
      <c r="D55" s="17"/>
      <c r="E55" s="6"/>
      <c r="F55" s="19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</row>
    <row r="56" spans="1:25" s="20" customFormat="1" ht="15.75">
      <c r="A56" s="6"/>
      <c r="B56" s="6"/>
      <c r="C56" s="16"/>
      <c r="D56" s="17"/>
      <c r="E56" s="6"/>
      <c r="F56" s="19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</row>
    <row r="57" spans="1:25" s="20" customFormat="1" ht="15.75">
      <c r="A57" s="6"/>
      <c r="B57" s="6"/>
      <c r="C57" s="16"/>
      <c r="D57" s="17"/>
      <c r="E57" s="6"/>
      <c r="F57" s="19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</row>
    <row r="58" spans="1:25" s="20" customFormat="1" ht="15.75">
      <c r="A58" s="6"/>
      <c r="B58" s="6"/>
      <c r="C58" s="16"/>
      <c r="D58" s="17"/>
      <c r="E58" s="6"/>
      <c r="F58" s="19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</row>
    <row r="59" spans="1:25" s="20" customFormat="1" ht="15.75">
      <c r="A59" s="6"/>
      <c r="B59" s="6"/>
      <c r="C59" s="16"/>
      <c r="D59" s="17"/>
      <c r="E59" s="6"/>
      <c r="F59" s="19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</row>
    <row r="60" spans="1:25" s="20" customFormat="1" ht="15.75">
      <c r="A60" s="6"/>
      <c r="B60" s="6"/>
      <c r="C60" s="16"/>
      <c r="D60" s="17"/>
      <c r="E60" s="6"/>
      <c r="F60" s="19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</row>
    <row r="61" spans="1:25" s="20" customFormat="1" ht="15.75">
      <c r="A61" s="6"/>
      <c r="B61" s="6"/>
      <c r="C61" s="16"/>
      <c r="D61" s="17"/>
      <c r="E61" s="6"/>
      <c r="F61" s="19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</row>
    <row r="62" spans="1:25" s="20" customFormat="1" ht="15.75">
      <c r="A62" s="6"/>
      <c r="B62" s="6"/>
      <c r="C62" s="16"/>
      <c r="D62" s="17"/>
      <c r="E62" s="6"/>
      <c r="F62" s="19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</row>
    <row r="63" spans="1:25" s="20" customFormat="1" ht="15.75">
      <c r="A63" s="6"/>
      <c r="B63" s="6"/>
      <c r="C63" s="16"/>
      <c r="D63" s="17"/>
      <c r="E63" s="6"/>
      <c r="F63" s="19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</row>
    <row r="64" spans="1:25" s="20" customFormat="1" ht="15.75">
      <c r="A64" s="6"/>
      <c r="B64" s="6"/>
      <c r="C64" s="16"/>
      <c r="D64" s="17"/>
      <c r="E64" s="6"/>
      <c r="F64" s="19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</row>
    <row r="65" spans="1:25" s="20" customFormat="1" ht="15.75">
      <c r="A65" s="6"/>
      <c r="B65" s="6"/>
      <c r="C65" s="16"/>
      <c r="D65" s="17"/>
      <c r="E65" s="6"/>
      <c r="F65" s="19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</row>
    <row r="66" spans="1:25" s="20" customFormat="1" ht="15.75">
      <c r="A66" s="6"/>
      <c r="B66" s="6"/>
      <c r="C66" s="16"/>
      <c r="D66" s="17"/>
      <c r="E66" s="6"/>
      <c r="F66" s="19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</row>
    <row r="67" spans="1:25" s="20" customFormat="1" ht="15.75">
      <c r="A67" s="6"/>
      <c r="B67" s="6"/>
      <c r="C67" s="16"/>
      <c r="D67" s="17"/>
      <c r="E67" s="6"/>
      <c r="F67" s="19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</row>
    <row r="68" spans="1:25" s="20" customFormat="1" ht="15.75">
      <c r="A68" s="6"/>
      <c r="B68" s="6"/>
      <c r="C68" s="16"/>
      <c r="D68" s="17"/>
      <c r="E68" s="6"/>
      <c r="F68" s="19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</row>
    <row r="69" spans="1:25" s="20" customFormat="1" ht="15.75">
      <c r="A69" s="6"/>
      <c r="B69" s="6"/>
      <c r="C69" s="16"/>
      <c r="D69" s="17"/>
      <c r="E69" s="6"/>
      <c r="F69" s="19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</row>
    <row r="70" spans="1:25" s="20" customFormat="1" ht="15.75">
      <c r="A70" s="6"/>
      <c r="B70" s="6"/>
      <c r="C70" s="16"/>
      <c r="D70" s="17"/>
      <c r="E70" s="6"/>
      <c r="F70" s="19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</row>
    <row r="71" spans="1:25" s="20" customFormat="1" ht="15.75">
      <c r="A71" s="6"/>
      <c r="B71" s="6"/>
      <c r="C71" s="16"/>
      <c r="D71" s="17"/>
      <c r="E71" s="6"/>
      <c r="F71" s="19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</row>
    <row r="72" spans="1:25" s="20" customFormat="1" ht="15.75">
      <c r="A72" s="6"/>
      <c r="B72" s="6"/>
      <c r="C72" s="16"/>
      <c r="D72" s="17"/>
      <c r="E72" s="6"/>
      <c r="F72" s="19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</row>
    <row r="73" spans="1:25" s="20" customFormat="1" ht="15.75">
      <c r="A73" s="6"/>
      <c r="B73" s="6"/>
      <c r="C73" s="16"/>
      <c r="D73" s="17"/>
      <c r="E73" s="6"/>
      <c r="F73" s="19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</row>
    <row r="74" spans="1:25" s="20" customFormat="1" ht="89.25" customHeight="1">
      <c r="A74" s="6"/>
      <c r="B74" s="6"/>
      <c r="C74" s="16"/>
      <c r="D74" s="17"/>
      <c r="E74" s="6"/>
      <c r="F74" s="19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</row>
    <row r="75" spans="1:25" s="20" customFormat="1" ht="89.25" customHeight="1">
      <c r="A75" s="6"/>
      <c r="B75" s="6"/>
      <c r="C75" s="16"/>
      <c r="D75" s="17"/>
      <c r="E75" s="6"/>
      <c r="F75" s="19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</row>
    <row r="76" spans="1:25" s="20" customFormat="1" ht="89.25" customHeight="1">
      <c r="A76" s="6"/>
      <c r="B76" s="6"/>
      <c r="C76" s="16"/>
      <c r="D76" s="17"/>
      <c r="E76" s="6"/>
      <c r="F76" s="19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</row>
    <row r="77" spans="1:25" s="20" customFormat="1" ht="89.25" customHeight="1">
      <c r="A77" s="6"/>
      <c r="B77" s="6"/>
      <c r="C77" s="16"/>
      <c r="D77" s="17"/>
      <c r="E77" s="6"/>
      <c r="F77" s="19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</row>
    <row r="78" spans="1:25" s="20" customFormat="1" ht="89.25" customHeight="1">
      <c r="A78" s="6"/>
      <c r="B78" s="6"/>
      <c r="C78" s="16"/>
      <c r="D78" s="17"/>
      <c r="E78" s="6"/>
      <c r="F78" s="19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</row>
    <row r="79" spans="1:25" s="20" customFormat="1" ht="89.25" customHeight="1">
      <c r="A79" s="6"/>
      <c r="B79" s="6"/>
      <c r="C79" s="16"/>
      <c r="D79" s="17"/>
      <c r="E79" s="6"/>
      <c r="F79" s="19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</row>
    <row r="80" spans="1:25" s="20" customFormat="1" ht="89.25" customHeight="1">
      <c r="A80" s="6"/>
      <c r="B80" s="6"/>
      <c r="C80" s="16"/>
      <c r="D80" s="17"/>
      <c r="E80" s="6"/>
      <c r="F80" s="19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</row>
    <row r="81" spans="1:25" s="20" customFormat="1" ht="89.25" customHeight="1">
      <c r="A81" s="6"/>
      <c r="B81" s="6"/>
      <c r="C81" s="16"/>
      <c r="D81" s="17"/>
      <c r="E81" s="6"/>
      <c r="F81" s="19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</row>
    <row r="82" spans="1:25" s="20" customFormat="1" ht="89.25" customHeight="1">
      <c r="A82" s="6"/>
      <c r="B82" s="6"/>
      <c r="C82" s="16"/>
      <c r="D82" s="17"/>
      <c r="E82" s="6"/>
      <c r="F82" s="19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</row>
    <row r="83" spans="1:25" s="20" customFormat="1" ht="89.25" customHeight="1">
      <c r="A83" s="6"/>
      <c r="B83" s="6"/>
      <c r="C83" s="16"/>
      <c r="D83" s="17"/>
      <c r="E83" s="6"/>
      <c r="F83" s="19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</row>
    <row r="84" spans="1:25" s="20" customFormat="1" ht="89.25" customHeight="1">
      <c r="A84" s="6"/>
      <c r="B84" s="6"/>
      <c r="C84" s="16"/>
      <c r="D84" s="17"/>
      <c r="E84" s="6"/>
      <c r="F84" s="19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</row>
    <row r="85" spans="1:25" s="20" customFormat="1" ht="89.25" customHeight="1">
      <c r="A85" s="6"/>
      <c r="B85" s="6"/>
      <c r="C85" s="16"/>
      <c r="D85" s="17"/>
      <c r="E85" s="6"/>
      <c r="F85" s="19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</row>
    <row r="86" spans="1:25" s="20" customFormat="1" ht="89.25" customHeight="1">
      <c r="A86" s="6"/>
      <c r="B86" s="6"/>
      <c r="C86" s="16"/>
      <c r="D86" s="17"/>
      <c r="E86" s="6"/>
      <c r="F86" s="19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</row>
    <row r="87" spans="1:25" s="20" customFormat="1" ht="89.25" customHeight="1">
      <c r="A87" s="6"/>
      <c r="B87" s="6"/>
      <c r="C87" s="16"/>
      <c r="D87" s="17"/>
      <c r="E87" s="6"/>
      <c r="F87" s="19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</row>
    <row r="88" spans="1:25" s="20" customFormat="1" ht="89.25" customHeight="1">
      <c r="A88" s="6"/>
      <c r="B88" s="6"/>
      <c r="C88" s="16"/>
      <c r="D88" s="17"/>
      <c r="E88" s="6"/>
      <c r="F88" s="19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</row>
    <row r="89" spans="1:25" s="20" customFormat="1" ht="89.25" customHeight="1">
      <c r="A89" s="6"/>
      <c r="B89" s="6"/>
      <c r="C89" s="16"/>
      <c r="D89" s="17"/>
      <c r="E89" s="6"/>
      <c r="F89" s="19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</row>
    <row r="90" spans="1:25" s="20" customFormat="1" ht="89.25" customHeight="1">
      <c r="A90" s="6"/>
      <c r="B90" s="6"/>
      <c r="C90" s="16"/>
      <c r="D90" s="17"/>
      <c r="E90" s="6"/>
      <c r="F90" s="19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</row>
    <row r="91" spans="1:25" s="20" customFormat="1" ht="89.25" customHeight="1">
      <c r="A91" s="6"/>
      <c r="B91" s="6"/>
      <c r="C91" s="16"/>
      <c r="D91" s="17"/>
      <c r="E91" s="6"/>
      <c r="F91" s="19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</row>
    <row r="92" spans="1:25" s="20" customFormat="1" ht="89.25" customHeight="1">
      <c r="A92" s="6"/>
      <c r="B92" s="6"/>
      <c r="C92" s="16"/>
      <c r="D92" s="17"/>
      <c r="E92" s="6"/>
      <c r="F92" s="19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</row>
    <row r="93" spans="1:25" s="20" customFormat="1" ht="89.25" customHeight="1">
      <c r="A93" s="6"/>
      <c r="B93" s="6"/>
      <c r="C93" s="16"/>
      <c r="D93" s="17"/>
      <c r="E93" s="6"/>
      <c r="F93" s="19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</row>
    <row r="94" spans="1:25" s="20" customFormat="1" ht="89.25" customHeight="1">
      <c r="A94" s="6"/>
      <c r="B94" s="6"/>
      <c r="C94" s="16"/>
      <c r="D94" s="17"/>
      <c r="E94" s="6"/>
      <c r="F94" s="19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</row>
    <row r="95" spans="1:25" s="20" customFormat="1" ht="89.25" customHeight="1">
      <c r="A95" s="6"/>
      <c r="B95" s="6"/>
      <c r="C95" s="16"/>
      <c r="D95" s="17"/>
      <c r="E95" s="6"/>
      <c r="F95" s="19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</row>
    <row r="96" spans="1:25" s="20" customFormat="1" ht="89.25" customHeight="1">
      <c r="A96" s="6"/>
      <c r="B96" s="6"/>
      <c r="C96" s="16"/>
      <c r="D96" s="17"/>
      <c r="E96" s="6"/>
      <c r="F96" s="19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</row>
    <row r="97" spans="1:25" s="20" customFormat="1" ht="89.25" customHeight="1">
      <c r="A97" s="6"/>
      <c r="B97" s="6"/>
      <c r="C97" s="16"/>
      <c r="D97" s="17"/>
      <c r="E97" s="6"/>
      <c r="F97" s="19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</row>
    <row r="98" spans="1:25" s="20" customFormat="1" ht="89.25" customHeight="1">
      <c r="A98" s="6"/>
      <c r="B98" s="6"/>
      <c r="C98" s="16"/>
      <c r="D98" s="17"/>
      <c r="E98" s="6"/>
      <c r="F98" s="19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</row>
    <row r="99" spans="1:25" s="20" customFormat="1" ht="89.25" customHeight="1">
      <c r="A99" s="6"/>
      <c r="B99" s="6"/>
      <c r="C99" s="16"/>
      <c r="D99" s="17"/>
      <c r="E99" s="6"/>
      <c r="F99" s="19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</row>
    <row r="100" spans="1:25" s="20" customFormat="1" ht="89.25" customHeight="1">
      <c r="A100" s="6"/>
      <c r="B100" s="6"/>
      <c r="C100" s="16"/>
      <c r="D100" s="17"/>
      <c r="E100" s="6"/>
      <c r="F100" s="19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</row>
    <row r="101" spans="1:25" s="20" customFormat="1" ht="89.25" customHeight="1">
      <c r="A101" s="6"/>
      <c r="B101" s="6"/>
      <c r="C101" s="16"/>
      <c r="D101" s="17"/>
      <c r="E101" s="6"/>
      <c r="F101" s="19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</row>
    <row r="102" spans="1:25" s="20" customFormat="1" ht="89.25" customHeight="1">
      <c r="A102" s="6"/>
      <c r="B102" s="6"/>
      <c r="C102" s="16"/>
      <c r="D102" s="17"/>
      <c r="E102" s="6"/>
      <c r="F102" s="19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</row>
    <row r="103" spans="1:25" s="20" customFormat="1" ht="89.25" customHeight="1">
      <c r="A103" s="6"/>
      <c r="B103" s="6"/>
      <c r="C103" s="16"/>
      <c r="D103" s="17"/>
      <c r="E103" s="6"/>
      <c r="F103" s="19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</row>
    <row r="104" spans="1:25" s="20" customFormat="1" ht="89.25" customHeight="1">
      <c r="A104" s="6"/>
      <c r="B104" s="6"/>
      <c r="C104" s="16"/>
      <c r="D104" s="17"/>
      <c r="E104" s="6"/>
      <c r="F104" s="19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</row>
    <row r="105" spans="1:25" s="20" customFormat="1" ht="89.25" customHeight="1">
      <c r="A105" s="6"/>
      <c r="B105" s="6"/>
      <c r="C105" s="16"/>
      <c r="D105" s="17"/>
      <c r="E105" s="6"/>
      <c r="F105" s="19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</row>
    <row r="106" spans="1:25" s="20" customFormat="1" ht="89.25" customHeight="1">
      <c r="A106" s="6"/>
      <c r="B106" s="6"/>
      <c r="C106" s="16"/>
      <c r="D106" s="17"/>
      <c r="E106" s="6"/>
      <c r="F106" s="19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</row>
    <row r="107" spans="1:25" s="20" customFormat="1" ht="89.25" customHeight="1">
      <c r="A107" s="6"/>
      <c r="B107" s="6"/>
      <c r="C107" s="16"/>
      <c r="D107" s="17"/>
      <c r="E107" s="6"/>
      <c r="F107" s="19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</row>
    <row r="108" spans="1:25" s="20" customFormat="1" ht="89.25" customHeight="1">
      <c r="A108" s="6"/>
      <c r="B108" s="6"/>
      <c r="C108" s="16"/>
      <c r="D108" s="17"/>
      <c r="E108" s="6"/>
      <c r="F108" s="19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</row>
    <row r="109" spans="1:25" s="20" customFormat="1" ht="89.25" customHeight="1">
      <c r="A109" s="6"/>
      <c r="B109" s="6"/>
      <c r="C109" s="16"/>
      <c r="D109" s="17"/>
      <c r="E109" s="6"/>
      <c r="F109" s="19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</row>
    <row r="110" spans="1:25" s="20" customFormat="1" ht="89.25" customHeight="1">
      <c r="A110" s="6"/>
      <c r="B110" s="6"/>
      <c r="C110" s="16"/>
      <c r="D110" s="17"/>
      <c r="E110" s="6"/>
      <c r="F110" s="19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</row>
    <row r="111" spans="1:25" s="20" customFormat="1" ht="89.25" customHeight="1">
      <c r="A111" s="6"/>
      <c r="B111" s="6"/>
      <c r="C111" s="16"/>
      <c r="D111" s="17"/>
      <c r="E111" s="6"/>
      <c r="F111" s="19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</row>
    <row r="112" spans="1:25" s="20" customFormat="1" ht="89.25" customHeight="1">
      <c r="A112" s="6"/>
      <c r="B112" s="6"/>
      <c r="C112" s="16"/>
      <c r="D112" s="17"/>
      <c r="E112" s="6"/>
      <c r="F112" s="19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</row>
    <row r="113" spans="1:25" s="20" customFormat="1" ht="89.25" customHeight="1">
      <c r="A113" s="6"/>
      <c r="B113" s="6"/>
      <c r="C113" s="16"/>
      <c r="D113" s="17"/>
      <c r="E113" s="6"/>
      <c r="F113" s="19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</row>
    <row r="114" spans="1:25" s="20" customFormat="1" ht="89.25" customHeight="1">
      <c r="A114" s="6"/>
      <c r="B114" s="6"/>
      <c r="C114" s="16"/>
      <c r="D114" s="17"/>
      <c r="E114" s="6"/>
      <c r="F114" s="19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</row>
    <row r="115" spans="1:25" s="20" customFormat="1" ht="89.25" customHeight="1">
      <c r="A115" s="6"/>
      <c r="B115" s="6"/>
      <c r="C115" s="16"/>
      <c r="D115" s="17"/>
      <c r="E115" s="6"/>
      <c r="F115" s="19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</row>
    <row r="116" spans="1:25" s="20" customFormat="1" ht="89.25" customHeight="1">
      <c r="A116" s="6"/>
      <c r="B116" s="6"/>
      <c r="C116" s="16"/>
      <c r="D116" s="17"/>
      <c r="E116" s="6"/>
      <c r="F116" s="19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</row>
    <row r="117" spans="1:25" s="20" customFormat="1" ht="89.25" customHeight="1">
      <c r="A117" s="6"/>
      <c r="B117" s="6"/>
      <c r="C117" s="16"/>
      <c r="D117" s="17"/>
      <c r="E117" s="6"/>
      <c r="F117" s="19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</row>
    <row r="118" spans="1:25" s="20" customFormat="1" ht="89.25" customHeight="1">
      <c r="A118" s="6"/>
      <c r="B118" s="6"/>
      <c r="C118" s="16"/>
      <c r="D118" s="17"/>
      <c r="E118" s="6"/>
      <c r="F118" s="19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</row>
    <row r="119" spans="1:25" s="20" customFormat="1" ht="89.25" customHeight="1">
      <c r="A119" s="6"/>
      <c r="B119" s="6"/>
      <c r="C119" s="16"/>
      <c r="D119" s="17"/>
      <c r="E119" s="6"/>
      <c r="F119" s="19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</row>
    <row r="120" spans="1:25" s="20" customFormat="1" ht="89.25" customHeight="1">
      <c r="A120" s="6"/>
      <c r="B120" s="6"/>
      <c r="C120" s="16"/>
      <c r="D120" s="17"/>
      <c r="E120" s="6"/>
      <c r="F120" s="19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</row>
    <row r="121" spans="1:25" s="20" customFormat="1" ht="89.25" customHeight="1">
      <c r="A121" s="6"/>
      <c r="B121" s="6"/>
      <c r="C121" s="16"/>
      <c r="D121" s="17"/>
      <c r="E121" s="6"/>
      <c r="F121" s="19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</row>
    <row r="122" spans="1:25" s="20" customFormat="1" ht="89.25" customHeight="1">
      <c r="A122" s="6"/>
      <c r="B122" s="6"/>
      <c r="C122" s="16"/>
      <c r="D122" s="17"/>
      <c r="E122" s="6"/>
      <c r="F122" s="19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</row>
    <row r="123" spans="1:25" s="20" customFormat="1" ht="89.25" customHeight="1">
      <c r="A123" s="6"/>
      <c r="B123" s="6"/>
      <c r="C123" s="16"/>
      <c r="D123" s="17"/>
      <c r="E123" s="6"/>
      <c r="F123" s="19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</row>
    <row r="124" spans="1:25" s="20" customFormat="1" ht="89.25" customHeight="1">
      <c r="A124" s="6"/>
      <c r="B124" s="6"/>
      <c r="C124" s="16"/>
      <c r="D124" s="17"/>
      <c r="E124" s="6"/>
      <c r="F124" s="19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</row>
    <row r="125" spans="1:25" s="20" customFormat="1" ht="89.25" customHeight="1">
      <c r="A125" s="6"/>
      <c r="B125" s="6"/>
      <c r="C125" s="16"/>
      <c r="D125" s="17"/>
      <c r="E125" s="6"/>
      <c r="F125" s="19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</row>
    <row r="126" spans="1:25" s="20" customFormat="1" ht="89.25" customHeight="1">
      <c r="A126" s="6"/>
      <c r="B126" s="6"/>
      <c r="C126" s="16"/>
      <c r="D126" s="17"/>
      <c r="E126" s="6"/>
      <c r="F126" s="19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</row>
    <row r="127" spans="1:25" s="20" customFormat="1" ht="89.25" customHeight="1">
      <c r="A127" s="6"/>
      <c r="B127" s="6"/>
      <c r="C127" s="16"/>
      <c r="D127" s="17"/>
      <c r="E127" s="6"/>
      <c r="F127" s="19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</row>
    <row r="128" spans="1:25" s="20" customFormat="1" ht="89.25" customHeight="1">
      <c r="A128" s="6"/>
      <c r="B128" s="6"/>
      <c r="C128" s="16"/>
      <c r="D128" s="17"/>
      <c r="E128" s="6"/>
      <c r="F128" s="19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</row>
    <row r="129" spans="1:25" s="20" customFormat="1" ht="89.25" customHeight="1">
      <c r="A129" s="6"/>
      <c r="B129" s="6"/>
      <c r="C129" s="16"/>
      <c r="D129" s="17"/>
      <c r="E129" s="6"/>
      <c r="F129" s="19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</row>
    <row r="130" spans="1:25" s="20" customFormat="1" ht="89.25" customHeight="1">
      <c r="A130" s="6"/>
      <c r="B130" s="6"/>
      <c r="C130" s="16"/>
      <c r="D130" s="17"/>
      <c r="E130" s="6"/>
      <c r="F130" s="19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</row>
    <row r="131" spans="1:25" s="20" customFormat="1" ht="89.25" customHeight="1">
      <c r="A131" s="6"/>
      <c r="B131" s="6"/>
      <c r="C131" s="16"/>
      <c r="D131" s="17"/>
      <c r="E131" s="6"/>
      <c r="F131" s="19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</row>
    <row r="132" spans="1:25" s="20" customFormat="1" ht="89.25" customHeight="1">
      <c r="A132" s="6"/>
      <c r="B132" s="6"/>
      <c r="C132" s="16"/>
      <c r="D132" s="17"/>
      <c r="E132" s="6"/>
      <c r="F132" s="19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</row>
    <row r="133" spans="1:25" s="20" customFormat="1" ht="89.25" customHeight="1">
      <c r="A133" s="6"/>
      <c r="B133" s="6"/>
      <c r="C133" s="16"/>
      <c r="D133" s="17"/>
      <c r="E133" s="6"/>
      <c r="F133" s="19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</row>
    <row r="134" spans="1:25" s="20" customFormat="1" ht="89.25" customHeight="1">
      <c r="A134" s="6"/>
      <c r="B134" s="6"/>
      <c r="C134" s="16"/>
      <c r="D134" s="17"/>
      <c r="E134" s="6"/>
      <c r="F134" s="19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</row>
    <row r="135" spans="1:25" s="20" customFormat="1" ht="89.25" customHeight="1">
      <c r="A135" s="6"/>
      <c r="B135" s="6"/>
      <c r="C135" s="16"/>
      <c r="D135" s="17"/>
      <c r="E135" s="6"/>
      <c r="F135" s="19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</row>
    <row r="136" spans="1:25" s="20" customFormat="1" ht="89.25" customHeight="1">
      <c r="A136" s="6"/>
      <c r="B136" s="6"/>
      <c r="C136" s="16"/>
      <c r="D136" s="17"/>
      <c r="E136" s="6"/>
      <c r="F136" s="19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</row>
    <row r="137" spans="1:25" s="20" customFormat="1" ht="89.25" customHeight="1">
      <c r="A137" s="6"/>
      <c r="B137" s="6"/>
      <c r="C137" s="16"/>
      <c r="D137" s="17"/>
      <c r="E137" s="6"/>
      <c r="F137" s="19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</row>
    <row r="138" spans="1:25" s="20" customFormat="1" ht="89.25" customHeight="1">
      <c r="A138" s="6"/>
      <c r="B138" s="6"/>
      <c r="C138" s="16"/>
      <c r="D138" s="17"/>
      <c r="E138" s="6"/>
      <c r="F138" s="19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</row>
    <row r="139" spans="1:25" s="20" customFormat="1" ht="89.25" customHeight="1">
      <c r="A139" s="6"/>
      <c r="B139" s="6"/>
      <c r="C139" s="16"/>
      <c r="D139" s="17"/>
      <c r="E139" s="6"/>
      <c r="F139" s="19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</row>
    <row r="140" spans="1:25" s="20" customFormat="1" ht="89.25" customHeight="1">
      <c r="A140" s="6"/>
      <c r="B140" s="6"/>
      <c r="C140" s="16"/>
      <c r="D140" s="17"/>
      <c r="E140" s="6"/>
      <c r="F140" s="19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</row>
    <row r="141" spans="1:25" s="20" customFormat="1" ht="89.25" customHeight="1">
      <c r="A141" s="6"/>
      <c r="B141" s="6"/>
      <c r="C141" s="16"/>
      <c r="D141" s="17"/>
      <c r="E141" s="6"/>
      <c r="F141" s="19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</row>
    <row r="142" spans="1:25" s="20" customFormat="1" ht="89.25" customHeight="1">
      <c r="A142" s="6"/>
      <c r="B142" s="6"/>
      <c r="C142" s="16"/>
      <c r="D142" s="17"/>
      <c r="E142" s="6"/>
      <c r="F142" s="19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</row>
    <row r="143" spans="1:25" s="20" customFormat="1" ht="89.25" customHeight="1">
      <c r="A143" s="6"/>
      <c r="B143" s="6"/>
      <c r="C143" s="16"/>
      <c r="D143" s="17"/>
      <c r="E143" s="6"/>
      <c r="F143" s="19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</row>
    <row r="144" spans="1:25" s="20" customFormat="1" ht="89.25" customHeight="1">
      <c r="A144" s="6"/>
      <c r="B144" s="6"/>
      <c r="C144" s="16"/>
      <c r="D144" s="17"/>
      <c r="E144" s="6"/>
      <c r="F144" s="19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</row>
    <row r="145" spans="1:25" s="20" customFormat="1" ht="89.25" customHeight="1">
      <c r="A145" s="6"/>
      <c r="B145" s="6"/>
      <c r="C145" s="16"/>
      <c r="D145" s="17"/>
      <c r="E145" s="6"/>
      <c r="F145" s="19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</row>
    <row r="146" spans="1:25" s="20" customFormat="1" ht="89.25" customHeight="1">
      <c r="A146" s="6"/>
      <c r="B146" s="6"/>
      <c r="C146" s="16"/>
      <c r="D146" s="17"/>
      <c r="E146" s="6"/>
      <c r="F146" s="19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</row>
    <row r="147" spans="1:25" s="20" customFormat="1" ht="89.25" customHeight="1">
      <c r="A147" s="6"/>
      <c r="B147" s="6"/>
      <c r="C147" s="16"/>
      <c r="D147" s="17"/>
      <c r="E147" s="6"/>
      <c r="F147" s="19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</row>
    <row r="148" spans="1:25" s="20" customFormat="1" ht="89.25" customHeight="1">
      <c r="A148" s="6"/>
      <c r="B148" s="6"/>
      <c r="C148" s="16"/>
      <c r="D148" s="17"/>
      <c r="E148" s="6"/>
      <c r="F148" s="19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</row>
    <row r="149" spans="1:25" s="20" customFormat="1" ht="89.25" customHeight="1">
      <c r="A149" s="6"/>
      <c r="B149" s="6"/>
      <c r="C149" s="16"/>
      <c r="D149" s="17"/>
      <c r="E149" s="6"/>
      <c r="F149" s="19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</row>
    <row r="150" spans="1:25" s="20" customFormat="1" ht="89.25" customHeight="1">
      <c r="A150" s="6"/>
      <c r="B150" s="6"/>
      <c r="C150" s="16"/>
      <c r="D150" s="17"/>
      <c r="E150" s="6"/>
      <c r="F150" s="19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</row>
    <row r="151" spans="1:25" s="20" customFormat="1" ht="89.25" customHeight="1">
      <c r="A151" s="6"/>
      <c r="B151" s="6"/>
      <c r="C151" s="16"/>
      <c r="D151" s="17"/>
      <c r="E151" s="6"/>
      <c r="F151" s="19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</row>
    <row r="152" spans="1:25" s="20" customFormat="1" ht="89.25" customHeight="1">
      <c r="A152" s="6"/>
      <c r="B152" s="6"/>
      <c r="C152" s="16"/>
      <c r="D152" s="17"/>
      <c r="E152" s="6"/>
      <c r="F152" s="19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</row>
    <row r="153" spans="1:25" s="20" customFormat="1" ht="89.25" customHeight="1">
      <c r="A153" s="6"/>
      <c r="B153" s="6"/>
      <c r="C153" s="16"/>
      <c r="D153" s="17"/>
      <c r="E153" s="6"/>
      <c r="F153" s="19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</row>
    <row r="154" spans="1:25" s="20" customFormat="1" ht="89.25" customHeight="1">
      <c r="A154" s="6"/>
      <c r="B154" s="6"/>
      <c r="C154" s="16"/>
      <c r="D154" s="17"/>
      <c r="E154" s="6"/>
      <c r="F154" s="19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</row>
    <row r="155" spans="1:25" s="20" customFormat="1" ht="89.25" customHeight="1">
      <c r="A155" s="6"/>
      <c r="B155" s="6"/>
      <c r="C155" s="16"/>
      <c r="D155" s="17"/>
      <c r="E155" s="6"/>
      <c r="F155" s="19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</row>
    <row r="156" spans="1:25" s="20" customFormat="1" ht="89.25" customHeight="1">
      <c r="A156" s="6"/>
      <c r="B156" s="6"/>
      <c r="C156" s="16"/>
      <c r="D156" s="17"/>
      <c r="E156" s="6"/>
      <c r="F156" s="19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</row>
    <row r="157" spans="1:25" s="20" customFormat="1" ht="89.25" customHeight="1">
      <c r="A157" s="6"/>
      <c r="B157" s="6"/>
      <c r="C157" s="16"/>
      <c r="D157" s="17"/>
      <c r="E157" s="6"/>
      <c r="F157" s="19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</row>
    <row r="158" spans="1:25" s="20" customFormat="1" ht="89.25" customHeight="1">
      <c r="A158" s="6"/>
      <c r="B158" s="6"/>
      <c r="C158" s="16"/>
      <c r="D158" s="17"/>
      <c r="E158" s="6"/>
      <c r="F158" s="19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</row>
    <row r="159" spans="1:25" s="20" customFormat="1" ht="89.25" customHeight="1">
      <c r="A159" s="6"/>
      <c r="B159" s="6"/>
      <c r="C159" s="16"/>
      <c r="D159" s="17"/>
      <c r="E159" s="6"/>
      <c r="F159" s="19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</row>
    <row r="160" spans="1:25" s="20" customFormat="1" ht="89.25" customHeight="1">
      <c r="A160" s="6"/>
      <c r="B160" s="6"/>
      <c r="C160" s="16"/>
      <c r="D160" s="17"/>
      <c r="E160" s="6"/>
      <c r="F160" s="19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</row>
    <row r="161" spans="1:25" s="20" customFormat="1" ht="89.25" customHeight="1">
      <c r="A161" s="6"/>
      <c r="B161" s="6"/>
      <c r="C161" s="16"/>
      <c r="D161" s="17"/>
      <c r="E161" s="6"/>
      <c r="F161" s="19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</row>
    <row r="162" spans="1:25" s="20" customFormat="1" ht="89.25" customHeight="1">
      <c r="A162" s="6"/>
      <c r="B162" s="6"/>
      <c r="C162" s="16"/>
      <c r="D162" s="17"/>
      <c r="E162" s="6"/>
      <c r="F162" s="19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</row>
    <row r="163" spans="1:25" s="20" customFormat="1" ht="89.25" customHeight="1">
      <c r="A163" s="6"/>
      <c r="B163" s="6"/>
      <c r="C163" s="16"/>
      <c r="D163" s="17"/>
      <c r="E163" s="6"/>
      <c r="F163" s="19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</row>
    <row r="164" spans="1:25" s="20" customFormat="1" ht="89.25" customHeight="1">
      <c r="A164" s="6"/>
      <c r="B164" s="6"/>
      <c r="C164" s="16"/>
      <c r="D164" s="17"/>
      <c r="E164" s="6"/>
      <c r="F164" s="19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</row>
    <row r="165" spans="1:25" s="20" customFormat="1" ht="89.25" customHeight="1">
      <c r="A165" s="6"/>
      <c r="B165" s="6"/>
      <c r="C165" s="16"/>
      <c r="D165" s="17"/>
      <c r="E165" s="6"/>
      <c r="F165" s="19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</row>
    <row r="166" spans="1:25" s="20" customFormat="1" ht="89.25" customHeight="1">
      <c r="A166" s="6"/>
      <c r="B166" s="6"/>
      <c r="C166" s="16"/>
      <c r="D166" s="17"/>
      <c r="E166" s="6"/>
      <c r="F166" s="19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</row>
    <row r="167" spans="1:25" s="20" customFormat="1" ht="89.25" customHeight="1">
      <c r="A167" s="6"/>
      <c r="B167" s="6"/>
      <c r="C167" s="16"/>
      <c r="D167" s="17"/>
      <c r="E167" s="6"/>
      <c r="F167" s="19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</row>
    <row r="168" spans="1:25" s="20" customFormat="1" ht="89.25" customHeight="1">
      <c r="A168" s="6"/>
      <c r="B168" s="6"/>
      <c r="C168" s="16"/>
      <c r="D168" s="17"/>
      <c r="E168" s="6"/>
      <c r="F168" s="19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</row>
    <row r="169" spans="1:25" s="20" customFormat="1" ht="89.25" customHeight="1">
      <c r="A169" s="6"/>
      <c r="B169" s="6"/>
      <c r="C169" s="16"/>
      <c r="D169" s="17"/>
      <c r="E169" s="6"/>
      <c r="F169" s="19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</row>
    <row r="170" spans="1:25" s="20" customFormat="1" ht="89.25" customHeight="1">
      <c r="A170" s="6"/>
      <c r="B170" s="6"/>
      <c r="C170" s="16"/>
      <c r="D170" s="17"/>
      <c r="E170" s="6"/>
      <c r="F170" s="19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</row>
    <row r="171" spans="1:25" s="20" customFormat="1" ht="89.25" customHeight="1">
      <c r="A171" s="6"/>
      <c r="B171" s="6"/>
      <c r="C171" s="16"/>
      <c r="D171" s="17"/>
      <c r="E171" s="6"/>
      <c r="F171" s="19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</row>
    <row r="172" spans="1:25" s="20" customFormat="1" ht="89.25" customHeight="1">
      <c r="A172" s="6"/>
      <c r="B172" s="6"/>
      <c r="C172" s="16"/>
      <c r="D172" s="17"/>
      <c r="E172" s="6"/>
      <c r="F172" s="19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</row>
    <row r="173" spans="1:25" s="20" customFormat="1" ht="89.25" customHeight="1">
      <c r="A173" s="6"/>
      <c r="B173" s="6"/>
      <c r="C173" s="16"/>
      <c r="D173" s="17"/>
      <c r="E173" s="6"/>
      <c r="F173" s="19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</row>
    <row r="174" spans="1:25" s="20" customFormat="1" ht="89.25" customHeight="1">
      <c r="A174" s="6"/>
      <c r="B174" s="6"/>
      <c r="C174" s="16"/>
      <c r="D174" s="17"/>
      <c r="E174" s="6"/>
      <c r="F174" s="19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</row>
    <row r="175" spans="1:25" s="20" customFormat="1" ht="89.25" customHeight="1">
      <c r="A175" s="6"/>
      <c r="B175" s="6"/>
      <c r="C175" s="16"/>
      <c r="D175" s="17"/>
      <c r="E175" s="6"/>
      <c r="F175" s="19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</row>
    <row r="176" spans="1:25" s="20" customFormat="1" ht="89.25" customHeight="1">
      <c r="A176" s="6"/>
      <c r="B176" s="6"/>
      <c r="C176" s="16"/>
      <c r="D176" s="17"/>
      <c r="E176" s="6"/>
      <c r="F176" s="19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</row>
    <row r="177" spans="1:25" s="20" customFormat="1" ht="89.25" customHeight="1">
      <c r="A177" s="6"/>
      <c r="B177" s="6"/>
      <c r="C177" s="16"/>
      <c r="D177" s="17"/>
      <c r="E177" s="6"/>
      <c r="F177" s="19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</row>
    <row r="178" spans="1:25" s="20" customFormat="1" ht="89.25" customHeight="1">
      <c r="A178" s="6"/>
      <c r="B178" s="6"/>
      <c r="C178" s="16"/>
      <c r="D178" s="17"/>
      <c r="E178" s="6"/>
      <c r="F178" s="19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</row>
    <row r="179" spans="1:25" s="20" customFormat="1" ht="89.25" customHeight="1">
      <c r="A179" s="6"/>
      <c r="B179" s="6"/>
      <c r="C179" s="16"/>
      <c r="D179" s="17"/>
      <c r="E179" s="6"/>
      <c r="F179" s="19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</row>
    <row r="180" spans="1:25" s="20" customFormat="1" ht="89.25" customHeight="1">
      <c r="A180" s="6"/>
      <c r="B180" s="6"/>
      <c r="C180" s="16"/>
      <c r="D180" s="17"/>
      <c r="E180" s="6"/>
      <c r="F180" s="19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</row>
    <row r="181" spans="1:25" s="20" customFormat="1" ht="89.25" customHeight="1">
      <c r="A181" s="6"/>
      <c r="B181" s="6"/>
      <c r="C181" s="16"/>
      <c r="D181" s="17"/>
      <c r="E181" s="6"/>
      <c r="F181" s="19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</row>
    <row r="182" spans="1:25" s="20" customFormat="1" ht="89.25" customHeight="1">
      <c r="A182" s="6"/>
      <c r="B182" s="6"/>
      <c r="C182" s="16"/>
      <c r="D182" s="17"/>
      <c r="E182" s="6"/>
      <c r="F182" s="19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</row>
    <row r="183" spans="1:25" s="20" customFormat="1" ht="89.25" customHeight="1">
      <c r="A183" s="6"/>
      <c r="B183" s="6"/>
      <c r="C183" s="16"/>
      <c r="D183" s="17"/>
      <c r="E183" s="6"/>
      <c r="F183" s="19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</row>
    <row r="184" spans="1:25" s="20" customFormat="1" ht="89.25" customHeight="1">
      <c r="A184" s="6"/>
      <c r="B184" s="6"/>
      <c r="C184" s="16"/>
      <c r="D184" s="17"/>
      <c r="E184" s="6"/>
      <c r="F184" s="19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</row>
    <row r="185" spans="1:25" s="20" customFormat="1" ht="89.25" customHeight="1">
      <c r="A185" s="6"/>
      <c r="B185" s="6"/>
      <c r="C185" s="16"/>
      <c r="D185" s="17"/>
      <c r="E185" s="6"/>
      <c r="F185" s="19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</row>
    <row r="186" spans="1:25" s="20" customFormat="1" ht="89.25" customHeight="1">
      <c r="A186" s="6"/>
      <c r="B186" s="6"/>
      <c r="C186" s="16"/>
      <c r="D186" s="17"/>
      <c r="E186" s="6"/>
      <c r="F186" s="19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</row>
    <row r="187" spans="1:25" s="20" customFormat="1" ht="89.25" customHeight="1">
      <c r="A187" s="6"/>
      <c r="B187" s="6"/>
      <c r="C187" s="16"/>
      <c r="D187" s="17"/>
      <c r="E187" s="6"/>
      <c r="F187" s="19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</row>
    <row r="188" spans="1:25" s="20" customFormat="1" ht="89.25" customHeight="1">
      <c r="A188" s="6"/>
      <c r="B188" s="6"/>
      <c r="C188" s="16"/>
      <c r="D188" s="17"/>
      <c r="E188" s="6"/>
      <c r="F188" s="19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</row>
    <row r="189" spans="1:25" s="20" customFormat="1" ht="89.25" customHeight="1">
      <c r="A189" s="6"/>
      <c r="B189" s="6"/>
      <c r="C189" s="16"/>
      <c r="D189" s="17"/>
      <c r="E189" s="6"/>
      <c r="F189" s="19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</row>
    <row r="190" spans="1:25" s="20" customFormat="1" ht="89.25" customHeight="1">
      <c r="A190" s="6"/>
      <c r="B190" s="6"/>
      <c r="C190" s="16"/>
      <c r="D190" s="17"/>
      <c r="E190" s="6"/>
      <c r="F190" s="19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</row>
    <row r="191" spans="1:25" s="20" customFormat="1" ht="89.25" customHeight="1">
      <c r="A191" s="6"/>
      <c r="B191" s="6"/>
      <c r="C191" s="16"/>
      <c r="D191" s="17"/>
      <c r="E191" s="6"/>
      <c r="F191" s="19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</row>
    <row r="192" spans="1:25" s="20" customFormat="1" ht="89.25" customHeight="1">
      <c r="A192" s="6"/>
      <c r="B192" s="6"/>
      <c r="C192" s="16"/>
      <c r="D192" s="17"/>
      <c r="E192" s="6"/>
      <c r="F192" s="19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</row>
    <row r="193" spans="1:25" s="20" customFormat="1" ht="89.25" customHeight="1">
      <c r="A193" s="6"/>
      <c r="B193" s="6"/>
      <c r="C193" s="16"/>
      <c r="D193" s="17"/>
      <c r="E193" s="6"/>
      <c r="F193" s="19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</row>
    <row r="194" spans="1:25" s="20" customFormat="1" ht="89.25" customHeight="1">
      <c r="A194" s="6"/>
      <c r="B194" s="6"/>
      <c r="C194" s="16"/>
      <c r="D194" s="17"/>
      <c r="E194" s="6"/>
      <c r="F194" s="19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</row>
    <row r="195" spans="1:25" s="20" customFormat="1" ht="89.25" customHeight="1">
      <c r="A195" s="6"/>
      <c r="B195" s="6"/>
      <c r="C195" s="16"/>
      <c r="D195" s="17"/>
      <c r="E195" s="6"/>
      <c r="F195" s="19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</row>
    <row r="196" spans="1:25" s="20" customFormat="1" ht="89.25" customHeight="1">
      <c r="A196" s="6"/>
      <c r="B196" s="6"/>
      <c r="C196" s="16"/>
      <c r="D196" s="17"/>
      <c r="E196" s="6"/>
      <c r="F196" s="19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</row>
    <row r="197" spans="1:25" s="20" customFormat="1" ht="89.25" customHeight="1">
      <c r="A197" s="6"/>
      <c r="B197" s="6"/>
      <c r="C197" s="16"/>
      <c r="D197" s="17"/>
      <c r="E197" s="6"/>
      <c r="F197" s="19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</row>
    <row r="198" spans="1:25" s="20" customFormat="1" ht="89.25" customHeight="1">
      <c r="A198" s="6"/>
      <c r="B198" s="6"/>
      <c r="C198" s="16"/>
      <c r="D198" s="17"/>
      <c r="E198" s="6"/>
      <c r="F198" s="19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</row>
    <row r="199" spans="1:25" s="20" customFormat="1" ht="89.25" customHeight="1">
      <c r="A199" s="6"/>
      <c r="B199" s="6"/>
      <c r="C199" s="16"/>
      <c r="D199" s="17"/>
      <c r="E199" s="6"/>
      <c r="F199" s="19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</row>
    <row r="200" spans="1:25" s="20" customFormat="1" ht="89.25" customHeight="1">
      <c r="A200" s="6"/>
      <c r="B200" s="6"/>
      <c r="C200" s="16"/>
      <c r="D200" s="17"/>
      <c r="E200" s="6"/>
      <c r="F200" s="19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</row>
    <row r="201" spans="1:25" s="20" customFormat="1" ht="89.25" customHeight="1">
      <c r="A201" s="6"/>
      <c r="B201" s="6"/>
      <c r="C201" s="16"/>
      <c r="D201" s="17"/>
      <c r="E201" s="6"/>
      <c r="F201" s="19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</row>
    <row r="202" spans="1:25" s="20" customFormat="1" ht="89.25" customHeight="1">
      <c r="A202" s="6"/>
      <c r="B202" s="6"/>
      <c r="C202" s="16"/>
      <c r="D202" s="17"/>
      <c r="E202" s="6"/>
      <c r="F202" s="19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</row>
    <row r="203" spans="1:25" s="20" customFormat="1" ht="89.25" customHeight="1">
      <c r="A203" s="6"/>
      <c r="B203" s="6"/>
      <c r="C203" s="16"/>
      <c r="D203" s="17"/>
      <c r="E203" s="6"/>
      <c r="F203" s="19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</row>
    <row r="204" spans="1:25" s="20" customFormat="1" ht="89.25" customHeight="1">
      <c r="A204" s="6"/>
      <c r="B204" s="6"/>
      <c r="C204" s="16"/>
      <c r="D204" s="17"/>
      <c r="E204" s="6"/>
      <c r="F204" s="19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</row>
    <row r="205" spans="1:25" s="20" customFormat="1" ht="89.25" customHeight="1">
      <c r="A205" s="6"/>
      <c r="B205" s="6"/>
      <c r="C205" s="16"/>
      <c r="D205" s="17"/>
      <c r="E205" s="6"/>
      <c r="F205" s="19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</row>
    <row r="206" spans="1:25" s="20" customFormat="1" ht="89.25" customHeight="1">
      <c r="A206" s="6"/>
      <c r="B206" s="6"/>
      <c r="C206" s="16"/>
      <c r="D206" s="17"/>
      <c r="E206" s="6"/>
      <c r="F206" s="19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</row>
    <row r="207" spans="1:25" s="20" customFormat="1" ht="89.25" customHeight="1">
      <c r="A207" s="6"/>
      <c r="B207" s="6"/>
      <c r="C207" s="16"/>
      <c r="D207" s="17"/>
      <c r="E207" s="6"/>
      <c r="F207" s="19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</row>
    <row r="208" spans="1:25" s="20" customFormat="1" ht="89.25" customHeight="1">
      <c r="A208" s="6"/>
      <c r="B208" s="6"/>
      <c r="C208" s="16"/>
      <c r="D208" s="17"/>
      <c r="E208" s="6"/>
      <c r="F208" s="19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</row>
    <row r="209" spans="1:25" s="20" customFormat="1" ht="89.25" customHeight="1">
      <c r="A209" s="6"/>
      <c r="B209" s="6"/>
      <c r="C209" s="16"/>
      <c r="D209" s="17"/>
      <c r="E209" s="6"/>
      <c r="F209" s="19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</row>
    <row r="210" spans="1:25" s="20" customFormat="1" ht="89.25" customHeight="1">
      <c r="A210" s="6"/>
      <c r="B210" s="6"/>
      <c r="C210" s="16"/>
      <c r="D210" s="17"/>
      <c r="E210" s="6"/>
      <c r="F210" s="19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</row>
    <row r="211" spans="1:25" s="20" customFormat="1" ht="89.25" customHeight="1">
      <c r="A211" s="6"/>
      <c r="B211" s="6"/>
      <c r="C211" s="16"/>
      <c r="D211" s="17"/>
      <c r="E211" s="6"/>
      <c r="F211" s="19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</row>
    <row r="212" spans="1:25" s="20" customFormat="1" ht="89.25" customHeight="1">
      <c r="A212" s="6"/>
      <c r="B212" s="6"/>
      <c r="C212" s="16"/>
      <c r="D212" s="17"/>
      <c r="E212" s="6"/>
      <c r="F212" s="19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</row>
    <row r="213" spans="1:25" s="20" customFormat="1" ht="89.25" customHeight="1">
      <c r="A213" s="6"/>
      <c r="B213" s="6"/>
      <c r="C213" s="16"/>
      <c r="D213" s="17"/>
      <c r="E213" s="6"/>
      <c r="F213" s="19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</row>
    <row r="214" spans="1:25" s="20" customFormat="1" ht="89.25" customHeight="1">
      <c r="A214" s="6"/>
      <c r="B214" s="6"/>
      <c r="C214" s="16"/>
      <c r="D214" s="17"/>
      <c r="E214" s="6"/>
      <c r="F214" s="19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</row>
    <row r="215" spans="1:25" s="20" customFormat="1" ht="89.25" customHeight="1">
      <c r="A215" s="6"/>
      <c r="B215" s="6"/>
      <c r="C215" s="16"/>
      <c r="D215" s="17"/>
      <c r="E215" s="6"/>
      <c r="F215" s="19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</row>
    <row r="216" spans="1:25" s="20" customFormat="1" ht="89.25" customHeight="1">
      <c r="A216" s="6"/>
      <c r="B216" s="6"/>
      <c r="C216" s="16"/>
      <c r="D216" s="17"/>
      <c r="E216" s="6"/>
      <c r="F216" s="19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</row>
    <row r="217" spans="1:25" s="20" customFormat="1" ht="89.25" customHeight="1">
      <c r="A217" s="6"/>
      <c r="B217" s="6"/>
      <c r="C217" s="16"/>
      <c r="D217" s="17"/>
      <c r="E217" s="6"/>
      <c r="F217" s="19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</row>
    <row r="218" spans="1:25" s="20" customFormat="1" ht="89.25" customHeight="1">
      <c r="A218" s="6"/>
      <c r="B218" s="6"/>
      <c r="C218" s="16"/>
      <c r="D218" s="17"/>
      <c r="E218" s="6"/>
      <c r="F218" s="19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</row>
    <row r="219" spans="1:25" s="20" customFormat="1" ht="89.25" customHeight="1">
      <c r="A219" s="6"/>
      <c r="B219" s="6"/>
      <c r="C219" s="16"/>
      <c r="D219" s="17"/>
      <c r="E219" s="6"/>
      <c r="F219" s="19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</row>
    <row r="220" spans="1:25" s="20" customFormat="1" ht="89.25" customHeight="1">
      <c r="A220" s="6"/>
      <c r="B220" s="6"/>
      <c r="C220" s="16"/>
      <c r="D220" s="17"/>
      <c r="E220" s="6"/>
      <c r="F220" s="19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</row>
    <row r="221" spans="1:25" s="20" customFormat="1" ht="89.25" customHeight="1">
      <c r="A221" s="6"/>
      <c r="B221" s="6"/>
      <c r="C221" s="16"/>
      <c r="D221" s="17"/>
      <c r="E221" s="6"/>
      <c r="F221" s="19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</row>
    <row r="222" spans="1:25" s="20" customFormat="1" ht="89.25" customHeight="1">
      <c r="A222" s="6"/>
      <c r="B222" s="6"/>
      <c r="C222" s="16"/>
      <c r="D222" s="17"/>
      <c r="E222" s="6"/>
      <c r="F222" s="19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</row>
    <row r="223" spans="1:25" s="20" customFormat="1" ht="89.25" customHeight="1">
      <c r="A223" s="6"/>
      <c r="B223" s="6"/>
      <c r="C223" s="16"/>
      <c r="D223" s="17"/>
      <c r="E223" s="6"/>
      <c r="F223" s="19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</row>
    <row r="224" spans="1:25" s="20" customFormat="1" ht="89.25" customHeight="1">
      <c r="A224" s="6"/>
      <c r="B224" s="6"/>
      <c r="C224" s="16"/>
      <c r="D224" s="17"/>
      <c r="E224" s="6"/>
      <c r="F224" s="19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</row>
    <row r="225" spans="1:25" s="20" customFormat="1" ht="89.25" customHeight="1">
      <c r="A225" s="6"/>
      <c r="B225" s="6"/>
      <c r="C225" s="16"/>
      <c r="D225" s="17"/>
      <c r="E225" s="6"/>
      <c r="F225" s="19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</row>
    <row r="226" spans="1:25" s="20" customFormat="1" ht="89.25" customHeight="1">
      <c r="A226" s="6"/>
      <c r="B226" s="6"/>
      <c r="C226" s="16"/>
      <c r="D226" s="17"/>
      <c r="E226" s="6"/>
      <c r="F226" s="19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</row>
    <row r="227" spans="1:25" s="20" customFormat="1" ht="89.25" customHeight="1">
      <c r="A227" s="6"/>
      <c r="B227" s="6"/>
      <c r="C227" s="16"/>
      <c r="D227" s="17"/>
      <c r="E227" s="6"/>
      <c r="F227" s="19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</row>
    <row r="228" spans="1:25" s="20" customFormat="1" ht="89.25" customHeight="1">
      <c r="A228" s="6"/>
      <c r="B228" s="6"/>
      <c r="C228" s="16"/>
      <c r="D228" s="17"/>
      <c r="E228" s="6"/>
      <c r="F228" s="19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</row>
    <row r="229" spans="1:25" s="20" customFormat="1" ht="89.25" customHeight="1">
      <c r="A229" s="6"/>
      <c r="B229" s="6"/>
      <c r="C229" s="16"/>
      <c r="D229" s="17"/>
      <c r="E229" s="6"/>
      <c r="F229" s="19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</row>
    <row r="230" spans="1:25" s="20" customFormat="1" ht="89.25" customHeight="1">
      <c r="A230" s="6"/>
      <c r="B230" s="6"/>
      <c r="C230" s="16"/>
      <c r="D230" s="17"/>
      <c r="E230" s="6"/>
      <c r="F230" s="19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</row>
    <row r="231" spans="1:25" s="20" customFormat="1" ht="89.25" customHeight="1">
      <c r="A231" s="6"/>
      <c r="B231" s="6"/>
      <c r="C231" s="16"/>
      <c r="D231" s="17"/>
      <c r="E231" s="6"/>
      <c r="F231" s="19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</row>
  </sheetData>
  <mergeCells count="16">
    <mergeCell ref="D46:E46"/>
    <mergeCell ref="A43:B43"/>
    <mergeCell ref="D43:E43"/>
    <mergeCell ref="A44:B44"/>
    <mergeCell ref="D44:E44"/>
    <mergeCell ref="A45:B45"/>
    <mergeCell ref="D45:E45"/>
    <mergeCell ref="A12:D12"/>
    <mergeCell ref="A10:D10"/>
    <mergeCell ref="A11:D11"/>
    <mergeCell ref="A1:F3"/>
    <mergeCell ref="A5:F5"/>
    <mergeCell ref="A6:F6"/>
    <mergeCell ref="A7:E7"/>
    <mergeCell ref="A9:D9"/>
    <mergeCell ref="A4:F4"/>
  </mergeCells>
  <printOptions horizontalCentered="1" verticalCentered="1"/>
  <pageMargins left="0.59055118110236227" right="0.59055118110236227" top="0.59055118110236227" bottom="0.59055118110236227" header="0.31496062992125984" footer="0.31496062992125984"/>
  <pageSetup paperSize="9" scale="51" orientation="landscape" r:id="rId1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 codeName="Hoja34">
    <tabColor rgb="FF00B0F0"/>
    <pageSetUpPr fitToPage="1"/>
  </sheetPr>
  <dimension ref="A1:AG231"/>
  <sheetViews>
    <sheetView showGridLines="0" topLeftCell="A16" zoomScale="80" zoomScaleNormal="80" workbookViewId="0">
      <selection activeCell="F43" sqref="F43"/>
    </sheetView>
  </sheetViews>
  <sheetFormatPr baseColWidth="10" defaultRowHeight="89.25" customHeight="1"/>
  <cols>
    <col min="1" max="1" width="25.28515625" style="6" customWidth="1"/>
    <col min="2" max="2" width="28.28515625" style="6" customWidth="1"/>
    <col min="3" max="3" width="25.28515625" style="16" customWidth="1"/>
    <col min="4" max="4" width="25.28515625" style="17" customWidth="1"/>
    <col min="5" max="5" width="15.28515625" style="6" bestFit="1" customWidth="1"/>
    <col min="6" max="6" width="21.7109375" style="19" bestFit="1" customWidth="1"/>
    <col min="7" max="7" width="19.140625" style="5" bestFit="1" customWidth="1"/>
    <col min="8" max="8" width="20" style="5" bestFit="1" customWidth="1"/>
    <col min="9" max="10" width="18.7109375" style="5" customWidth="1"/>
    <col min="11" max="25" width="11.42578125" style="5"/>
    <col min="26" max="16384" width="11.42578125" style="6"/>
  </cols>
  <sheetData>
    <row r="1" spans="1:25" s="4" customFormat="1" ht="33.75" customHeight="1">
      <c r="A1" s="1348" t="s">
        <v>768</v>
      </c>
      <c r="B1" s="1348"/>
      <c r="C1" s="1348"/>
      <c r="D1" s="1348"/>
      <c r="E1" s="1348"/>
      <c r="F1" s="1348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spans="1:25" s="4" customFormat="1" ht="33.75" customHeight="1">
      <c r="A2" s="1348"/>
      <c r="B2" s="1348"/>
      <c r="C2" s="1348"/>
      <c r="D2" s="1348"/>
      <c r="E2" s="1348"/>
      <c r="F2" s="1348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 s="4" customFormat="1" ht="15.75">
      <c r="A3" s="1348"/>
      <c r="B3" s="1348"/>
      <c r="C3" s="1348"/>
      <c r="D3" s="1348"/>
      <c r="E3" s="1348"/>
      <c r="F3" s="1348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</row>
    <row r="4" spans="1:25" s="4" customFormat="1" ht="15.75">
      <c r="A4" s="1349" t="str">
        <f>+'Anexo 24 Municipio de la virgin'!A4:F4</f>
        <v>AL 31 DE JULIO DE 2023</v>
      </c>
      <c r="B4" s="1349"/>
      <c r="C4" s="1349"/>
      <c r="D4" s="1349"/>
      <c r="E4" s="1349"/>
      <c r="F4" s="1349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</row>
    <row r="5" spans="1:25" ht="30" customHeight="1">
      <c r="A5" s="1339" t="s">
        <v>205</v>
      </c>
      <c r="B5" s="1339"/>
      <c r="C5" s="1339"/>
      <c r="D5" s="1339"/>
      <c r="E5" s="1339"/>
      <c r="F5" s="1339"/>
    </row>
    <row r="6" spans="1:25" ht="30" customHeight="1" thickBot="1">
      <c r="A6" s="1339" t="s">
        <v>284</v>
      </c>
      <c r="B6" s="1339"/>
      <c r="C6" s="1339"/>
      <c r="D6" s="1339"/>
      <c r="E6" s="1339"/>
      <c r="F6" s="1339"/>
    </row>
    <row r="7" spans="1:25" ht="30" customHeight="1" thickBot="1">
      <c r="A7" s="1346" t="s">
        <v>1</v>
      </c>
      <c r="B7" s="1347"/>
      <c r="C7" s="1347"/>
      <c r="D7" s="1347"/>
      <c r="E7" s="1347"/>
      <c r="F7" s="7" t="s">
        <v>2</v>
      </c>
    </row>
    <row r="8" spans="1:25" ht="18.600000000000001" customHeight="1">
      <c r="A8" s="8"/>
      <c r="B8" s="9"/>
      <c r="C8" s="9"/>
      <c r="D8" s="9"/>
      <c r="E8" s="10"/>
      <c r="F8" s="11"/>
      <c r="I8" s="12"/>
      <c r="J8" s="12"/>
    </row>
    <row r="9" spans="1:25" ht="18.600000000000001" customHeight="1">
      <c r="A9" s="1342" t="str">
        <f>+'Anexo 24 Municipio de la virgin'!A9:D9</f>
        <v>TOTAL RENDIMIENTOS GENERADOS POR LOS RECURSOS DEL FONDO DE JULIO DE 2023</v>
      </c>
      <c r="B9" s="1343"/>
      <c r="C9" s="1343"/>
      <c r="D9" s="1343"/>
      <c r="E9" s="259"/>
      <c r="F9" s="260">
        <f>F37</f>
        <v>972153.09999999986</v>
      </c>
      <c r="I9" s="13"/>
      <c r="J9" s="12"/>
    </row>
    <row r="10" spans="1:25" ht="18.600000000000001" customHeight="1">
      <c r="A10" s="1333" t="s">
        <v>276</v>
      </c>
      <c r="B10" s="1334"/>
      <c r="C10" s="1334"/>
      <c r="D10" s="1334"/>
      <c r="E10" s="261">
        <v>0</v>
      </c>
      <c r="F10" s="262"/>
    </row>
    <row r="11" spans="1:25" ht="18.600000000000001" customHeight="1">
      <c r="A11" s="1333" t="s">
        <v>294</v>
      </c>
      <c r="B11" s="1334"/>
      <c r="C11" s="1334"/>
      <c r="D11" s="1334"/>
      <c r="E11" s="261">
        <v>0</v>
      </c>
      <c r="F11" s="262"/>
    </row>
    <row r="12" spans="1:25" ht="18.600000000000001" customHeight="1">
      <c r="A12" s="1333" t="s">
        <v>307</v>
      </c>
      <c r="B12" s="1334"/>
      <c r="C12" s="1334"/>
      <c r="D12" s="1334"/>
      <c r="E12" s="261">
        <v>12475.8</v>
      </c>
      <c r="F12" s="262"/>
    </row>
    <row r="13" spans="1:25" ht="18.600000000000001" customHeight="1">
      <c r="A13" s="543" t="s">
        <v>365</v>
      </c>
      <c r="B13" s="544"/>
      <c r="C13" s="544"/>
      <c r="D13" s="544"/>
      <c r="E13" s="261">
        <v>53301.02</v>
      </c>
      <c r="F13" s="262"/>
    </row>
    <row r="14" spans="1:25" ht="18.600000000000001" customHeight="1">
      <c r="A14" s="574" t="s">
        <v>427</v>
      </c>
      <c r="B14" s="575"/>
      <c r="C14" s="575"/>
      <c r="D14" s="575"/>
      <c r="E14" s="261">
        <v>55255.59</v>
      </c>
      <c r="F14" s="262"/>
    </row>
    <row r="15" spans="1:25" ht="18.600000000000001" customHeight="1">
      <c r="A15" s="651" t="s">
        <v>462</v>
      </c>
      <c r="B15" s="652"/>
      <c r="C15" s="652"/>
      <c r="D15" s="652"/>
      <c r="E15" s="261">
        <v>53309.919999999998</v>
      </c>
      <c r="F15" s="262"/>
    </row>
    <row r="16" spans="1:25" ht="18.600000000000001" customHeight="1">
      <c r="A16" s="670" t="s">
        <v>494</v>
      </c>
      <c r="B16" s="671"/>
      <c r="C16" s="671"/>
      <c r="D16" s="671"/>
      <c r="E16" s="261">
        <v>55264.81</v>
      </c>
      <c r="F16" s="262"/>
    </row>
    <row r="17" spans="1:7" ht="18.600000000000001" customHeight="1">
      <c r="A17" s="689" t="s">
        <v>501</v>
      </c>
      <c r="B17" s="690"/>
      <c r="C17" s="690"/>
      <c r="D17" s="690"/>
      <c r="E17" s="261">
        <v>55269.51</v>
      </c>
      <c r="F17" s="262"/>
    </row>
    <row r="18" spans="1:7" ht="18.600000000000001" customHeight="1">
      <c r="A18" s="725" t="s">
        <v>515</v>
      </c>
      <c r="B18" s="726"/>
      <c r="C18" s="726"/>
      <c r="D18" s="726"/>
      <c r="E18" s="261">
        <v>50071.93</v>
      </c>
      <c r="F18" s="262"/>
    </row>
    <row r="19" spans="1:7" ht="18.600000000000001" customHeight="1">
      <c r="A19" s="743" t="s">
        <v>520</v>
      </c>
      <c r="B19" s="744"/>
      <c r="C19" s="744"/>
      <c r="D19" s="744"/>
      <c r="E19" s="261">
        <v>13430.11</v>
      </c>
      <c r="F19" s="262"/>
      <c r="G19" s="765" t="str">
        <f>"+1"</f>
        <v>+1</v>
      </c>
    </row>
    <row r="20" spans="1:7" ht="18.600000000000001" customHeight="1">
      <c r="A20" s="773" t="s">
        <v>537</v>
      </c>
      <c r="B20" s="774"/>
      <c r="C20" s="774"/>
      <c r="D20" s="774"/>
      <c r="E20" s="261">
        <f>1180.99-1</f>
        <v>1179.99</v>
      </c>
      <c r="F20" s="262"/>
      <c r="G20" s="785" t="str">
        <f>"-1"</f>
        <v>-1</v>
      </c>
    </row>
    <row r="21" spans="1:7" ht="18.600000000000001" customHeight="1">
      <c r="A21" s="793" t="s">
        <v>567</v>
      </c>
      <c r="B21" s="794"/>
      <c r="C21" s="794"/>
      <c r="D21" s="794"/>
      <c r="E21" s="261">
        <v>1224.29</v>
      </c>
      <c r="F21" s="262"/>
      <c r="G21" s="785"/>
    </row>
    <row r="22" spans="1:7" ht="18.600000000000001" customHeight="1">
      <c r="A22" s="811" t="s">
        <v>577</v>
      </c>
      <c r="B22" s="812"/>
      <c r="C22" s="812"/>
      <c r="D22" s="812"/>
      <c r="E22" s="261">
        <v>1181.18</v>
      </c>
      <c r="F22" s="262"/>
      <c r="G22" s="785"/>
    </row>
    <row r="23" spans="1:7" ht="18.600000000000001" customHeight="1">
      <c r="A23" s="874" t="s">
        <v>625</v>
      </c>
      <c r="B23" s="875"/>
      <c r="C23" s="875"/>
      <c r="D23" s="875"/>
      <c r="E23" s="261">
        <v>1224.5</v>
      </c>
      <c r="F23" s="262"/>
      <c r="G23" s="785"/>
    </row>
    <row r="24" spans="1:7" ht="18.600000000000001" customHeight="1">
      <c r="A24" s="895" t="s">
        <v>638</v>
      </c>
      <c r="B24" s="896"/>
      <c r="C24" s="896"/>
      <c r="D24" s="896"/>
      <c r="E24" s="261">
        <v>1224.5999999999999</v>
      </c>
      <c r="F24" s="262"/>
      <c r="G24" s="785"/>
    </row>
    <row r="25" spans="1:7" ht="18.600000000000001" customHeight="1">
      <c r="A25" s="904" t="s">
        <v>647</v>
      </c>
      <c r="B25" s="905"/>
      <c r="C25" s="905"/>
      <c r="D25" s="905"/>
      <c r="E25" s="261">
        <v>1181.48</v>
      </c>
      <c r="F25" s="262"/>
      <c r="G25" s="785"/>
    </row>
    <row r="26" spans="1:7" ht="18.600000000000001" customHeight="1">
      <c r="A26" s="924" t="s">
        <v>655</v>
      </c>
      <c r="B26" s="925"/>
      <c r="C26" s="925"/>
      <c r="D26" s="925"/>
      <c r="E26" s="261">
        <v>1224.81</v>
      </c>
      <c r="F26" s="262"/>
      <c r="G26" s="785"/>
    </row>
    <row r="27" spans="1:7" ht="18.600000000000001" customHeight="1">
      <c r="A27" s="948" t="s">
        <v>665</v>
      </c>
      <c r="B27" s="949"/>
      <c r="C27" s="949"/>
      <c r="D27" s="949"/>
      <c r="E27" s="261">
        <v>2830.72</v>
      </c>
      <c r="F27" s="262"/>
      <c r="G27" s="785"/>
    </row>
    <row r="28" spans="1:7" ht="18.600000000000001" customHeight="1">
      <c r="A28" s="966" t="s">
        <v>677</v>
      </c>
      <c r="B28" s="967"/>
      <c r="C28" s="967"/>
      <c r="D28" s="967"/>
      <c r="E28" s="261">
        <v>6923.07</v>
      </c>
      <c r="F28" s="262"/>
      <c r="G28" s="785"/>
    </row>
    <row r="29" spans="1:7" ht="18.600000000000001" customHeight="1">
      <c r="A29" s="989" t="s">
        <v>687</v>
      </c>
      <c r="B29" s="990"/>
      <c r="C29" s="990"/>
      <c r="D29" s="990"/>
      <c r="E29" s="261">
        <v>6923.65</v>
      </c>
      <c r="F29" s="262"/>
      <c r="G29" s="785"/>
    </row>
    <row r="30" spans="1:7" ht="18.600000000000001" customHeight="1">
      <c r="A30" s="1011" t="s">
        <v>720</v>
      </c>
      <c r="B30" s="1012"/>
      <c r="C30" s="1012"/>
      <c r="D30" s="1012"/>
      <c r="E30" s="261">
        <v>6272.55</v>
      </c>
      <c r="F30" s="262"/>
      <c r="G30" s="785"/>
    </row>
    <row r="31" spans="1:7" ht="18.600000000000001" customHeight="1">
      <c r="A31" s="1032" t="s">
        <v>729</v>
      </c>
      <c r="B31" s="1033"/>
      <c r="C31" s="1033"/>
      <c r="D31" s="1033"/>
      <c r="E31" s="261">
        <v>208532.17</v>
      </c>
      <c r="F31" s="262"/>
      <c r="G31" s="785"/>
    </row>
    <row r="32" spans="1:7" ht="18.600000000000001" customHeight="1">
      <c r="A32" s="1069" t="s">
        <v>748</v>
      </c>
      <c r="B32" s="1070"/>
      <c r="C32" s="1070"/>
      <c r="D32" s="1070"/>
      <c r="E32" s="261">
        <v>93477.78</v>
      </c>
      <c r="F32" s="262"/>
      <c r="G32" s="785"/>
    </row>
    <row r="33" spans="1:33" ht="18.600000000000001" customHeight="1">
      <c r="A33" s="1090" t="str">
        <f>+'Anexo 24 Municipio de la virgin'!A33</f>
        <v>Rendimientos financieros AL 31 DE MAYO DE 2023</v>
      </c>
      <c r="B33" s="1091"/>
      <c r="C33" s="1091"/>
      <c r="D33" s="1091"/>
      <c r="E33" s="261">
        <v>97213.61</v>
      </c>
      <c r="F33" s="262"/>
      <c r="G33" s="785">
        <f>+SUM(E4:E33)</f>
        <v>778993.08999999985</v>
      </c>
    </row>
    <row r="34" spans="1:33" ht="18.600000000000001" customHeight="1">
      <c r="A34" s="1100" t="str">
        <f>+'Anexo 24 Municipio de la virgin'!A34</f>
        <v>Rendimientos financieros AL 30 DE JUNIO DE 2023</v>
      </c>
      <c r="B34" s="1101"/>
      <c r="C34" s="1101"/>
      <c r="D34" s="1101"/>
      <c r="E34" s="261">
        <v>94687.91</v>
      </c>
      <c r="F34" s="262"/>
      <c r="G34" s="785"/>
    </row>
    <row r="35" spans="1:33" ht="18.600000000000001" customHeight="1">
      <c r="A35" s="1128" t="str">
        <f>+'Anexo 24 Municipio de la virgin'!A35</f>
        <v>Rendimientos financieros AL 31 DE JULIO DE 2023</v>
      </c>
      <c r="B35" s="1129"/>
      <c r="C35" s="1129"/>
      <c r="D35" s="1129"/>
      <c r="E35" s="261">
        <v>98472.1</v>
      </c>
      <c r="F35" s="262"/>
      <c r="G35" s="785"/>
    </row>
    <row r="36" spans="1:33" s="5" customFormat="1" ht="18.600000000000001" customHeight="1">
      <c r="A36" s="268"/>
      <c r="B36" s="269"/>
      <c r="C36" s="269"/>
      <c r="D36" s="269"/>
      <c r="E36" s="263"/>
      <c r="F36" s="264"/>
      <c r="G36" s="776" t="s">
        <v>535</v>
      </c>
      <c r="H36" s="775" t="s">
        <v>536</v>
      </c>
      <c r="I36" s="775" t="s">
        <v>516</v>
      </c>
      <c r="J36" s="742" t="s">
        <v>65</v>
      </c>
      <c r="Z36" s="6"/>
      <c r="AA36" s="6"/>
      <c r="AB36" s="6"/>
      <c r="AC36" s="6"/>
      <c r="AD36" s="6"/>
      <c r="AE36" s="6"/>
      <c r="AF36" s="6"/>
      <c r="AG36" s="6"/>
    </row>
    <row r="37" spans="1:33" s="5" customFormat="1" ht="24.75" customHeight="1" thickBot="1">
      <c r="A37" s="14" t="str">
        <f>+'Anexo 24 Municipio de la virgin'!A37</f>
        <v>TOTAL RENDIMIENTOS DISPONIBLES AL 31 DE JULIO DE 2023</v>
      </c>
      <c r="B37" s="15"/>
      <c r="C37" s="15"/>
      <c r="D37" s="15"/>
      <c r="E37" s="265"/>
      <c r="F37" s="266">
        <f>SUM(E9:E36)</f>
        <v>972153.09999999986</v>
      </c>
      <c r="G37" s="5">
        <f>+F37+'Anexo 3-Porcion C-NC'!B34</f>
        <v>15114040.32</v>
      </c>
      <c r="H37" s="741">
        <f>+G37-F37</f>
        <v>14141887.220000001</v>
      </c>
      <c r="I37" s="5">
        <f>-'Anexo 3-Porcion C-NC'!B34</f>
        <v>-14141887.220000001</v>
      </c>
      <c r="J37" s="5">
        <f>+H37+I37</f>
        <v>0</v>
      </c>
      <c r="Z37" s="6"/>
      <c r="AA37" s="6"/>
      <c r="AB37" s="6"/>
      <c r="AC37" s="6"/>
      <c r="AD37" s="6"/>
      <c r="AE37" s="6"/>
      <c r="AF37" s="6"/>
      <c r="AG37" s="6"/>
    </row>
    <row r="38" spans="1:33" s="20" customFormat="1" ht="15.75">
      <c r="A38" s="6"/>
      <c r="B38" s="6"/>
      <c r="C38" s="16"/>
      <c r="D38" s="17"/>
      <c r="E38" s="18"/>
      <c r="F38" s="19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33" s="20" customFormat="1" ht="15.75">
      <c r="A39" s="6"/>
      <c r="B39" s="6"/>
      <c r="C39" s="16"/>
      <c r="D39" s="17"/>
      <c r="E39" s="21"/>
      <c r="F39" s="19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33" s="20" customFormat="1" ht="15.75">
      <c r="A40" s="6"/>
      <c r="B40" s="6"/>
      <c r="C40" s="16"/>
      <c r="D40" s="17"/>
      <c r="E40" s="22"/>
      <c r="F40" s="19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spans="1:33" s="20" customFormat="1" ht="15.75">
      <c r="A41" s="6"/>
      <c r="B41" s="6"/>
      <c r="C41" s="16"/>
      <c r="D41" s="17"/>
      <c r="E41" s="22"/>
      <c r="F41" s="19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</row>
    <row r="42" spans="1:33" s="5" customFormat="1" ht="16.5" thickBot="1">
      <c r="A42" s="23"/>
      <c r="B42" s="24"/>
      <c r="C42" s="25"/>
      <c r="D42" s="131"/>
      <c r="E42" s="132"/>
      <c r="F42" s="133"/>
    </row>
    <row r="43" spans="1:33" s="5" customFormat="1" ht="15" customHeight="1">
      <c r="A43" s="1336" t="s">
        <v>135</v>
      </c>
      <c r="B43" s="1336"/>
      <c r="C43" s="1"/>
      <c r="D43" s="1336" t="s">
        <v>517</v>
      </c>
      <c r="E43" s="1336"/>
      <c r="F43" s="312"/>
    </row>
    <row r="44" spans="1:33" s="5" customFormat="1" ht="14.45" customHeight="1">
      <c r="A44" s="1332" t="s">
        <v>145</v>
      </c>
      <c r="B44" s="1332"/>
      <c r="C44" s="2"/>
      <c r="D44" s="1332" t="s">
        <v>519</v>
      </c>
      <c r="E44" s="1332"/>
      <c r="F44" s="313"/>
    </row>
    <row r="45" spans="1:33" s="5" customFormat="1" ht="15.75" customHeight="1">
      <c r="A45" s="1332" t="s">
        <v>48</v>
      </c>
      <c r="B45" s="1332"/>
      <c r="C45" s="2"/>
      <c r="D45" s="1332" t="s">
        <v>48</v>
      </c>
      <c r="E45" s="1332"/>
      <c r="F45" s="313"/>
    </row>
    <row r="46" spans="1:33" s="20" customFormat="1" ht="15.75" customHeight="1">
      <c r="A46" s="6"/>
      <c r="B46" s="6"/>
      <c r="C46" s="16"/>
      <c r="D46" s="1335" t="s">
        <v>518</v>
      </c>
      <c r="E46" s="1335"/>
      <c r="F46" s="313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</row>
    <row r="47" spans="1:33" s="20" customFormat="1" ht="15.75">
      <c r="A47" s="6"/>
      <c r="B47" s="6"/>
      <c r="C47" s="16"/>
      <c r="D47" s="17"/>
      <c r="E47" s="22"/>
      <c r="F47" s="19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</row>
    <row r="48" spans="1:33" s="20" customFormat="1" ht="15.75">
      <c r="A48" s="6"/>
      <c r="B48" s="6"/>
      <c r="C48" s="16"/>
      <c r="D48" s="17"/>
      <c r="E48" s="22"/>
      <c r="F48" s="19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</row>
    <row r="49" spans="1:25" s="20" customFormat="1" ht="15.75">
      <c r="A49" s="27"/>
      <c r="B49" s="27"/>
      <c r="C49" s="27"/>
      <c r="D49" s="27"/>
      <c r="E49" s="27"/>
      <c r="F49" s="19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</row>
    <row r="50" spans="1:25" s="5" customFormat="1" ht="15.75">
      <c r="A50" s="27"/>
      <c r="B50" s="27"/>
      <c r="C50" s="27"/>
      <c r="D50" s="27"/>
      <c r="E50" s="27"/>
      <c r="F50" s="26"/>
    </row>
    <row r="51" spans="1:25" s="5" customFormat="1" ht="15" customHeight="1">
      <c r="A51" s="27"/>
      <c r="B51" s="27"/>
      <c r="C51" s="27"/>
      <c r="D51" s="27"/>
      <c r="E51" s="27"/>
      <c r="F51" s="26"/>
    </row>
    <row r="52" spans="1:25" s="5" customFormat="1" ht="14.45" customHeight="1">
      <c r="A52" s="27"/>
      <c r="B52" s="27"/>
      <c r="C52" s="27"/>
      <c r="D52" s="27"/>
      <c r="E52" s="27"/>
      <c r="F52" s="26"/>
    </row>
    <row r="53" spans="1:25" s="5" customFormat="1" ht="14.45" customHeight="1">
      <c r="A53" s="27"/>
      <c r="B53" s="27"/>
      <c r="C53" s="27"/>
      <c r="D53" s="27"/>
      <c r="E53" s="27"/>
      <c r="F53" s="26"/>
    </row>
    <row r="54" spans="1:25" s="20" customFormat="1" ht="15.75">
      <c r="A54" s="27"/>
      <c r="B54" s="27"/>
      <c r="C54" s="27"/>
      <c r="D54" s="27"/>
      <c r="E54" s="27"/>
      <c r="F54" s="19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</row>
    <row r="55" spans="1:25" s="20" customFormat="1" ht="15.75">
      <c r="A55" s="6"/>
      <c r="B55" s="6"/>
      <c r="C55" s="16"/>
      <c r="D55" s="17"/>
      <c r="E55" s="6"/>
      <c r="F55" s="19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</row>
    <row r="56" spans="1:25" s="20" customFormat="1" ht="15.75">
      <c r="A56" s="6"/>
      <c r="B56" s="6"/>
      <c r="C56" s="16"/>
      <c r="D56" s="17"/>
      <c r="E56" s="6"/>
      <c r="F56" s="19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</row>
    <row r="57" spans="1:25" s="20" customFormat="1" ht="15.75">
      <c r="A57" s="6"/>
      <c r="B57" s="6"/>
      <c r="C57" s="16"/>
      <c r="D57" s="17"/>
      <c r="E57" s="6"/>
      <c r="F57" s="19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</row>
    <row r="58" spans="1:25" s="20" customFormat="1" ht="15.75">
      <c r="A58" s="6"/>
      <c r="B58" s="6"/>
      <c r="C58" s="16"/>
      <c r="D58" s="17"/>
      <c r="E58" s="6"/>
      <c r="F58" s="19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</row>
    <row r="59" spans="1:25" s="20" customFormat="1" ht="15.75">
      <c r="A59" s="6"/>
      <c r="B59" s="6"/>
      <c r="C59" s="16"/>
      <c r="D59" s="17"/>
      <c r="E59" s="6"/>
      <c r="F59" s="19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</row>
    <row r="60" spans="1:25" s="20" customFormat="1" ht="15.75">
      <c r="A60" s="6"/>
      <c r="B60" s="6"/>
      <c r="C60" s="16"/>
      <c r="D60" s="17"/>
      <c r="E60" s="6"/>
      <c r="F60" s="19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</row>
    <row r="61" spans="1:25" s="20" customFormat="1" ht="15.75">
      <c r="A61" s="6"/>
      <c r="B61" s="6"/>
      <c r="C61" s="16"/>
      <c r="D61" s="17"/>
      <c r="E61" s="6"/>
      <c r="F61" s="19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</row>
    <row r="62" spans="1:25" s="20" customFormat="1" ht="15.75">
      <c r="A62" s="6"/>
      <c r="B62" s="6"/>
      <c r="C62" s="16"/>
      <c r="D62" s="17"/>
      <c r="E62" s="6"/>
      <c r="F62" s="19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</row>
    <row r="63" spans="1:25" s="20" customFormat="1" ht="15.75">
      <c r="A63" s="6"/>
      <c r="B63" s="6"/>
      <c r="C63" s="16"/>
      <c r="D63" s="17"/>
      <c r="E63" s="6"/>
      <c r="F63" s="19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</row>
    <row r="64" spans="1:25" s="20" customFormat="1" ht="15.75">
      <c r="A64" s="6"/>
      <c r="B64" s="6"/>
      <c r="C64" s="16"/>
      <c r="D64" s="17"/>
      <c r="E64" s="6"/>
      <c r="F64" s="19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</row>
    <row r="65" spans="1:25" s="20" customFormat="1" ht="15.75">
      <c r="A65" s="6"/>
      <c r="B65" s="6"/>
      <c r="C65" s="16"/>
      <c r="D65" s="17"/>
      <c r="E65" s="6"/>
      <c r="F65" s="19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</row>
    <row r="66" spans="1:25" s="20" customFormat="1" ht="15.75">
      <c r="A66" s="6"/>
      <c r="B66" s="6"/>
      <c r="C66" s="16"/>
      <c r="D66" s="17"/>
      <c r="E66" s="6"/>
      <c r="F66" s="19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</row>
    <row r="67" spans="1:25" s="20" customFormat="1" ht="15.75">
      <c r="A67" s="6"/>
      <c r="B67" s="6"/>
      <c r="C67" s="16"/>
      <c r="D67" s="17"/>
      <c r="E67" s="6"/>
      <c r="F67" s="19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</row>
    <row r="68" spans="1:25" s="20" customFormat="1" ht="15.75">
      <c r="A68" s="6"/>
      <c r="B68" s="6"/>
      <c r="C68" s="16"/>
      <c r="D68" s="17"/>
      <c r="E68" s="6"/>
      <c r="F68" s="19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</row>
    <row r="69" spans="1:25" s="20" customFormat="1" ht="15.75">
      <c r="A69" s="6"/>
      <c r="B69" s="6"/>
      <c r="C69" s="16"/>
      <c r="D69" s="17"/>
      <c r="E69" s="6"/>
      <c r="F69" s="19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</row>
    <row r="70" spans="1:25" s="20" customFormat="1" ht="15.75">
      <c r="A70" s="6"/>
      <c r="B70" s="6"/>
      <c r="C70" s="16"/>
      <c r="D70" s="17"/>
      <c r="E70" s="6"/>
      <c r="F70" s="19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</row>
    <row r="71" spans="1:25" s="20" customFormat="1" ht="15.75">
      <c r="A71" s="6"/>
      <c r="B71" s="6"/>
      <c r="C71" s="16"/>
      <c r="D71" s="17"/>
      <c r="E71" s="6"/>
      <c r="F71" s="19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</row>
    <row r="72" spans="1:25" s="20" customFormat="1" ht="15.75">
      <c r="A72" s="6"/>
      <c r="B72" s="6"/>
      <c r="C72" s="16"/>
      <c r="D72" s="17"/>
      <c r="E72" s="6"/>
      <c r="F72" s="19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</row>
    <row r="73" spans="1:25" s="20" customFormat="1" ht="15.75">
      <c r="A73" s="6"/>
      <c r="B73" s="6"/>
      <c r="C73" s="16"/>
      <c r="D73" s="17"/>
      <c r="E73" s="6"/>
      <c r="F73" s="19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</row>
    <row r="74" spans="1:25" s="20" customFormat="1" ht="89.25" customHeight="1">
      <c r="A74" s="6"/>
      <c r="B74" s="6"/>
      <c r="C74" s="16"/>
      <c r="D74" s="17"/>
      <c r="E74" s="6"/>
      <c r="F74" s="19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</row>
    <row r="75" spans="1:25" s="20" customFormat="1" ht="89.25" customHeight="1">
      <c r="A75" s="6"/>
      <c r="B75" s="6"/>
      <c r="C75" s="16"/>
      <c r="D75" s="17"/>
      <c r="E75" s="6"/>
      <c r="F75" s="19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</row>
    <row r="76" spans="1:25" s="20" customFormat="1" ht="89.25" customHeight="1">
      <c r="A76" s="6"/>
      <c r="B76" s="6"/>
      <c r="C76" s="16"/>
      <c r="D76" s="17"/>
      <c r="E76" s="6"/>
      <c r="F76" s="19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</row>
    <row r="77" spans="1:25" s="20" customFormat="1" ht="89.25" customHeight="1">
      <c r="A77" s="6"/>
      <c r="B77" s="6"/>
      <c r="C77" s="16"/>
      <c r="D77" s="17"/>
      <c r="E77" s="6"/>
      <c r="F77" s="19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</row>
    <row r="78" spans="1:25" s="20" customFormat="1" ht="89.25" customHeight="1">
      <c r="A78" s="6"/>
      <c r="B78" s="6"/>
      <c r="C78" s="16"/>
      <c r="D78" s="17"/>
      <c r="E78" s="6"/>
      <c r="F78" s="19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</row>
    <row r="79" spans="1:25" s="20" customFormat="1" ht="89.25" customHeight="1">
      <c r="A79" s="6"/>
      <c r="B79" s="6"/>
      <c r="C79" s="16"/>
      <c r="D79" s="17"/>
      <c r="E79" s="6"/>
      <c r="F79" s="19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</row>
    <row r="80" spans="1:25" s="20" customFormat="1" ht="89.25" customHeight="1">
      <c r="A80" s="6"/>
      <c r="B80" s="6"/>
      <c r="C80" s="16"/>
      <c r="D80" s="17"/>
      <c r="E80" s="6"/>
      <c r="F80" s="19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</row>
    <row r="81" spans="1:25" s="20" customFormat="1" ht="89.25" customHeight="1">
      <c r="A81" s="6"/>
      <c r="B81" s="6"/>
      <c r="C81" s="16"/>
      <c r="D81" s="17"/>
      <c r="E81" s="6"/>
      <c r="F81" s="19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</row>
    <row r="82" spans="1:25" s="20" customFormat="1" ht="89.25" customHeight="1">
      <c r="A82" s="6"/>
      <c r="B82" s="6"/>
      <c r="C82" s="16"/>
      <c r="D82" s="17"/>
      <c r="E82" s="6"/>
      <c r="F82" s="19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</row>
    <row r="83" spans="1:25" s="20" customFormat="1" ht="89.25" customHeight="1">
      <c r="A83" s="6"/>
      <c r="B83" s="6"/>
      <c r="C83" s="16"/>
      <c r="D83" s="17"/>
      <c r="E83" s="6"/>
      <c r="F83" s="19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</row>
    <row r="84" spans="1:25" s="20" customFormat="1" ht="89.25" customHeight="1">
      <c r="A84" s="6"/>
      <c r="B84" s="6"/>
      <c r="C84" s="16"/>
      <c r="D84" s="17"/>
      <c r="E84" s="6"/>
      <c r="F84" s="19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</row>
    <row r="85" spans="1:25" s="20" customFormat="1" ht="89.25" customHeight="1">
      <c r="A85" s="6"/>
      <c r="B85" s="6"/>
      <c r="C85" s="16"/>
      <c r="D85" s="17"/>
      <c r="E85" s="6"/>
      <c r="F85" s="19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</row>
    <row r="86" spans="1:25" s="20" customFormat="1" ht="89.25" customHeight="1">
      <c r="A86" s="6"/>
      <c r="B86" s="6"/>
      <c r="C86" s="16"/>
      <c r="D86" s="17"/>
      <c r="E86" s="6"/>
      <c r="F86" s="19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</row>
    <row r="87" spans="1:25" s="20" customFormat="1" ht="89.25" customHeight="1">
      <c r="A87" s="6"/>
      <c r="B87" s="6"/>
      <c r="C87" s="16"/>
      <c r="D87" s="17"/>
      <c r="E87" s="6"/>
      <c r="F87" s="19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</row>
    <row r="88" spans="1:25" s="20" customFormat="1" ht="89.25" customHeight="1">
      <c r="A88" s="6"/>
      <c r="B88" s="6"/>
      <c r="C88" s="16"/>
      <c r="D88" s="17"/>
      <c r="E88" s="6"/>
      <c r="F88" s="19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</row>
    <row r="89" spans="1:25" s="20" customFormat="1" ht="89.25" customHeight="1">
      <c r="A89" s="6"/>
      <c r="B89" s="6"/>
      <c r="C89" s="16"/>
      <c r="D89" s="17"/>
      <c r="E89" s="6"/>
      <c r="F89" s="19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</row>
    <row r="90" spans="1:25" s="20" customFormat="1" ht="89.25" customHeight="1">
      <c r="A90" s="6"/>
      <c r="B90" s="6"/>
      <c r="C90" s="16"/>
      <c r="D90" s="17"/>
      <c r="E90" s="6"/>
      <c r="F90" s="19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</row>
    <row r="91" spans="1:25" s="20" customFormat="1" ht="89.25" customHeight="1">
      <c r="A91" s="6"/>
      <c r="B91" s="6"/>
      <c r="C91" s="16"/>
      <c r="D91" s="17"/>
      <c r="E91" s="6"/>
      <c r="F91" s="19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</row>
    <row r="92" spans="1:25" s="20" customFormat="1" ht="89.25" customHeight="1">
      <c r="A92" s="6"/>
      <c r="B92" s="6"/>
      <c r="C92" s="16"/>
      <c r="D92" s="17"/>
      <c r="E92" s="6"/>
      <c r="F92" s="19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</row>
    <row r="93" spans="1:25" s="20" customFormat="1" ht="89.25" customHeight="1">
      <c r="A93" s="6"/>
      <c r="B93" s="6"/>
      <c r="C93" s="16"/>
      <c r="D93" s="17"/>
      <c r="E93" s="6"/>
      <c r="F93" s="19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</row>
    <row r="94" spans="1:25" s="20" customFormat="1" ht="89.25" customHeight="1">
      <c r="A94" s="6"/>
      <c r="B94" s="6"/>
      <c r="C94" s="16"/>
      <c r="D94" s="17"/>
      <c r="E94" s="6"/>
      <c r="F94" s="19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</row>
    <row r="95" spans="1:25" s="20" customFormat="1" ht="89.25" customHeight="1">
      <c r="A95" s="6"/>
      <c r="B95" s="6"/>
      <c r="C95" s="16"/>
      <c r="D95" s="17"/>
      <c r="E95" s="6"/>
      <c r="F95" s="19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</row>
    <row r="96" spans="1:25" s="20" customFormat="1" ht="89.25" customHeight="1">
      <c r="A96" s="6"/>
      <c r="B96" s="6"/>
      <c r="C96" s="16"/>
      <c r="D96" s="17"/>
      <c r="E96" s="6"/>
      <c r="F96" s="19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</row>
    <row r="97" spans="1:25" s="20" customFormat="1" ht="89.25" customHeight="1">
      <c r="A97" s="6"/>
      <c r="B97" s="6"/>
      <c r="C97" s="16"/>
      <c r="D97" s="17"/>
      <c r="E97" s="6"/>
      <c r="F97" s="19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</row>
    <row r="98" spans="1:25" s="20" customFormat="1" ht="89.25" customHeight="1">
      <c r="A98" s="6"/>
      <c r="B98" s="6"/>
      <c r="C98" s="16"/>
      <c r="D98" s="17"/>
      <c r="E98" s="6"/>
      <c r="F98" s="19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</row>
    <row r="99" spans="1:25" s="20" customFormat="1" ht="89.25" customHeight="1">
      <c r="A99" s="6"/>
      <c r="B99" s="6"/>
      <c r="C99" s="16"/>
      <c r="D99" s="17"/>
      <c r="E99" s="6"/>
      <c r="F99" s="19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</row>
    <row r="100" spans="1:25" s="20" customFormat="1" ht="89.25" customHeight="1">
      <c r="A100" s="6"/>
      <c r="B100" s="6"/>
      <c r="C100" s="16"/>
      <c r="D100" s="17"/>
      <c r="E100" s="6"/>
      <c r="F100" s="19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</row>
    <row r="101" spans="1:25" s="20" customFormat="1" ht="89.25" customHeight="1">
      <c r="A101" s="6"/>
      <c r="B101" s="6"/>
      <c r="C101" s="16"/>
      <c r="D101" s="17"/>
      <c r="E101" s="6"/>
      <c r="F101" s="19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</row>
    <row r="102" spans="1:25" s="20" customFormat="1" ht="89.25" customHeight="1">
      <c r="A102" s="6"/>
      <c r="B102" s="6"/>
      <c r="C102" s="16"/>
      <c r="D102" s="17"/>
      <c r="E102" s="6"/>
      <c r="F102" s="19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</row>
    <row r="103" spans="1:25" s="20" customFormat="1" ht="89.25" customHeight="1">
      <c r="A103" s="6"/>
      <c r="B103" s="6"/>
      <c r="C103" s="16"/>
      <c r="D103" s="17"/>
      <c r="E103" s="6"/>
      <c r="F103" s="19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</row>
    <row r="104" spans="1:25" s="20" customFormat="1" ht="89.25" customHeight="1">
      <c r="A104" s="6"/>
      <c r="B104" s="6"/>
      <c r="C104" s="16"/>
      <c r="D104" s="17"/>
      <c r="E104" s="6"/>
      <c r="F104" s="19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</row>
    <row r="105" spans="1:25" s="20" customFormat="1" ht="89.25" customHeight="1">
      <c r="A105" s="6"/>
      <c r="B105" s="6"/>
      <c r="C105" s="16"/>
      <c r="D105" s="17"/>
      <c r="E105" s="6"/>
      <c r="F105" s="19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</row>
    <row r="106" spans="1:25" s="20" customFormat="1" ht="89.25" customHeight="1">
      <c r="A106" s="6"/>
      <c r="B106" s="6"/>
      <c r="C106" s="16"/>
      <c r="D106" s="17"/>
      <c r="E106" s="6"/>
      <c r="F106" s="19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</row>
    <row r="107" spans="1:25" s="20" customFormat="1" ht="89.25" customHeight="1">
      <c r="A107" s="6"/>
      <c r="B107" s="6"/>
      <c r="C107" s="16"/>
      <c r="D107" s="17"/>
      <c r="E107" s="6"/>
      <c r="F107" s="19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</row>
    <row r="108" spans="1:25" s="20" customFormat="1" ht="89.25" customHeight="1">
      <c r="A108" s="6"/>
      <c r="B108" s="6"/>
      <c r="C108" s="16"/>
      <c r="D108" s="17"/>
      <c r="E108" s="6"/>
      <c r="F108" s="19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</row>
    <row r="109" spans="1:25" s="20" customFormat="1" ht="89.25" customHeight="1">
      <c r="A109" s="6"/>
      <c r="B109" s="6"/>
      <c r="C109" s="16"/>
      <c r="D109" s="17"/>
      <c r="E109" s="6"/>
      <c r="F109" s="19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</row>
    <row r="110" spans="1:25" s="20" customFormat="1" ht="89.25" customHeight="1">
      <c r="A110" s="6"/>
      <c r="B110" s="6"/>
      <c r="C110" s="16"/>
      <c r="D110" s="17"/>
      <c r="E110" s="6"/>
      <c r="F110" s="19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</row>
    <row r="111" spans="1:25" s="20" customFormat="1" ht="89.25" customHeight="1">
      <c r="A111" s="6"/>
      <c r="B111" s="6"/>
      <c r="C111" s="16"/>
      <c r="D111" s="17"/>
      <c r="E111" s="6"/>
      <c r="F111" s="19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</row>
    <row r="112" spans="1:25" s="20" customFormat="1" ht="89.25" customHeight="1">
      <c r="A112" s="6"/>
      <c r="B112" s="6"/>
      <c r="C112" s="16"/>
      <c r="D112" s="17"/>
      <c r="E112" s="6"/>
      <c r="F112" s="19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</row>
    <row r="113" spans="1:25" s="20" customFormat="1" ht="89.25" customHeight="1">
      <c r="A113" s="6"/>
      <c r="B113" s="6"/>
      <c r="C113" s="16"/>
      <c r="D113" s="17"/>
      <c r="E113" s="6"/>
      <c r="F113" s="19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</row>
    <row r="114" spans="1:25" s="20" customFormat="1" ht="89.25" customHeight="1">
      <c r="A114" s="6"/>
      <c r="B114" s="6"/>
      <c r="C114" s="16"/>
      <c r="D114" s="17"/>
      <c r="E114" s="6"/>
      <c r="F114" s="19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</row>
    <row r="115" spans="1:25" s="20" customFormat="1" ht="89.25" customHeight="1">
      <c r="A115" s="6"/>
      <c r="B115" s="6"/>
      <c r="C115" s="16"/>
      <c r="D115" s="17"/>
      <c r="E115" s="6"/>
      <c r="F115" s="19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</row>
    <row r="116" spans="1:25" s="20" customFormat="1" ht="89.25" customHeight="1">
      <c r="A116" s="6"/>
      <c r="B116" s="6"/>
      <c r="C116" s="16"/>
      <c r="D116" s="17"/>
      <c r="E116" s="6"/>
      <c r="F116" s="19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</row>
    <row r="117" spans="1:25" s="20" customFormat="1" ht="89.25" customHeight="1">
      <c r="A117" s="6"/>
      <c r="B117" s="6"/>
      <c r="C117" s="16"/>
      <c r="D117" s="17"/>
      <c r="E117" s="6"/>
      <c r="F117" s="19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</row>
    <row r="118" spans="1:25" s="20" customFormat="1" ht="89.25" customHeight="1">
      <c r="A118" s="6"/>
      <c r="B118" s="6"/>
      <c r="C118" s="16"/>
      <c r="D118" s="17"/>
      <c r="E118" s="6"/>
      <c r="F118" s="19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</row>
    <row r="119" spans="1:25" s="20" customFormat="1" ht="89.25" customHeight="1">
      <c r="A119" s="6"/>
      <c r="B119" s="6"/>
      <c r="C119" s="16"/>
      <c r="D119" s="17"/>
      <c r="E119" s="6"/>
      <c r="F119" s="19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</row>
    <row r="120" spans="1:25" s="20" customFormat="1" ht="89.25" customHeight="1">
      <c r="A120" s="6"/>
      <c r="B120" s="6"/>
      <c r="C120" s="16"/>
      <c r="D120" s="17"/>
      <c r="E120" s="6"/>
      <c r="F120" s="19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</row>
    <row r="121" spans="1:25" s="20" customFormat="1" ht="89.25" customHeight="1">
      <c r="A121" s="6"/>
      <c r="B121" s="6"/>
      <c r="C121" s="16"/>
      <c r="D121" s="17"/>
      <c r="E121" s="6"/>
      <c r="F121" s="19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</row>
    <row r="122" spans="1:25" s="20" customFormat="1" ht="89.25" customHeight="1">
      <c r="A122" s="6"/>
      <c r="B122" s="6"/>
      <c r="C122" s="16"/>
      <c r="D122" s="17"/>
      <c r="E122" s="6"/>
      <c r="F122" s="19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</row>
    <row r="123" spans="1:25" s="20" customFormat="1" ht="89.25" customHeight="1">
      <c r="A123" s="6"/>
      <c r="B123" s="6"/>
      <c r="C123" s="16"/>
      <c r="D123" s="17"/>
      <c r="E123" s="6"/>
      <c r="F123" s="19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</row>
    <row r="124" spans="1:25" s="20" customFormat="1" ht="89.25" customHeight="1">
      <c r="A124" s="6"/>
      <c r="B124" s="6"/>
      <c r="C124" s="16"/>
      <c r="D124" s="17"/>
      <c r="E124" s="6"/>
      <c r="F124" s="19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</row>
    <row r="125" spans="1:25" s="20" customFormat="1" ht="89.25" customHeight="1">
      <c r="A125" s="6"/>
      <c r="B125" s="6"/>
      <c r="C125" s="16"/>
      <c r="D125" s="17"/>
      <c r="E125" s="6"/>
      <c r="F125" s="19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</row>
    <row r="126" spans="1:25" s="20" customFormat="1" ht="89.25" customHeight="1">
      <c r="A126" s="6"/>
      <c r="B126" s="6"/>
      <c r="C126" s="16"/>
      <c r="D126" s="17"/>
      <c r="E126" s="6"/>
      <c r="F126" s="19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</row>
    <row r="127" spans="1:25" s="20" customFormat="1" ht="89.25" customHeight="1">
      <c r="A127" s="6"/>
      <c r="B127" s="6"/>
      <c r="C127" s="16"/>
      <c r="D127" s="17"/>
      <c r="E127" s="6"/>
      <c r="F127" s="19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</row>
    <row r="128" spans="1:25" s="20" customFormat="1" ht="89.25" customHeight="1">
      <c r="A128" s="6"/>
      <c r="B128" s="6"/>
      <c r="C128" s="16"/>
      <c r="D128" s="17"/>
      <c r="E128" s="6"/>
      <c r="F128" s="19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</row>
    <row r="129" spans="1:25" s="20" customFormat="1" ht="89.25" customHeight="1">
      <c r="A129" s="6"/>
      <c r="B129" s="6"/>
      <c r="C129" s="16"/>
      <c r="D129" s="17"/>
      <c r="E129" s="6"/>
      <c r="F129" s="19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</row>
    <row r="130" spans="1:25" s="20" customFormat="1" ht="89.25" customHeight="1">
      <c r="A130" s="6"/>
      <c r="B130" s="6"/>
      <c r="C130" s="16"/>
      <c r="D130" s="17"/>
      <c r="E130" s="6"/>
      <c r="F130" s="19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</row>
    <row r="131" spans="1:25" s="20" customFormat="1" ht="89.25" customHeight="1">
      <c r="A131" s="6"/>
      <c r="B131" s="6"/>
      <c r="C131" s="16"/>
      <c r="D131" s="17"/>
      <c r="E131" s="6"/>
      <c r="F131" s="19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</row>
    <row r="132" spans="1:25" s="20" customFormat="1" ht="89.25" customHeight="1">
      <c r="A132" s="6"/>
      <c r="B132" s="6"/>
      <c r="C132" s="16"/>
      <c r="D132" s="17"/>
      <c r="E132" s="6"/>
      <c r="F132" s="19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</row>
    <row r="133" spans="1:25" s="20" customFormat="1" ht="89.25" customHeight="1">
      <c r="A133" s="6"/>
      <c r="B133" s="6"/>
      <c r="C133" s="16"/>
      <c r="D133" s="17"/>
      <c r="E133" s="6"/>
      <c r="F133" s="19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</row>
    <row r="134" spans="1:25" s="20" customFormat="1" ht="89.25" customHeight="1">
      <c r="A134" s="6"/>
      <c r="B134" s="6"/>
      <c r="C134" s="16"/>
      <c r="D134" s="17"/>
      <c r="E134" s="6"/>
      <c r="F134" s="19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</row>
    <row r="135" spans="1:25" s="20" customFormat="1" ht="89.25" customHeight="1">
      <c r="A135" s="6"/>
      <c r="B135" s="6"/>
      <c r="C135" s="16"/>
      <c r="D135" s="17"/>
      <c r="E135" s="6"/>
      <c r="F135" s="19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</row>
    <row r="136" spans="1:25" s="20" customFormat="1" ht="89.25" customHeight="1">
      <c r="A136" s="6"/>
      <c r="B136" s="6"/>
      <c r="C136" s="16"/>
      <c r="D136" s="17"/>
      <c r="E136" s="6"/>
      <c r="F136" s="19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</row>
    <row r="137" spans="1:25" s="20" customFormat="1" ht="89.25" customHeight="1">
      <c r="A137" s="6"/>
      <c r="B137" s="6"/>
      <c r="C137" s="16"/>
      <c r="D137" s="17"/>
      <c r="E137" s="6"/>
      <c r="F137" s="19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</row>
    <row r="138" spans="1:25" s="20" customFormat="1" ht="89.25" customHeight="1">
      <c r="A138" s="6"/>
      <c r="B138" s="6"/>
      <c r="C138" s="16"/>
      <c r="D138" s="17"/>
      <c r="E138" s="6"/>
      <c r="F138" s="19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</row>
    <row r="139" spans="1:25" s="20" customFormat="1" ht="89.25" customHeight="1">
      <c r="A139" s="6"/>
      <c r="B139" s="6"/>
      <c r="C139" s="16"/>
      <c r="D139" s="17"/>
      <c r="E139" s="6"/>
      <c r="F139" s="19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</row>
    <row r="140" spans="1:25" s="20" customFormat="1" ht="89.25" customHeight="1">
      <c r="A140" s="6"/>
      <c r="B140" s="6"/>
      <c r="C140" s="16"/>
      <c r="D140" s="17"/>
      <c r="E140" s="6"/>
      <c r="F140" s="19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</row>
    <row r="141" spans="1:25" s="20" customFormat="1" ht="89.25" customHeight="1">
      <c r="A141" s="6"/>
      <c r="B141" s="6"/>
      <c r="C141" s="16"/>
      <c r="D141" s="17"/>
      <c r="E141" s="6"/>
      <c r="F141" s="19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</row>
    <row r="142" spans="1:25" s="20" customFormat="1" ht="89.25" customHeight="1">
      <c r="A142" s="6"/>
      <c r="B142" s="6"/>
      <c r="C142" s="16"/>
      <c r="D142" s="17"/>
      <c r="E142" s="6"/>
      <c r="F142" s="19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</row>
    <row r="143" spans="1:25" s="20" customFormat="1" ht="89.25" customHeight="1">
      <c r="A143" s="6"/>
      <c r="B143" s="6"/>
      <c r="C143" s="16"/>
      <c r="D143" s="17"/>
      <c r="E143" s="6"/>
      <c r="F143" s="19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</row>
    <row r="144" spans="1:25" s="20" customFormat="1" ht="89.25" customHeight="1">
      <c r="A144" s="6"/>
      <c r="B144" s="6"/>
      <c r="C144" s="16"/>
      <c r="D144" s="17"/>
      <c r="E144" s="6"/>
      <c r="F144" s="19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</row>
    <row r="145" spans="1:25" s="20" customFormat="1" ht="89.25" customHeight="1">
      <c r="A145" s="6"/>
      <c r="B145" s="6"/>
      <c r="C145" s="16"/>
      <c r="D145" s="17"/>
      <c r="E145" s="6"/>
      <c r="F145" s="19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</row>
    <row r="146" spans="1:25" s="20" customFormat="1" ht="89.25" customHeight="1">
      <c r="A146" s="6"/>
      <c r="B146" s="6"/>
      <c r="C146" s="16"/>
      <c r="D146" s="17"/>
      <c r="E146" s="6"/>
      <c r="F146" s="19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</row>
    <row r="147" spans="1:25" s="20" customFormat="1" ht="89.25" customHeight="1">
      <c r="A147" s="6"/>
      <c r="B147" s="6"/>
      <c r="C147" s="16"/>
      <c r="D147" s="17"/>
      <c r="E147" s="6"/>
      <c r="F147" s="19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</row>
    <row r="148" spans="1:25" s="20" customFormat="1" ht="89.25" customHeight="1">
      <c r="A148" s="6"/>
      <c r="B148" s="6"/>
      <c r="C148" s="16"/>
      <c r="D148" s="17"/>
      <c r="E148" s="6"/>
      <c r="F148" s="19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</row>
    <row r="149" spans="1:25" s="20" customFormat="1" ht="89.25" customHeight="1">
      <c r="A149" s="6"/>
      <c r="B149" s="6"/>
      <c r="C149" s="16"/>
      <c r="D149" s="17"/>
      <c r="E149" s="6"/>
      <c r="F149" s="19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</row>
    <row r="150" spans="1:25" s="20" customFormat="1" ht="89.25" customHeight="1">
      <c r="A150" s="6"/>
      <c r="B150" s="6"/>
      <c r="C150" s="16"/>
      <c r="D150" s="17"/>
      <c r="E150" s="6"/>
      <c r="F150" s="19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</row>
    <row r="151" spans="1:25" s="20" customFormat="1" ht="89.25" customHeight="1">
      <c r="A151" s="6"/>
      <c r="B151" s="6"/>
      <c r="C151" s="16"/>
      <c r="D151" s="17"/>
      <c r="E151" s="6"/>
      <c r="F151" s="19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</row>
    <row r="152" spans="1:25" s="20" customFormat="1" ht="89.25" customHeight="1">
      <c r="A152" s="6"/>
      <c r="B152" s="6"/>
      <c r="C152" s="16"/>
      <c r="D152" s="17"/>
      <c r="E152" s="6"/>
      <c r="F152" s="19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</row>
    <row r="153" spans="1:25" s="20" customFormat="1" ht="89.25" customHeight="1">
      <c r="A153" s="6"/>
      <c r="B153" s="6"/>
      <c r="C153" s="16"/>
      <c r="D153" s="17"/>
      <c r="E153" s="6"/>
      <c r="F153" s="19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</row>
    <row r="154" spans="1:25" s="20" customFormat="1" ht="89.25" customHeight="1">
      <c r="A154" s="6"/>
      <c r="B154" s="6"/>
      <c r="C154" s="16"/>
      <c r="D154" s="17"/>
      <c r="E154" s="6"/>
      <c r="F154" s="19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</row>
    <row r="155" spans="1:25" s="20" customFormat="1" ht="89.25" customHeight="1">
      <c r="A155" s="6"/>
      <c r="B155" s="6"/>
      <c r="C155" s="16"/>
      <c r="D155" s="17"/>
      <c r="E155" s="6"/>
      <c r="F155" s="19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</row>
    <row r="156" spans="1:25" s="20" customFormat="1" ht="89.25" customHeight="1">
      <c r="A156" s="6"/>
      <c r="B156" s="6"/>
      <c r="C156" s="16"/>
      <c r="D156" s="17"/>
      <c r="E156" s="6"/>
      <c r="F156" s="19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</row>
    <row r="157" spans="1:25" s="20" customFormat="1" ht="89.25" customHeight="1">
      <c r="A157" s="6"/>
      <c r="B157" s="6"/>
      <c r="C157" s="16"/>
      <c r="D157" s="17"/>
      <c r="E157" s="6"/>
      <c r="F157" s="19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</row>
    <row r="158" spans="1:25" s="20" customFormat="1" ht="89.25" customHeight="1">
      <c r="A158" s="6"/>
      <c r="B158" s="6"/>
      <c r="C158" s="16"/>
      <c r="D158" s="17"/>
      <c r="E158" s="6"/>
      <c r="F158" s="19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</row>
    <row r="159" spans="1:25" s="20" customFormat="1" ht="89.25" customHeight="1">
      <c r="A159" s="6"/>
      <c r="B159" s="6"/>
      <c r="C159" s="16"/>
      <c r="D159" s="17"/>
      <c r="E159" s="6"/>
      <c r="F159" s="19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</row>
    <row r="160" spans="1:25" s="20" customFormat="1" ht="89.25" customHeight="1">
      <c r="A160" s="6"/>
      <c r="B160" s="6"/>
      <c r="C160" s="16"/>
      <c r="D160" s="17"/>
      <c r="E160" s="6"/>
      <c r="F160" s="19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</row>
    <row r="161" spans="1:25" s="20" customFormat="1" ht="89.25" customHeight="1">
      <c r="A161" s="6"/>
      <c r="B161" s="6"/>
      <c r="C161" s="16"/>
      <c r="D161" s="17"/>
      <c r="E161" s="6"/>
      <c r="F161" s="19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</row>
    <row r="162" spans="1:25" s="20" customFormat="1" ht="89.25" customHeight="1">
      <c r="A162" s="6"/>
      <c r="B162" s="6"/>
      <c r="C162" s="16"/>
      <c r="D162" s="17"/>
      <c r="E162" s="6"/>
      <c r="F162" s="19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</row>
    <row r="163" spans="1:25" s="20" customFormat="1" ht="89.25" customHeight="1">
      <c r="A163" s="6"/>
      <c r="B163" s="6"/>
      <c r="C163" s="16"/>
      <c r="D163" s="17"/>
      <c r="E163" s="6"/>
      <c r="F163" s="19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</row>
    <row r="164" spans="1:25" s="20" customFormat="1" ht="89.25" customHeight="1">
      <c r="A164" s="6"/>
      <c r="B164" s="6"/>
      <c r="C164" s="16"/>
      <c r="D164" s="17"/>
      <c r="E164" s="6"/>
      <c r="F164" s="19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</row>
    <row r="165" spans="1:25" s="20" customFormat="1" ht="89.25" customHeight="1">
      <c r="A165" s="6"/>
      <c r="B165" s="6"/>
      <c r="C165" s="16"/>
      <c r="D165" s="17"/>
      <c r="E165" s="6"/>
      <c r="F165" s="19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</row>
    <row r="166" spans="1:25" s="20" customFormat="1" ht="89.25" customHeight="1">
      <c r="A166" s="6"/>
      <c r="B166" s="6"/>
      <c r="C166" s="16"/>
      <c r="D166" s="17"/>
      <c r="E166" s="6"/>
      <c r="F166" s="19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</row>
    <row r="167" spans="1:25" s="20" customFormat="1" ht="89.25" customHeight="1">
      <c r="A167" s="6"/>
      <c r="B167" s="6"/>
      <c r="C167" s="16"/>
      <c r="D167" s="17"/>
      <c r="E167" s="6"/>
      <c r="F167" s="19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</row>
    <row r="168" spans="1:25" s="20" customFormat="1" ht="89.25" customHeight="1">
      <c r="A168" s="6"/>
      <c r="B168" s="6"/>
      <c r="C168" s="16"/>
      <c r="D168" s="17"/>
      <c r="E168" s="6"/>
      <c r="F168" s="19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</row>
    <row r="169" spans="1:25" s="20" customFormat="1" ht="89.25" customHeight="1">
      <c r="A169" s="6"/>
      <c r="B169" s="6"/>
      <c r="C169" s="16"/>
      <c r="D169" s="17"/>
      <c r="E169" s="6"/>
      <c r="F169" s="19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</row>
    <row r="170" spans="1:25" s="20" customFormat="1" ht="89.25" customHeight="1">
      <c r="A170" s="6"/>
      <c r="B170" s="6"/>
      <c r="C170" s="16"/>
      <c r="D170" s="17"/>
      <c r="E170" s="6"/>
      <c r="F170" s="19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</row>
    <row r="171" spans="1:25" s="20" customFormat="1" ht="89.25" customHeight="1">
      <c r="A171" s="6"/>
      <c r="B171" s="6"/>
      <c r="C171" s="16"/>
      <c r="D171" s="17"/>
      <c r="E171" s="6"/>
      <c r="F171" s="19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</row>
    <row r="172" spans="1:25" s="20" customFormat="1" ht="89.25" customHeight="1">
      <c r="A172" s="6"/>
      <c r="B172" s="6"/>
      <c r="C172" s="16"/>
      <c r="D172" s="17"/>
      <c r="E172" s="6"/>
      <c r="F172" s="19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</row>
    <row r="173" spans="1:25" s="20" customFormat="1" ht="89.25" customHeight="1">
      <c r="A173" s="6"/>
      <c r="B173" s="6"/>
      <c r="C173" s="16"/>
      <c r="D173" s="17"/>
      <c r="E173" s="6"/>
      <c r="F173" s="19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</row>
    <row r="174" spans="1:25" s="20" customFormat="1" ht="89.25" customHeight="1">
      <c r="A174" s="6"/>
      <c r="B174" s="6"/>
      <c r="C174" s="16"/>
      <c r="D174" s="17"/>
      <c r="E174" s="6"/>
      <c r="F174" s="19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</row>
    <row r="175" spans="1:25" s="20" customFormat="1" ht="89.25" customHeight="1">
      <c r="A175" s="6"/>
      <c r="B175" s="6"/>
      <c r="C175" s="16"/>
      <c r="D175" s="17"/>
      <c r="E175" s="6"/>
      <c r="F175" s="19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</row>
    <row r="176" spans="1:25" s="20" customFormat="1" ht="89.25" customHeight="1">
      <c r="A176" s="6"/>
      <c r="B176" s="6"/>
      <c r="C176" s="16"/>
      <c r="D176" s="17"/>
      <c r="E176" s="6"/>
      <c r="F176" s="19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</row>
    <row r="177" spans="1:25" s="20" customFormat="1" ht="89.25" customHeight="1">
      <c r="A177" s="6"/>
      <c r="B177" s="6"/>
      <c r="C177" s="16"/>
      <c r="D177" s="17"/>
      <c r="E177" s="6"/>
      <c r="F177" s="19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</row>
    <row r="178" spans="1:25" s="20" customFormat="1" ht="89.25" customHeight="1">
      <c r="A178" s="6"/>
      <c r="B178" s="6"/>
      <c r="C178" s="16"/>
      <c r="D178" s="17"/>
      <c r="E178" s="6"/>
      <c r="F178" s="19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</row>
    <row r="179" spans="1:25" s="20" customFormat="1" ht="89.25" customHeight="1">
      <c r="A179" s="6"/>
      <c r="B179" s="6"/>
      <c r="C179" s="16"/>
      <c r="D179" s="17"/>
      <c r="E179" s="6"/>
      <c r="F179" s="19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</row>
    <row r="180" spans="1:25" s="20" customFormat="1" ht="89.25" customHeight="1">
      <c r="A180" s="6"/>
      <c r="B180" s="6"/>
      <c r="C180" s="16"/>
      <c r="D180" s="17"/>
      <c r="E180" s="6"/>
      <c r="F180" s="19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</row>
    <row r="181" spans="1:25" s="20" customFormat="1" ht="89.25" customHeight="1">
      <c r="A181" s="6"/>
      <c r="B181" s="6"/>
      <c r="C181" s="16"/>
      <c r="D181" s="17"/>
      <c r="E181" s="6"/>
      <c r="F181" s="19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</row>
    <row r="182" spans="1:25" s="20" customFormat="1" ht="89.25" customHeight="1">
      <c r="A182" s="6"/>
      <c r="B182" s="6"/>
      <c r="C182" s="16"/>
      <c r="D182" s="17"/>
      <c r="E182" s="6"/>
      <c r="F182" s="19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</row>
    <row r="183" spans="1:25" s="20" customFormat="1" ht="89.25" customHeight="1">
      <c r="A183" s="6"/>
      <c r="B183" s="6"/>
      <c r="C183" s="16"/>
      <c r="D183" s="17"/>
      <c r="E183" s="6"/>
      <c r="F183" s="19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</row>
    <row r="184" spans="1:25" s="20" customFormat="1" ht="89.25" customHeight="1">
      <c r="A184" s="6"/>
      <c r="B184" s="6"/>
      <c r="C184" s="16"/>
      <c r="D184" s="17"/>
      <c r="E184" s="6"/>
      <c r="F184" s="19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</row>
    <row r="185" spans="1:25" s="20" customFormat="1" ht="89.25" customHeight="1">
      <c r="A185" s="6"/>
      <c r="B185" s="6"/>
      <c r="C185" s="16"/>
      <c r="D185" s="17"/>
      <c r="E185" s="6"/>
      <c r="F185" s="19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</row>
    <row r="186" spans="1:25" s="20" customFormat="1" ht="89.25" customHeight="1">
      <c r="A186" s="6"/>
      <c r="B186" s="6"/>
      <c r="C186" s="16"/>
      <c r="D186" s="17"/>
      <c r="E186" s="6"/>
      <c r="F186" s="19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</row>
    <row r="187" spans="1:25" s="20" customFormat="1" ht="89.25" customHeight="1">
      <c r="A187" s="6"/>
      <c r="B187" s="6"/>
      <c r="C187" s="16"/>
      <c r="D187" s="17"/>
      <c r="E187" s="6"/>
      <c r="F187" s="19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</row>
    <row r="188" spans="1:25" s="20" customFormat="1" ht="89.25" customHeight="1">
      <c r="A188" s="6"/>
      <c r="B188" s="6"/>
      <c r="C188" s="16"/>
      <c r="D188" s="17"/>
      <c r="E188" s="6"/>
      <c r="F188" s="19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</row>
    <row r="189" spans="1:25" s="20" customFormat="1" ht="89.25" customHeight="1">
      <c r="A189" s="6"/>
      <c r="B189" s="6"/>
      <c r="C189" s="16"/>
      <c r="D189" s="17"/>
      <c r="E189" s="6"/>
      <c r="F189" s="19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</row>
    <row r="190" spans="1:25" s="20" customFormat="1" ht="89.25" customHeight="1">
      <c r="A190" s="6"/>
      <c r="B190" s="6"/>
      <c r="C190" s="16"/>
      <c r="D190" s="17"/>
      <c r="E190" s="6"/>
      <c r="F190" s="19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</row>
    <row r="191" spans="1:25" s="20" customFormat="1" ht="89.25" customHeight="1">
      <c r="A191" s="6"/>
      <c r="B191" s="6"/>
      <c r="C191" s="16"/>
      <c r="D191" s="17"/>
      <c r="E191" s="6"/>
      <c r="F191" s="19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</row>
    <row r="192" spans="1:25" s="20" customFormat="1" ht="89.25" customHeight="1">
      <c r="A192" s="6"/>
      <c r="B192" s="6"/>
      <c r="C192" s="16"/>
      <c r="D192" s="17"/>
      <c r="E192" s="6"/>
      <c r="F192" s="19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</row>
    <row r="193" spans="1:25" s="20" customFormat="1" ht="89.25" customHeight="1">
      <c r="A193" s="6"/>
      <c r="B193" s="6"/>
      <c r="C193" s="16"/>
      <c r="D193" s="17"/>
      <c r="E193" s="6"/>
      <c r="F193" s="19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</row>
    <row r="194" spans="1:25" s="20" customFormat="1" ht="89.25" customHeight="1">
      <c r="A194" s="6"/>
      <c r="B194" s="6"/>
      <c r="C194" s="16"/>
      <c r="D194" s="17"/>
      <c r="E194" s="6"/>
      <c r="F194" s="19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</row>
    <row r="195" spans="1:25" s="20" customFormat="1" ht="89.25" customHeight="1">
      <c r="A195" s="6"/>
      <c r="B195" s="6"/>
      <c r="C195" s="16"/>
      <c r="D195" s="17"/>
      <c r="E195" s="6"/>
      <c r="F195" s="19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</row>
    <row r="196" spans="1:25" s="20" customFormat="1" ht="89.25" customHeight="1">
      <c r="A196" s="6"/>
      <c r="B196" s="6"/>
      <c r="C196" s="16"/>
      <c r="D196" s="17"/>
      <c r="E196" s="6"/>
      <c r="F196" s="19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</row>
    <row r="197" spans="1:25" s="20" customFormat="1" ht="89.25" customHeight="1">
      <c r="A197" s="6"/>
      <c r="B197" s="6"/>
      <c r="C197" s="16"/>
      <c r="D197" s="17"/>
      <c r="E197" s="6"/>
      <c r="F197" s="19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</row>
    <row r="198" spans="1:25" s="20" customFormat="1" ht="89.25" customHeight="1">
      <c r="A198" s="6"/>
      <c r="B198" s="6"/>
      <c r="C198" s="16"/>
      <c r="D198" s="17"/>
      <c r="E198" s="6"/>
      <c r="F198" s="19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</row>
    <row r="199" spans="1:25" s="20" customFormat="1" ht="89.25" customHeight="1">
      <c r="A199" s="6"/>
      <c r="B199" s="6"/>
      <c r="C199" s="16"/>
      <c r="D199" s="17"/>
      <c r="E199" s="6"/>
      <c r="F199" s="19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</row>
    <row r="200" spans="1:25" s="20" customFormat="1" ht="89.25" customHeight="1">
      <c r="A200" s="6"/>
      <c r="B200" s="6"/>
      <c r="C200" s="16"/>
      <c r="D200" s="17"/>
      <c r="E200" s="6"/>
      <c r="F200" s="19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</row>
    <row r="201" spans="1:25" s="20" customFormat="1" ht="89.25" customHeight="1">
      <c r="A201" s="6"/>
      <c r="B201" s="6"/>
      <c r="C201" s="16"/>
      <c r="D201" s="17"/>
      <c r="E201" s="6"/>
      <c r="F201" s="19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</row>
    <row r="202" spans="1:25" s="20" customFormat="1" ht="89.25" customHeight="1">
      <c r="A202" s="6"/>
      <c r="B202" s="6"/>
      <c r="C202" s="16"/>
      <c r="D202" s="17"/>
      <c r="E202" s="6"/>
      <c r="F202" s="19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</row>
    <row r="203" spans="1:25" s="20" customFormat="1" ht="89.25" customHeight="1">
      <c r="A203" s="6"/>
      <c r="B203" s="6"/>
      <c r="C203" s="16"/>
      <c r="D203" s="17"/>
      <c r="E203" s="6"/>
      <c r="F203" s="19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</row>
    <row r="204" spans="1:25" s="20" customFormat="1" ht="89.25" customHeight="1">
      <c r="A204" s="6"/>
      <c r="B204" s="6"/>
      <c r="C204" s="16"/>
      <c r="D204" s="17"/>
      <c r="E204" s="6"/>
      <c r="F204" s="19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</row>
    <row r="205" spans="1:25" s="20" customFormat="1" ht="89.25" customHeight="1">
      <c r="A205" s="6"/>
      <c r="B205" s="6"/>
      <c r="C205" s="16"/>
      <c r="D205" s="17"/>
      <c r="E205" s="6"/>
      <c r="F205" s="19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</row>
    <row r="206" spans="1:25" s="20" customFormat="1" ht="89.25" customHeight="1">
      <c r="A206" s="6"/>
      <c r="B206" s="6"/>
      <c r="C206" s="16"/>
      <c r="D206" s="17"/>
      <c r="E206" s="6"/>
      <c r="F206" s="19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</row>
    <row r="207" spans="1:25" s="20" customFormat="1" ht="89.25" customHeight="1">
      <c r="A207" s="6"/>
      <c r="B207" s="6"/>
      <c r="C207" s="16"/>
      <c r="D207" s="17"/>
      <c r="E207" s="6"/>
      <c r="F207" s="19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</row>
    <row r="208" spans="1:25" s="20" customFormat="1" ht="89.25" customHeight="1">
      <c r="A208" s="6"/>
      <c r="B208" s="6"/>
      <c r="C208" s="16"/>
      <c r="D208" s="17"/>
      <c r="E208" s="6"/>
      <c r="F208" s="19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</row>
    <row r="209" spans="1:25" s="20" customFormat="1" ht="89.25" customHeight="1">
      <c r="A209" s="6"/>
      <c r="B209" s="6"/>
      <c r="C209" s="16"/>
      <c r="D209" s="17"/>
      <c r="E209" s="6"/>
      <c r="F209" s="19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</row>
    <row r="210" spans="1:25" s="20" customFormat="1" ht="89.25" customHeight="1">
      <c r="A210" s="6"/>
      <c r="B210" s="6"/>
      <c r="C210" s="16"/>
      <c r="D210" s="17"/>
      <c r="E210" s="6"/>
      <c r="F210" s="19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</row>
    <row r="211" spans="1:25" s="20" customFormat="1" ht="89.25" customHeight="1">
      <c r="A211" s="6"/>
      <c r="B211" s="6"/>
      <c r="C211" s="16"/>
      <c r="D211" s="17"/>
      <c r="E211" s="6"/>
      <c r="F211" s="19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</row>
    <row r="212" spans="1:25" s="20" customFormat="1" ht="89.25" customHeight="1">
      <c r="A212" s="6"/>
      <c r="B212" s="6"/>
      <c r="C212" s="16"/>
      <c r="D212" s="17"/>
      <c r="E212" s="6"/>
      <c r="F212" s="19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</row>
    <row r="213" spans="1:25" s="20" customFormat="1" ht="89.25" customHeight="1">
      <c r="A213" s="6"/>
      <c r="B213" s="6"/>
      <c r="C213" s="16"/>
      <c r="D213" s="17"/>
      <c r="E213" s="6"/>
      <c r="F213" s="19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</row>
    <row r="214" spans="1:25" s="20" customFormat="1" ht="89.25" customHeight="1">
      <c r="A214" s="6"/>
      <c r="B214" s="6"/>
      <c r="C214" s="16"/>
      <c r="D214" s="17"/>
      <c r="E214" s="6"/>
      <c r="F214" s="19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</row>
    <row r="215" spans="1:25" s="20" customFormat="1" ht="89.25" customHeight="1">
      <c r="A215" s="6"/>
      <c r="B215" s="6"/>
      <c r="C215" s="16"/>
      <c r="D215" s="17"/>
      <c r="E215" s="6"/>
      <c r="F215" s="19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</row>
    <row r="216" spans="1:25" s="20" customFormat="1" ht="89.25" customHeight="1">
      <c r="A216" s="6"/>
      <c r="B216" s="6"/>
      <c r="C216" s="16"/>
      <c r="D216" s="17"/>
      <c r="E216" s="6"/>
      <c r="F216" s="19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</row>
    <row r="217" spans="1:25" s="20" customFormat="1" ht="89.25" customHeight="1">
      <c r="A217" s="6"/>
      <c r="B217" s="6"/>
      <c r="C217" s="16"/>
      <c r="D217" s="17"/>
      <c r="E217" s="6"/>
      <c r="F217" s="19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</row>
    <row r="218" spans="1:25" s="20" customFormat="1" ht="89.25" customHeight="1">
      <c r="A218" s="6"/>
      <c r="B218" s="6"/>
      <c r="C218" s="16"/>
      <c r="D218" s="17"/>
      <c r="E218" s="6"/>
      <c r="F218" s="19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</row>
    <row r="219" spans="1:25" s="20" customFormat="1" ht="89.25" customHeight="1">
      <c r="A219" s="6"/>
      <c r="B219" s="6"/>
      <c r="C219" s="16"/>
      <c r="D219" s="17"/>
      <c r="E219" s="6"/>
      <c r="F219" s="19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</row>
    <row r="220" spans="1:25" s="20" customFormat="1" ht="89.25" customHeight="1">
      <c r="A220" s="6"/>
      <c r="B220" s="6"/>
      <c r="C220" s="16"/>
      <c r="D220" s="17"/>
      <c r="E220" s="6"/>
      <c r="F220" s="19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</row>
    <row r="221" spans="1:25" s="20" customFormat="1" ht="89.25" customHeight="1">
      <c r="A221" s="6"/>
      <c r="B221" s="6"/>
      <c r="C221" s="16"/>
      <c r="D221" s="17"/>
      <c r="E221" s="6"/>
      <c r="F221" s="19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</row>
    <row r="222" spans="1:25" s="20" customFormat="1" ht="89.25" customHeight="1">
      <c r="A222" s="6"/>
      <c r="B222" s="6"/>
      <c r="C222" s="16"/>
      <c r="D222" s="17"/>
      <c r="E222" s="6"/>
      <c r="F222" s="19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</row>
    <row r="223" spans="1:25" s="20" customFormat="1" ht="89.25" customHeight="1">
      <c r="A223" s="6"/>
      <c r="B223" s="6"/>
      <c r="C223" s="16"/>
      <c r="D223" s="17"/>
      <c r="E223" s="6"/>
      <c r="F223" s="19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</row>
    <row r="224" spans="1:25" s="20" customFormat="1" ht="89.25" customHeight="1">
      <c r="A224" s="6"/>
      <c r="B224" s="6"/>
      <c r="C224" s="16"/>
      <c r="D224" s="17"/>
      <c r="E224" s="6"/>
      <c r="F224" s="19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</row>
    <row r="225" spans="1:25" s="20" customFormat="1" ht="89.25" customHeight="1">
      <c r="A225" s="6"/>
      <c r="B225" s="6"/>
      <c r="C225" s="16"/>
      <c r="D225" s="17"/>
      <c r="E225" s="6"/>
      <c r="F225" s="19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</row>
    <row r="226" spans="1:25" s="20" customFormat="1" ht="89.25" customHeight="1">
      <c r="A226" s="6"/>
      <c r="B226" s="6"/>
      <c r="C226" s="16"/>
      <c r="D226" s="17"/>
      <c r="E226" s="6"/>
      <c r="F226" s="19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</row>
    <row r="227" spans="1:25" s="20" customFormat="1" ht="89.25" customHeight="1">
      <c r="A227" s="6"/>
      <c r="B227" s="6"/>
      <c r="C227" s="16"/>
      <c r="D227" s="17"/>
      <c r="E227" s="6"/>
      <c r="F227" s="19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</row>
    <row r="228" spans="1:25" s="20" customFormat="1" ht="89.25" customHeight="1">
      <c r="A228" s="6"/>
      <c r="B228" s="6"/>
      <c r="C228" s="16"/>
      <c r="D228" s="17"/>
      <c r="E228" s="6"/>
      <c r="F228" s="19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</row>
    <row r="229" spans="1:25" s="20" customFormat="1" ht="89.25" customHeight="1">
      <c r="A229" s="6"/>
      <c r="B229" s="6"/>
      <c r="C229" s="16"/>
      <c r="D229" s="17"/>
      <c r="E229" s="6"/>
      <c r="F229" s="19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</row>
    <row r="230" spans="1:25" s="20" customFormat="1" ht="89.25" customHeight="1">
      <c r="A230" s="6"/>
      <c r="B230" s="6"/>
      <c r="C230" s="16"/>
      <c r="D230" s="17"/>
      <c r="E230" s="6"/>
      <c r="F230" s="19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</row>
    <row r="231" spans="1:25" s="20" customFormat="1" ht="89.25" customHeight="1">
      <c r="A231" s="6"/>
      <c r="B231" s="6"/>
      <c r="C231" s="16"/>
      <c r="D231" s="17"/>
      <c r="E231" s="6"/>
      <c r="F231" s="19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</row>
  </sheetData>
  <mergeCells count="16">
    <mergeCell ref="A11:D11"/>
    <mergeCell ref="D46:E46"/>
    <mergeCell ref="A12:D12"/>
    <mergeCell ref="A43:B43"/>
    <mergeCell ref="D43:E43"/>
    <mergeCell ref="A44:B44"/>
    <mergeCell ref="D44:E44"/>
    <mergeCell ref="A45:B45"/>
    <mergeCell ref="D45:E45"/>
    <mergeCell ref="A10:D10"/>
    <mergeCell ref="A1:F3"/>
    <mergeCell ref="A5:F5"/>
    <mergeCell ref="A6:F6"/>
    <mergeCell ref="A7:E7"/>
    <mergeCell ref="A9:D9"/>
    <mergeCell ref="A4:F4"/>
  </mergeCells>
  <printOptions horizontalCentered="1" verticalCentered="1"/>
  <pageMargins left="0.59055118110236227" right="0.59055118110236227" top="0.59055118110236227" bottom="0.59055118110236227" header="0.31496062992125984" footer="0.31496062992125984"/>
  <pageSetup paperSize="9" scale="51" orientation="landscape" r:id="rId1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 codeName="Hoja36">
    <tabColor rgb="FF00B0F0"/>
    <pageSetUpPr fitToPage="1"/>
  </sheetPr>
  <dimension ref="A1:AG229"/>
  <sheetViews>
    <sheetView showGridLines="0" topLeftCell="A14" zoomScale="80" zoomScaleNormal="80" workbookViewId="0">
      <selection activeCell="F43" sqref="F43"/>
    </sheetView>
  </sheetViews>
  <sheetFormatPr baseColWidth="10" defaultRowHeight="89.25" customHeight="1"/>
  <cols>
    <col min="1" max="1" width="25.28515625" style="6" customWidth="1"/>
    <col min="2" max="2" width="28.28515625" style="6" customWidth="1"/>
    <col min="3" max="3" width="25.28515625" style="16" customWidth="1"/>
    <col min="4" max="4" width="25.28515625" style="17" customWidth="1"/>
    <col min="5" max="5" width="17" style="6" bestFit="1" customWidth="1"/>
    <col min="6" max="6" width="21.7109375" style="19" bestFit="1" customWidth="1"/>
    <col min="7" max="7" width="19.140625" style="5" bestFit="1" customWidth="1"/>
    <col min="8" max="8" width="20" style="5" bestFit="1" customWidth="1"/>
    <col min="9" max="10" width="18.7109375" style="5" customWidth="1"/>
    <col min="11" max="25" width="11.42578125" style="5"/>
    <col min="26" max="16384" width="11.42578125" style="6"/>
  </cols>
  <sheetData>
    <row r="1" spans="1:25" s="4" customFormat="1" ht="33.75" customHeight="1">
      <c r="A1" s="1348" t="s">
        <v>769</v>
      </c>
      <c r="B1" s="1348"/>
      <c r="C1" s="1348"/>
      <c r="D1" s="1348"/>
      <c r="E1" s="1348"/>
      <c r="F1" s="1348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spans="1:25" s="4" customFormat="1" ht="33.75" customHeight="1">
      <c r="A2" s="1348"/>
      <c r="B2" s="1348"/>
      <c r="C2" s="1348"/>
      <c r="D2" s="1348"/>
      <c r="E2" s="1348"/>
      <c r="F2" s="1348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 s="4" customFormat="1" ht="15.75">
      <c r="A3" s="1348"/>
      <c r="B3" s="1348"/>
      <c r="C3" s="1348"/>
      <c r="D3" s="1348"/>
      <c r="E3" s="1348"/>
      <c r="F3" s="1348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</row>
    <row r="4" spans="1:25" s="4" customFormat="1" ht="15.75">
      <c r="A4" s="1349" t="str">
        <f>+'Anexo 23 Dpto Norte de Santande'!A4:F4</f>
        <v>AL 31 DE JULIO DE 2023</v>
      </c>
      <c r="B4" s="1349"/>
      <c r="C4" s="1349"/>
      <c r="D4" s="1349"/>
      <c r="E4" s="1349"/>
      <c r="F4" s="1349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</row>
    <row r="5" spans="1:25" ht="30" customHeight="1">
      <c r="A5" s="1339" t="s">
        <v>205</v>
      </c>
      <c r="B5" s="1339"/>
      <c r="C5" s="1339"/>
      <c r="D5" s="1339"/>
      <c r="E5" s="1339"/>
      <c r="F5" s="1339"/>
    </row>
    <row r="6" spans="1:25" ht="30" customHeight="1" thickBot="1">
      <c r="A6" s="1339" t="s">
        <v>308</v>
      </c>
      <c r="B6" s="1339"/>
      <c r="C6" s="1339"/>
      <c r="D6" s="1339"/>
      <c r="E6" s="1339"/>
      <c r="F6" s="1339"/>
    </row>
    <row r="7" spans="1:25" ht="30" customHeight="1" thickBot="1">
      <c r="A7" s="1346" t="s">
        <v>1</v>
      </c>
      <c r="B7" s="1347"/>
      <c r="C7" s="1347"/>
      <c r="D7" s="1347"/>
      <c r="E7" s="1347"/>
      <c r="F7" s="7" t="s">
        <v>2</v>
      </c>
    </row>
    <row r="8" spans="1:25" ht="18.600000000000001" customHeight="1">
      <c r="A8" s="8"/>
      <c r="B8" s="9"/>
      <c r="C8" s="9"/>
      <c r="D8" s="9"/>
      <c r="E8" s="10"/>
      <c r="F8" s="11"/>
      <c r="I8" s="12"/>
      <c r="J8" s="12"/>
    </row>
    <row r="9" spans="1:25" ht="18.600000000000001" customHeight="1">
      <c r="A9" s="1342" t="str">
        <f>+'Anexo 23 Dpto Norte de Santande'!A9:D9</f>
        <v>TOTAL RENDIMIENTOS GENERADOS POR LOS RECURSOS DEL FONDO DE JULIO DE 2023</v>
      </c>
      <c r="B9" s="1343"/>
      <c r="C9" s="1343"/>
      <c r="D9" s="1343"/>
      <c r="E9" s="259"/>
      <c r="F9" s="260">
        <f>F35</f>
        <v>10499940</v>
      </c>
      <c r="I9" s="13"/>
      <c r="J9" s="12"/>
    </row>
    <row r="10" spans="1:25" ht="18.600000000000001" customHeight="1">
      <c r="A10" s="1333" t="s">
        <v>307</v>
      </c>
      <c r="B10" s="1334"/>
      <c r="C10" s="1334"/>
      <c r="D10" s="1334"/>
      <c r="E10" s="261">
        <v>112185</v>
      </c>
      <c r="F10" s="262"/>
    </row>
    <row r="11" spans="1:25" ht="18.600000000000001" customHeight="1">
      <c r="A11" s="543" t="s">
        <v>365</v>
      </c>
      <c r="B11" s="544"/>
      <c r="C11" s="544"/>
      <c r="D11" s="544"/>
      <c r="E11" s="261">
        <v>695680</v>
      </c>
      <c r="F11" s="262"/>
    </row>
    <row r="12" spans="1:25" ht="18.600000000000001" customHeight="1">
      <c r="A12" s="574" t="s">
        <v>427</v>
      </c>
      <c r="B12" s="575"/>
      <c r="C12" s="575"/>
      <c r="D12" s="575"/>
      <c r="E12" s="261">
        <v>696487</v>
      </c>
      <c r="F12" s="262"/>
    </row>
    <row r="13" spans="1:25" ht="18.600000000000001" customHeight="1">
      <c r="A13" s="651" t="s">
        <v>462</v>
      </c>
      <c r="B13" s="652"/>
      <c r="C13" s="652"/>
      <c r="D13" s="652"/>
      <c r="E13" s="261">
        <v>697294</v>
      </c>
      <c r="F13" s="262"/>
    </row>
    <row r="14" spans="1:25" ht="18.600000000000001" customHeight="1">
      <c r="A14" s="670" t="s">
        <v>494</v>
      </c>
      <c r="B14" s="671"/>
      <c r="C14" s="671"/>
      <c r="D14" s="671"/>
      <c r="E14" s="261">
        <v>698102</v>
      </c>
      <c r="F14" s="262"/>
    </row>
    <row r="15" spans="1:25" ht="18.600000000000001" customHeight="1">
      <c r="A15" s="689" t="s">
        <v>501</v>
      </c>
      <c r="B15" s="690"/>
      <c r="C15" s="690"/>
      <c r="D15" s="690"/>
      <c r="E15" s="261">
        <v>751646</v>
      </c>
      <c r="F15" s="262"/>
    </row>
    <row r="16" spans="1:25" ht="18.600000000000001" customHeight="1">
      <c r="A16" s="725" t="s">
        <v>515</v>
      </c>
      <c r="B16" s="726"/>
      <c r="C16" s="726"/>
      <c r="D16" s="726"/>
      <c r="E16" s="261">
        <v>1351575</v>
      </c>
      <c r="F16" s="262"/>
    </row>
    <row r="17" spans="1:7" ht="18.600000000000001" customHeight="1">
      <c r="A17" s="743" t="s">
        <v>520</v>
      </c>
      <c r="B17" s="744"/>
      <c r="C17" s="744"/>
      <c r="D17" s="744"/>
      <c r="E17" s="261">
        <v>1156501</v>
      </c>
      <c r="F17" s="262"/>
    </row>
    <row r="18" spans="1:7" ht="18.600000000000001" customHeight="1">
      <c r="A18" s="773" t="s">
        <v>537</v>
      </c>
      <c r="B18" s="774"/>
      <c r="C18" s="774"/>
      <c r="D18" s="774"/>
      <c r="E18" s="261">
        <v>296007</v>
      </c>
      <c r="F18" s="262"/>
    </row>
    <row r="19" spans="1:7" ht="18.600000000000001" customHeight="1">
      <c r="A19" s="793" t="s">
        <v>567</v>
      </c>
      <c r="B19" s="794"/>
      <c r="C19" s="794"/>
      <c r="D19" s="794"/>
      <c r="E19" s="261">
        <v>75762</v>
      </c>
      <c r="F19" s="262"/>
    </row>
    <row r="20" spans="1:7" ht="18.600000000000001" customHeight="1">
      <c r="A20" s="811" t="s">
        <v>577</v>
      </c>
      <c r="B20" s="812"/>
      <c r="C20" s="812"/>
      <c r="D20" s="812"/>
      <c r="E20" s="261">
        <v>75949</v>
      </c>
      <c r="F20" s="262"/>
    </row>
    <row r="21" spans="1:7" ht="18.600000000000001" customHeight="1">
      <c r="A21" s="874" t="s">
        <v>625</v>
      </c>
      <c r="B21" s="875"/>
      <c r="C21" s="875"/>
      <c r="D21" s="875"/>
      <c r="E21" s="261">
        <v>126244</v>
      </c>
      <c r="F21" s="262"/>
    </row>
    <row r="22" spans="1:7" ht="18.600000000000001" customHeight="1">
      <c r="A22" s="895" t="s">
        <v>638</v>
      </c>
      <c r="B22" s="896"/>
      <c r="C22" s="896"/>
      <c r="D22" s="896"/>
      <c r="E22" s="261">
        <v>163098</v>
      </c>
      <c r="F22" s="262"/>
    </row>
    <row r="23" spans="1:7" ht="18.600000000000001" customHeight="1">
      <c r="A23" s="904" t="s">
        <v>647</v>
      </c>
      <c r="B23" s="905"/>
      <c r="C23" s="905"/>
      <c r="D23" s="905"/>
      <c r="E23" s="261">
        <v>163956</v>
      </c>
      <c r="F23" s="262"/>
    </row>
    <row r="24" spans="1:7" ht="18.600000000000001" customHeight="1">
      <c r="A24" s="924" t="s">
        <v>655</v>
      </c>
      <c r="B24" s="925"/>
      <c r="C24" s="925"/>
      <c r="D24" s="925"/>
      <c r="E24" s="261">
        <v>186979</v>
      </c>
      <c r="F24" s="262"/>
    </row>
    <row r="25" spans="1:7" ht="18.600000000000001" customHeight="1">
      <c r="A25" s="948" t="s">
        <v>665</v>
      </c>
      <c r="B25" s="949"/>
      <c r="C25" s="949"/>
      <c r="D25" s="949"/>
      <c r="E25" s="261">
        <v>196205</v>
      </c>
      <c r="F25" s="262"/>
    </row>
    <row r="26" spans="1:7" ht="18.600000000000001" customHeight="1">
      <c r="A26" s="966" t="s">
        <v>677</v>
      </c>
      <c r="B26" s="967"/>
      <c r="C26" s="967"/>
      <c r="D26" s="967"/>
      <c r="E26" s="261">
        <f>323555+100</f>
        <v>323655</v>
      </c>
      <c r="F26" s="262"/>
    </row>
    <row r="27" spans="1:7" ht="18.600000000000001" customHeight="1">
      <c r="A27" s="989" t="s">
        <v>687</v>
      </c>
      <c r="B27" s="990"/>
      <c r="C27" s="990"/>
      <c r="D27" s="990"/>
      <c r="E27" s="261">
        <v>411977</v>
      </c>
      <c r="F27" s="262"/>
    </row>
    <row r="28" spans="1:7" ht="18.600000000000001" customHeight="1">
      <c r="A28" s="1011" t="s">
        <v>720</v>
      </c>
      <c r="B28" s="1012"/>
      <c r="C28" s="1012"/>
      <c r="D28" s="1012"/>
      <c r="E28" s="261">
        <v>414628</v>
      </c>
      <c r="F28" s="262"/>
    </row>
    <row r="29" spans="1:7" ht="18.600000000000001" customHeight="1">
      <c r="A29" s="1032" t="s">
        <v>729</v>
      </c>
      <c r="B29" s="1033"/>
      <c r="C29" s="1033"/>
      <c r="D29" s="1033"/>
      <c r="E29" s="261">
        <v>417296</v>
      </c>
      <c r="F29" s="262"/>
    </row>
    <row r="30" spans="1:7" ht="18.600000000000001" customHeight="1">
      <c r="A30" s="1069" t="s">
        <v>748</v>
      </c>
      <c r="B30" s="1070"/>
      <c r="C30" s="1070"/>
      <c r="D30" s="1070"/>
      <c r="E30" s="261">
        <v>419980</v>
      </c>
      <c r="F30" s="262"/>
    </row>
    <row r="31" spans="1:7" ht="18.600000000000001" customHeight="1">
      <c r="A31" s="1090" t="str">
        <f>+'Anexo 23 Dpto Norte de Santande'!A33</f>
        <v>Rendimientos financieros AL 31 DE MAYO DE 2023</v>
      </c>
      <c r="B31" s="1091"/>
      <c r="C31" s="1091"/>
      <c r="D31" s="1091"/>
      <c r="E31" s="261">
        <v>422683</v>
      </c>
      <c r="F31" s="262"/>
      <c r="G31" s="785">
        <f>+SUM(E2:E31)</f>
        <v>9853889</v>
      </c>
    </row>
    <row r="32" spans="1:7" ht="18.600000000000001" customHeight="1">
      <c r="A32" s="1100" t="str">
        <f>+'Anexo 23 Dpto Norte de Santande'!A34</f>
        <v>Rendimientos financieros AL 30 DE JUNIO DE 2023</v>
      </c>
      <c r="B32" s="1101"/>
      <c r="C32" s="1101"/>
      <c r="D32" s="1101"/>
      <c r="E32" s="261">
        <f>266923+1-1</f>
        <v>266923</v>
      </c>
      <c r="F32" s="262"/>
    </row>
    <row r="33" spans="1:33" ht="18.600000000000001" customHeight="1">
      <c r="A33" s="1128" t="str">
        <f>+'Anexo 23 Dpto Norte de Santande'!A35</f>
        <v>Rendimientos financieros AL 31 DE JULIO DE 2023</v>
      </c>
      <c r="B33" s="1129"/>
      <c r="C33" s="1129"/>
      <c r="D33" s="1129"/>
      <c r="E33" s="261">
        <v>379128</v>
      </c>
      <c r="F33" s="262"/>
    </row>
    <row r="34" spans="1:33" s="5" customFormat="1" ht="18.600000000000001" customHeight="1">
      <c r="A34" s="268"/>
      <c r="B34" s="269"/>
      <c r="C34" s="269"/>
      <c r="D34" s="269"/>
      <c r="E34" s="263"/>
      <c r="F34" s="264"/>
      <c r="G34" s="776" t="s">
        <v>535</v>
      </c>
      <c r="H34" s="775" t="s">
        <v>536</v>
      </c>
      <c r="I34" s="775" t="s">
        <v>516</v>
      </c>
      <c r="J34" s="742" t="s">
        <v>65</v>
      </c>
      <c r="Z34" s="6"/>
      <c r="AA34" s="6"/>
      <c r="AB34" s="6"/>
      <c r="AC34" s="6"/>
      <c r="AD34" s="6"/>
      <c r="AE34" s="6"/>
      <c r="AF34" s="6"/>
      <c r="AG34" s="6"/>
    </row>
    <row r="35" spans="1:33" s="5" customFormat="1" ht="24.75" customHeight="1" thickBot="1">
      <c r="A35" s="14" t="str">
        <f>+'Anexo 23 Dpto Norte de Santande'!A37</f>
        <v>TOTAL RENDIMIENTOS DISPONIBLES AL 31 DE JULIO DE 2023</v>
      </c>
      <c r="B35" s="15"/>
      <c r="C35" s="15"/>
      <c r="D35" s="15"/>
      <c r="E35" s="265"/>
      <c r="F35" s="266">
        <f>SUM(E9:E34)</f>
        <v>10499940</v>
      </c>
      <c r="G35" s="5">
        <f>+F35+'Anexo 3-Porcion C-NC'!B35</f>
        <v>34763883</v>
      </c>
      <c r="H35" s="741">
        <f>+G35-F35</f>
        <v>24263943</v>
      </c>
      <c r="I35" s="5">
        <f>-'Anexo 3-Porcion C-NC'!B35</f>
        <v>-24263943</v>
      </c>
      <c r="J35" s="5">
        <f>+H35+I35</f>
        <v>0</v>
      </c>
      <c r="Z35" s="6"/>
      <c r="AA35" s="6"/>
      <c r="AB35" s="6"/>
      <c r="AC35" s="6"/>
      <c r="AD35" s="6"/>
      <c r="AE35" s="6"/>
      <c r="AF35" s="6"/>
      <c r="AG35" s="6"/>
    </row>
    <row r="36" spans="1:33" s="20" customFormat="1" ht="15.75">
      <c r="A36" s="6"/>
      <c r="B36" s="6"/>
      <c r="C36" s="16"/>
      <c r="D36" s="17"/>
      <c r="E36" s="18"/>
      <c r="F36" s="19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33" s="20" customFormat="1" ht="15.75">
      <c r="A37" s="6"/>
      <c r="B37" s="6"/>
      <c r="C37" s="16"/>
      <c r="D37" s="17"/>
      <c r="E37" s="21"/>
      <c r="F37" s="19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33" s="20" customFormat="1" ht="15.75">
      <c r="A38" s="6"/>
      <c r="B38" s="6"/>
      <c r="C38" s="16"/>
      <c r="D38" s="17"/>
      <c r="E38" s="22"/>
      <c r="F38" s="19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33" s="20" customFormat="1" ht="15.75">
      <c r="A39" s="6"/>
      <c r="B39" s="6"/>
      <c r="C39" s="16"/>
      <c r="D39" s="17"/>
      <c r="E39" s="22"/>
      <c r="F39" s="19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33" s="5" customFormat="1" ht="16.5" thickBot="1">
      <c r="A40" s="23"/>
      <c r="B40" s="24"/>
      <c r="C40" s="25"/>
      <c r="D40" s="131"/>
      <c r="E40" s="132"/>
      <c r="F40" s="133"/>
    </row>
    <row r="41" spans="1:33" s="5" customFormat="1" ht="15" customHeight="1">
      <c r="A41" s="1336" t="s">
        <v>135</v>
      </c>
      <c r="B41" s="1336"/>
      <c r="C41" s="1"/>
      <c r="D41" s="1336" t="s">
        <v>517</v>
      </c>
      <c r="E41" s="1336"/>
      <c r="F41" s="364"/>
    </row>
    <row r="42" spans="1:33" s="5" customFormat="1" ht="14.45" customHeight="1">
      <c r="A42" s="1332" t="s">
        <v>145</v>
      </c>
      <c r="B42" s="1332"/>
      <c r="C42" s="2"/>
      <c r="D42" s="1332" t="s">
        <v>519</v>
      </c>
      <c r="E42" s="1332"/>
      <c r="F42" s="365"/>
    </row>
    <row r="43" spans="1:33" s="5" customFormat="1" ht="15.75" customHeight="1">
      <c r="A43" s="1332" t="s">
        <v>48</v>
      </c>
      <c r="B43" s="1332"/>
      <c r="C43" s="2"/>
      <c r="D43" s="1332" t="s">
        <v>48</v>
      </c>
      <c r="E43" s="1332"/>
      <c r="F43" s="365"/>
    </row>
    <row r="44" spans="1:33" s="20" customFormat="1" ht="15.75" customHeight="1">
      <c r="A44" s="6"/>
      <c r="B44" s="6"/>
      <c r="C44" s="16"/>
      <c r="D44" s="1335" t="s">
        <v>518</v>
      </c>
      <c r="E44" s="1335"/>
      <c r="F44" s="36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</row>
    <row r="45" spans="1:33" s="20" customFormat="1" ht="15.75">
      <c r="A45" s="6"/>
      <c r="B45" s="6"/>
      <c r="C45" s="16"/>
      <c r="D45" s="17"/>
      <c r="E45" s="22"/>
      <c r="F45" s="19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</row>
    <row r="46" spans="1:33" s="20" customFormat="1" ht="15.75">
      <c r="A46" s="6"/>
      <c r="B46" s="6"/>
      <c r="C46" s="16"/>
      <c r="D46" s="17"/>
      <c r="E46" s="22"/>
      <c r="F46" s="19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</row>
    <row r="47" spans="1:33" s="20" customFormat="1" ht="15.75">
      <c r="A47" s="27"/>
      <c r="B47" s="27"/>
      <c r="C47" s="27"/>
      <c r="D47" s="27"/>
      <c r="E47" s="27"/>
      <c r="F47" s="19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</row>
    <row r="48" spans="1:33" s="5" customFormat="1" ht="15.75">
      <c r="A48" s="27"/>
      <c r="B48" s="27"/>
      <c r="C48" s="27"/>
      <c r="D48" s="27"/>
      <c r="E48" s="27"/>
      <c r="F48" s="26"/>
    </row>
    <row r="49" spans="1:25" s="5" customFormat="1" ht="15" customHeight="1">
      <c r="A49" s="27"/>
      <c r="B49" s="27"/>
      <c r="C49" s="27"/>
      <c r="D49" s="27"/>
      <c r="E49" s="27"/>
      <c r="F49" s="26"/>
    </row>
    <row r="50" spans="1:25" s="5" customFormat="1" ht="14.45" customHeight="1">
      <c r="A50" s="27"/>
      <c r="B50" s="27"/>
      <c r="C50" s="27"/>
      <c r="D50" s="27"/>
      <c r="E50" s="27"/>
      <c r="F50" s="26"/>
    </row>
    <row r="51" spans="1:25" s="5" customFormat="1" ht="14.45" customHeight="1">
      <c r="A51" s="27"/>
      <c r="B51" s="27"/>
      <c r="C51" s="27"/>
      <c r="D51" s="27"/>
      <c r="E51" s="27"/>
      <c r="F51" s="26"/>
    </row>
    <row r="52" spans="1:25" s="20" customFormat="1" ht="15.75">
      <c r="A52" s="27"/>
      <c r="B52" s="27"/>
      <c r="C52" s="27"/>
      <c r="D52" s="27"/>
      <c r="E52" s="27"/>
      <c r="F52" s="19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</row>
    <row r="53" spans="1:25" s="20" customFormat="1" ht="15.75">
      <c r="A53" s="6"/>
      <c r="B53" s="6"/>
      <c r="C53" s="16"/>
      <c r="D53" s="17"/>
      <c r="E53" s="6"/>
      <c r="F53" s="19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</row>
    <row r="54" spans="1:25" s="20" customFormat="1" ht="15.75">
      <c r="A54" s="6"/>
      <c r="B54" s="6"/>
      <c r="C54" s="16"/>
      <c r="D54" s="17"/>
      <c r="E54" s="6"/>
      <c r="F54" s="19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</row>
    <row r="55" spans="1:25" s="20" customFormat="1" ht="15.75">
      <c r="A55" s="6"/>
      <c r="B55" s="6"/>
      <c r="C55" s="16"/>
      <c r="D55" s="17"/>
      <c r="E55" s="6"/>
      <c r="F55" s="19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</row>
    <row r="56" spans="1:25" s="20" customFormat="1" ht="15.75">
      <c r="A56" s="6"/>
      <c r="B56" s="6"/>
      <c r="C56" s="16"/>
      <c r="D56" s="17"/>
      <c r="E56" s="6"/>
      <c r="F56" s="19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</row>
    <row r="57" spans="1:25" s="20" customFormat="1" ht="15.75">
      <c r="A57" s="6"/>
      <c r="B57" s="6"/>
      <c r="C57" s="16"/>
      <c r="D57" s="17"/>
      <c r="E57" s="6"/>
      <c r="F57" s="19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</row>
    <row r="58" spans="1:25" s="20" customFormat="1" ht="15.75">
      <c r="A58" s="6"/>
      <c r="B58" s="6"/>
      <c r="C58" s="16"/>
      <c r="D58" s="17"/>
      <c r="E58" s="6"/>
      <c r="F58" s="19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</row>
    <row r="59" spans="1:25" s="20" customFormat="1" ht="15.75">
      <c r="A59" s="6"/>
      <c r="B59" s="6"/>
      <c r="C59" s="16"/>
      <c r="D59" s="17"/>
      <c r="E59" s="6"/>
      <c r="F59" s="19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</row>
    <row r="60" spans="1:25" s="20" customFormat="1" ht="15.75">
      <c r="A60" s="6"/>
      <c r="B60" s="6"/>
      <c r="C60" s="16"/>
      <c r="D60" s="17"/>
      <c r="E60" s="6"/>
      <c r="F60" s="19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</row>
    <row r="61" spans="1:25" s="20" customFormat="1" ht="15.75">
      <c r="A61" s="6"/>
      <c r="B61" s="6"/>
      <c r="C61" s="16"/>
      <c r="D61" s="17"/>
      <c r="E61" s="6"/>
      <c r="F61" s="19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</row>
    <row r="62" spans="1:25" s="20" customFormat="1" ht="15.75">
      <c r="A62" s="6"/>
      <c r="B62" s="6"/>
      <c r="C62" s="16"/>
      <c r="D62" s="17"/>
      <c r="E62" s="6"/>
      <c r="F62" s="19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</row>
    <row r="63" spans="1:25" s="20" customFormat="1" ht="15.75">
      <c r="A63" s="6"/>
      <c r="B63" s="6"/>
      <c r="C63" s="16"/>
      <c r="D63" s="17"/>
      <c r="E63" s="6"/>
      <c r="F63" s="19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</row>
    <row r="64" spans="1:25" s="20" customFormat="1" ht="15.75">
      <c r="A64" s="6"/>
      <c r="B64" s="6"/>
      <c r="C64" s="16"/>
      <c r="D64" s="17"/>
      <c r="E64" s="6"/>
      <c r="F64" s="19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</row>
    <row r="65" spans="1:25" s="20" customFormat="1" ht="15.75">
      <c r="A65" s="6"/>
      <c r="B65" s="6"/>
      <c r="C65" s="16"/>
      <c r="D65" s="17"/>
      <c r="E65" s="6"/>
      <c r="F65" s="19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</row>
    <row r="66" spans="1:25" s="20" customFormat="1" ht="15.75">
      <c r="A66" s="6"/>
      <c r="B66" s="6"/>
      <c r="C66" s="16"/>
      <c r="D66" s="17"/>
      <c r="E66" s="6"/>
      <c r="F66" s="19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</row>
    <row r="67" spans="1:25" s="20" customFormat="1" ht="15.75">
      <c r="A67" s="6"/>
      <c r="B67" s="6"/>
      <c r="C67" s="16"/>
      <c r="D67" s="17"/>
      <c r="E67" s="6"/>
      <c r="F67" s="19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</row>
    <row r="68" spans="1:25" s="20" customFormat="1" ht="15.75">
      <c r="A68" s="6"/>
      <c r="B68" s="6"/>
      <c r="C68" s="16"/>
      <c r="D68" s="17"/>
      <c r="E68" s="6"/>
      <c r="F68" s="19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</row>
    <row r="69" spans="1:25" s="20" customFormat="1" ht="15.75">
      <c r="A69" s="6"/>
      <c r="B69" s="6"/>
      <c r="C69" s="16"/>
      <c r="D69" s="17"/>
      <c r="E69" s="6"/>
      <c r="F69" s="19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</row>
    <row r="70" spans="1:25" s="20" customFormat="1" ht="15.75">
      <c r="A70" s="6"/>
      <c r="B70" s="6"/>
      <c r="C70" s="16"/>
      <c r="D70" s="17"/>
      <c r="E70" s="6"/>
      <c r="F70" s="19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</row>
    <row r="71" spans="1:25" s="20" customFormat="1" ht="15.75">
      <c r="A71" s="6"/>
      <c r="B71" s="6"/>
      <c r="C71" s="16"/>
      <c r="D71" s="17"/>
      <c r="E71" s="6"/>
      <c r="F71" s="19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</row>
    <row r="72" spans="1:25" s="20" customFormat="1" ht="89.25" customHeight="1">
      <c r="A72" s="6"/>
      <c r="B72" s="6"/>
      <c r="C72" s="16"/>
      <c r="D72" s="17"/>
      <c r="E72" s="6"/>
      <c r="F72" s="19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</row>
    <row r="73" spans="1:25" s="20" customFormat="1" ht="89.25" customHeight="1">
      <c r="A73" s="6"/>
      <c r="B73" s="6"/>
      <c r="C73" s="16"/>
      <c r="D73" s="17"/>
      <c r="E73" s="6"/>
      <c r="F73" s="19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</row>
    <row r="74" spans="1:25" s="20" customFormat="1" ht="89.25" customHeight="1">
      <c r="A74" s="6"/>
      <c r="B74" s="6"/>
      <c r="C74" s="16"/>
      <c r="D74" s="17"/>
      <c r="E74" s="6"/>
      <c r="F74" s="19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</row>
    <row r="75" spans="1:25" s="20" customFormat="1" ht="89.25" customHeight="1">
      <c r="A75" s="6"/>
      <c r="B75" s="6"/>
      <c r="C75" s="16"/>
      <c r="D75" s="17"/>
      <c r="E75" s="6"/>
      <c r="F75" s="19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</row>
    <row r="76" spans="1:25" s="20" customFormat="1" ht="89.25" customHeight="1">
      <c r="A76" s="6"/>
      <c r="B76" s="6"/>
      <c r="C76" s="16"/>
      <c r="D76" s="17"/>
      <c r="E76" s="6"/>
      <c r="F76" s="19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</row>
    <row r="77" spans="1:25" s="20" customFormat="1" ht="89.25" customHeight="1">
      <c r="A77" s="6"/>
      <c r="B77" s="6"/>
      <c r="C77" s="16"/>
      <c r="D77" s="17"/>
      <c r="E77" s="6"/>
      <c r="F77" s="19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</row>
    <row r="78" spans="1:25" s="20" customFormat="1" ht="89.25" customHeight="1">
      <c r="A78" s="6"/>
      <c r="B78" s="6"/>
      <c r="C78" s="16"/>
      <c r="D78" s="17"/>
      <c r="E78" s="6"/>
      <c r="F78" s="19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</row>
    <row r="79" spans="1:25" s="20" customFormat="1" ht="89.25" customHeight="1">
      <c r="A79" s="6"/>
      <c r="B79" s="6"/>
      <c r="C79" s="16"/>
      <c r="D79" s="17"/>
      <c r="E79" s="6"/>
      <c r="F79" s="19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</row>
    <row r="80" spans="1:25" s="20" customFormat="1" ht="89.25" customHeight="1">
      <c r="A80" s="6"/>
      <c r="B80" s="6"/>
      <c r="C80" s="16"/>
      <c r="D80" s="17"/>
      <c r="E80" s="6"/>
      <c r="F80" s="19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</row>
    <row r="81" spans="1:25" s="20" customFormat="1" ht="89.25" customHeight="1">
      <c r="A81" s="6"/>
      <c r="B81" s="6"/>
      <c r="C81" s="16"/>
      <c r="D81" s="17"/>
      <c r="E81" s="6"/>
      <c r="F81" s="19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</row>
    <row r="82" spans="1:25" s="20" customFormat="1" ht="89.25" customHeight="1">
      <c r="A82" s="6"/>
      <c r="B82" s="6"/>
      <c r="C82" s="16"/>
      <c r="D82" s="17"/>
      <c r="E82" s="6"/>
      <c r="F82" s="19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</row>
    <row r="83" spans="1:25" s="20" customFormat="1" ht="89.25" customHeight="1">
      <c r="A83" s="6"/>
      <c r="B83" s="6"/>
      <c r="C83" s="16"/>
      <c r="D83" s="17"/>
      <c r="E83" s="6"/>
      <c r="F83" s="19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</row>
    <row r="84" spans="1:25" s="20" customFormat="1" ht="89.25" customHeight="1">
      <c r="A84" s="6"/>
      <c r="B84" s="6"/>
      <c r="C84" s="16"/>
      <c r="D84" s="17"/>
      <c r="E84" s="6"/>
      <c r="F84" s="19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</row>
    <row r="85" spans="1:25" s="20" customFormat="1" ht="89.25" customHeight="1">
      <c r="A85" s="6"/>
      <c r="B85" s="6"/>
      <c r="C85" s="16"/>
      <c r="D85" s="17"/>
      <c r="E85" s="6"/>
      <c r="F85" s="19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</row>
    <row r="86" spans="1:25" s="20" customFormat="1" ht="89.25" customHeight="1">
      <c r="A86" s="6"/>
      <c r="B86" s="6"/>
      <c r="C86" s="16"/>
      <c r="D86" s="17"/>
      <c r="E86" s="6"/>
      <c r="F86" s="19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</row>
    <row r="87" spans="1:25" s="20" customFormat="1" ht="89.25" customHeight="1">
      <c r="A87" s="6"/>
      <c r="B87" s="6"/>
      <c r="C87" s="16"/>
      <c r="D87" s="17"/>
      <c r="E87" s="6"/>
      <c r="F87" s="19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</row>
    <row r="88" spans="1:25" s="20" customFormat="1" ht="89.25" customHeight="1">
      <c r="A88" s="6"/>
      <c r="B88" s="6"/>
      <c r="C88" s="16"/>
      <c r="D88" s="17"/>
      <c r="E88" s="6"/>
      <c r="F88" s="19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</row>
    <row r="89" spans="1:25" s="20" customFormat="1" ht="89.25" customHeight="1">
      <c r="A89" s="6"/>
      <c r="B89" s="6"/>
      <c r="C89" s="16"/>
      <c r="D89" s="17"/>
      <c r="E89" s="6"/>
      <c r="F89" s="19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</row>
    <row r="90" spans="1:25" s="20" customFormat="1" ht="89.25" customHeight="1">
      <c r="A90" s="6"/>
      <c r="B90" s="6"/>
      <c r="C90" s="16"/>
      <c r="D90" s="17"/>
      <c r="E90" s="6"/>
      <c r="F90" s="19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</row>
    <row r="91" spans="1:25" s="20" customFormat="1" ht="89.25" customHeight="1">
      <c r="A91" s="6"/>
      <c r="B91" s="6"/>
      <c r="C91" s="16"/>
      <c r="D91" s="17"/>
      <c r="E91" s="6"/>
      <c r="F91" s="19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</row>
    <row r="92" spans="1:25" s="20" customFormat="1" ht="89.25" customHeight="1">
      <c r="A92" s="6"/>
      <c r="B92" s="6"/>
      <c r="C92" s="16"/>
      <c r="D92" s="17"/>
      <c r="E92" s="6"/>
      <c r="F92" s="19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</row>
    <row r="93" spans="1:25" s="20" customFormat="1" ht="89.25" customHeight="1">
      <c r="A93" s="6"/>
      <c r="B93" s="6"/>
      <c r="C93" s="16"/>
      <c r="D93" s="17"/>
      <c r="E93" s="6"/>
      <c r="F93" s="19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</row>
    <row r="94" spans="1:25" s="20" customFormat="1" ht="89.25" customHeight="1">
      <c r="A94" s="6"/>
      <c r="B94" s="6"/>
      <c r="C94" s="16"/>
      <c r="D94" s="17"/>
      <c r="E94" s="6"/>
      <c r="F94" s="19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</row>
    <row r="95" spans="1:25" s="20" customFormat="1" ht="89.25" customHeight="1">
      <c r="A95" s="6"/>
      <c r="B95" s="6"/>
      <c r="C95" s="16"/>
      <c r="D95" s="17"/>
      <c r="E95" s="6"/>
      <c r="F95" s="19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</row>
    <row r="96" spans="1:25" s="20" customFormat="1" ht="89.25" customHeight="1">
      <c r="A96" s="6"/>
      <c r="B96" s="6"/>
      <c r="C96" s="16"/>
      <c r="D96" s="17"/>
      <c r="E96" s="6"/>
      <c r="F96" s="19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</row>
    <row r="97" spans="1:25" s="20" customFormat="1" ht="89.25" customHeight="1">
      <c r="A97" s="6"/>
      <c r="B97" s="6"/>
      <c r="C97" s="16"/>
      <c r="D97" s="17"/>
      <c r="E97" s="6"/>
      <c r="F97" s="19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</row>
    <row r="98" spans="1:25" s="20" customFormat="1" ht="89.25" customHeight="1">
      <c r="A98" s="6"/>
      <c r="B98" s="6"/>
      <c r="C98" s="16"/>
      <c r="D98" s="17"/>
      <c r="E98" s="6"/>
      <c r="F98" s="19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</row>
    <row r="99" spans="1:25" s="20" customFormat="1" ht="89.25" customHeight="1">
      <c r="A99" s="6"/>
      <c r="B99" s="6"/>
      <c r="C99" s="16"/>
      <c r="D99" s="17"/>
      <c r="E99" s="6"/>
      <c r="F99" s="19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</row>
    <row r="100" spans="1:25" s="20" customFormat="1" ht="89.25" customHeight="1">
      <c r="A100" s="6"/>
      <c r="B100" s="6"/>
      <c r="C100" s="16"/>
      <c r="D100" s="17"/>
      <c r="E100" s="6"/>
      <c r="F100" s="19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</row>
    <row r="101" spans="1:25" s="20" customFormat="1" ht="89.25" customHeight="1">
      <c r="A101" s="6"/>
      <c r="B101" s="6"/>
      <c r="C101" s="16"/>
      <c r="D101" s="17"/>
      <c r="E101" s="6"/>
      <c r="F101" s="19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</row>
    <row r="102" spans="1:25" s="20" customFormat="1" ht="89.25" customHeight="1">
      <c r="A102" s="6"/>
      <c r="B102" s="6"/>
      <c r="C102" s="16"/>
      <c r="D102" s="17"/>
      <c r="E102" s="6"/>
      <c r="F102" s="19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</row>
    <row r="103" spans="1:25" s="20" customFormat="1" ht="89.25" customHeight="1">
      <c r="A103" s="6"/>
      <c r="B103" s="6"/>
      <c r="C103" s="16"/>
      <c r="D103" s="17"/>
      <c r="E103" s="6"/>
      <c r="F103" s="19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</row>
    <row r="104" spans="1:25" s="20" customFormat="1" ht="89.25" customHeight="1">
      <c r="A104" s="6"/>
      <c r="B104" s="6"/>
      <c r="C104" s="16"/>
      <c r="D104" s="17"/>
      <c r="E104" s="6"/>
      <c r="F104" s="19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</row>
    <row r="105" spans="1:25" s="20" customFormat="1" ht="89.25" customHeight="1">
      <c r="A105" s="6"/>
      <c r="B105" s="6"/>
      <c r="C105" s="16"/>
      <c r="D105" s="17"/>
      <c r="E105" s="6"/>
      <c r="F105" s="19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</row>
    <row r="106" spans="1:25" s="20" customFormat="1" ht="89.25" customHeight="1">
      <c r="A106" s="6"/>
      <c r="B106" s="6"/>
      <c r="C106" s="16"/>
      <c r="D106" s="17"/>
      <c r="E106" s="6"/>
      <c r="F106" s="19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</row>
    <row r="107" spans="1:25" s="20" customFormat="1" ht="89.25" customHeight="1">
      <c r="A107" s="6"/>
      <c r="B107" s="6"/>
      <c r="C107" s="16"/>
      <c r="D107" s="17"/>
      <c r="E107" s="6"/>
      <c r="F107" s="19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</row>
    <row r="108" spans="1:25" s="20" customFormat="1" ht="89.25" customHeight="1">
      <c r="A108" s="6"/>
      <c r="B108" s="6"/>
      <c r="C108" s="16"/>
      <c r="D108" s="17"/>
      <c r="E108" s="6"/>
      <c r="F108" s="19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</row>
    <row r="109" spans="1:25" s="20" customFormat="1" ht="89.25" customHeight="1">
      <c r="A109" s="6"/>
      <c r="B109" s="6"/>
      <c r="C109" s="16"/>
      <c r="D109" s="17"/>
      <c r="E109" s="6"/>
      <c r="F109" s="19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</row>
    <row r="110" spans="1:25" s="20" customFormat="1" ht="89.25" customHeight="1">
      <c r="A110" s="6"/>
      <c r="B110" s="6"/>
      <c r="C110" s="16"/>
      <c r="D110" s="17"/>
      <c r="E110" s="6"/>
      <c r="F110" s="19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</row>
    <row r="111" spans="1:25" s="20" customFormat="1" ht="89.25" customHeight="1">
      <c r="A111" s="6"/>
      <c r="B111" s="6"/>
      <c r="C111" s="16"/>
      <c r="D111" s="17"/>
      <c r="E111" s="6"/>
      <c r="F111" s="19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</row>
    <row r="112" spans="1:25" s="20" customFormat="1" ht="89.25" customHeight="1">
      <c r="A112" s="6"/>
      <c r="B112" s="6"/>
      <c r="C112" s="16"/>
      <c r="D112" s="17"/>
      <c r="E112" s="6"/>
      <c r="F112" s="19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</row>
    <row r="113" spans="1:25" s="20" customFormat="1" ht="89.25" customHeight="1">
      <c r="A113" s="6"/>
      <c r="B113" s="6"/>
      <c r="C113" s="16"/>
      <c r="D113" s="17"/>
      <c r="E113" s="6"/>
      <c r="F113" s="19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</row>
    <row r="114" spans="1:25" s="20" customFormat="1" ht="89.25" customHeight="1">
      <c r="A114" s="6"/>
      <c r="B114" s="6"/>
      <c r="C114" s="16"/>
      <c r="D114" s="17"/>
      <c r="E114" s="6"/>
      <c r="F114" s="19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</row>
    <row r="115" spans="1:25" s="20" customFormat="1" ht="89.25" customHeight="1">
      <c r="A115" s="6"/>
      <c r="B115" s="6"/>
      <c r="C115" s="16"/>
      <c r="D115" s="17"/>
      <c r="E115" s="6"/>
      <c r="F115" s="19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</row>
    <row r="116" spans="1:25" s="20" customFormat="1" ht="89.25" customHeight="1">
      <c r="A116" s="6"/>
      <c r="B116" s="6"/>
      <c r="C116" s="16"/>
      <c r="D116" s="17"/>
      <c r="E116" s="6"/>
      <c r="F116" s="19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</row>
    <row r="117" spans="1:25" s="20" customFormat="1" ht="89.25" customHeight="1">
      <c r="A117" s="6"/>
      <c r="B117" s="6"/>
      <c r="C117" s="16"/>
      <c r="D117" s="17"/>
      <c r="E117" s="6"/>
      <c r="F117" s="19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</row>
    <row r="118" spans="1:25" s="20" customFormat="1" ht="89.25" customHeight="1">
      <c r="A118" s="6"/>
      <c r="B118" s="6"/>
      <c r="C118" s="16"/>
      <c r="D118" s="17"/>
      <c r="E118" s="6"/>
      <c r="F118" s="19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</row>
    <row r="119" spans="1:25" s="20" customFormat="1" ht="89.25" customHeight="1">
      <c r="A119" s="6"/>
      <c r="B119" s="6"/>
      <c r="C119" s="16"/>
      <c r="D119" s="17"/>
      <c r="E119" s="6"/>
      <c r="F119" s="19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</row>
    <row r="120" spans="1:25" s="20" customFormat="1" ht="89.25" customHeight="1">
      <c r="A120" s="6"/>
      <c r="B120" s="6"/>
      <c r="C120" s="16"/>
      <c r="D120" s="17"/>
      <c r="E120" s="6"/>
      <c r="F120" s="19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</row>
    <row r="121" spans="1:25" s="20" customFormat="1" ht="89.25" customHeight="1">
      <c r="A121" s="6"/>
      <c r="B121" s="6"/>
      <c r="C121" s="16"/>
      <c r="D121" s="17"/>
      <c r="E121" s="6"/>
      <c r="F121" s="19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</row>
    <row r="122" spans="1:25" s="20" customFormat="1" ht="89.25" customHeight="1">
      <c r="A122" s="6"/>
      <c r="B122" s="6"/>
      <c r="C122" s="16"/>
      <c r="D122" s="17"/>
      <c r="E122" s="6"/>
      <c r="F122" s="19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</row>
    <row r="123" spans="1:25" s="20" customFormat="1" ht="89.25" customHeight="1">
      <c r="A123" s="6"/>
      <c r="B123" s="6"/>
      <c r="C123" s="16"/>
      <c r="D123" s="17"/>
      <c r="E123" s="6"/>
      <c r="F123" s="19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</row>
    <row r="124" spans="1:25" s="20" customFormat="1" ht="89.25" customHeight="1">
      <c r="A124" s="6"/>
      <c r="B124" s="6"/>
      <c r="C124" s="16"/>
      <c r="D124" s="17"/>
      <c r="E124" s="6"/>
      <c r="F124" s="19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</row>
    <row r="125" spans="1:25" s="20" customFormat="1" ht="89.25" customHeight="1">
      <c r="A125" s="6"/>
      <c r="B125" s="6"/>
      <c r="C125" s="16"/>
      <c r="D125" s="17"/>
      <c r="E125" s="6"/>
      <c r="F125" s="19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</row>
    <row r="126" spans="1:25" s="20" customFormat="1" ht="89.25" customHeight="1">
      <c r="A126" s="6"/>
      <c r="B126" s="6"/>
      <c r="C126" s="16"/>
      <c r="D126" s="17"/>
      <c r="E126" s="6"/>
      <c r="F126" s="19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</row>
    <row r="127" spans="1:25" s="20" customFormat="1" ht="89.25" customHeight="1">
      <c r="A127" s="6"/>
      <c r="B127" s="6"/>
      <c r="C127" s="16"/>
      <c r="D127" s="17"/>
      <c r="E127" s="6"/>
      <c r="F127" s="19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</row>
    <row r="128" spans="1:25" s="20" customFormat="1" ht="89.25" customHeight="1">
      <c r="A128" s="6"/>
      <c r="B128" s="6"/>
      <c r="C128" s="16"/>
      <c r="D128" s="17"/>
      <c r="E128" s="6"/>
      <c r="F128" s="19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</row>
    <row r="129" spans="1:25" s="20" customFormat="1" ht="89.25" customHeight="1">
      <c r="A129" s="6"/>
      <c r="B129" s="6"/>
      <c r="C129" s="16"/>
      <c r="D129" s="17"/>
      <c r="E129" s="6"/>
      <c r="F129" s="19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</row>
    <row r="130" spans="1:25" s="20" customFormat="1" ht="89.25" customHeight="1">
      <c r="A130" s="6"/>
      <c r="B130" s="6"/>
      <c r="C130" s="16"/>
      <c r="D130" s="17"/>
      <c r="E130" s="6"/>
      <c r="F130" s="19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</row>
    <row r="131" spans="1:25" s="20" customFormat="1" ht="89.25" customHeight="1">
      <c r="A131" s="6"/>
      <c r="B131" s="6"/>
      <c r="C131" s="16"/>
      <c r="D131" s="17"/>
      <c r="E131" s="6"/>
      <c r="F131" s="19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</row>
    <row r="132" spans="1:25" s="20" customFormat="1" ht="89.25" customHeight="1">
      <c r="A132" s="6"/>
      <c r="B132" s="6"/>
      <c r="C132" s="16"/>
      <c r="D132" s="17"/>
      <c r="E132" s="6"/>
      <c r="F132" s="19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</row>
    <row r="133" spans="1:25" s="20" customFormat="1" ht="89.25" customHeight="1">
      <c r="A133" s="6"/>
      <c r="B133" s="6"/>
      <c r="C133" s="16"/>
      <c r="D133" s="17"/>
      <c r="E133" s="6"/>
      <c r="F133" s="19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</row>
    <row r="134" spans="1:25" s="20" customFormat="1" ht="89.25" customHeight="1">
      <c r="A134" s="6"/>
      <c r="B134" s="6"/>
      <c r="C134" s="16"/>
      <c r="D134" s="17"/>
      <c r="E134" s="6"/>
      <c r="F134" s="19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</row>
    <row r="135" spans="1:25" s="20" customFormat="1" ht="89.25" customHeight="1">
      <c r="A135" s="6"/>
      <c r="B135" s="6"/>
      <c r="C135" s="16"/>
      <c r="D135" s="17"/>
      <c r="E135" s="6"/>
      <c r="F135" s="19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</row>
    <row r="136" spans="1:25" s="20" customFormat="1" ht="89.25" customHeight="1">
      <c r="A136" s="6"/>
      <c r="B136" s="6"/>
      <c r="C136" s="16"/>
      <c r="D136" s="17"/>
      <c r="E136" s="6"/>
      <c r="F136" s="19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</row>
    <row r="137" spans="1:25" s="20" customFormat="1" ht="89.25" customHeight="1">
      <c r="A137" s="6"/>
      <c r="B137" s="6"/>
      <c r="C137" s="16"/>
      <c r="D137" s="17"/>
      <c r="E137" s="6"/>
      <c r="F137" s="19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</row>
    <row r="138" spans="1:25" s="20" customFormat="1" ht="89.25" customHeight="1">
      <c r="A138" s="6"/>
      <c r="B138" s="6"/>
      <c r="C138" s="16"/>
      <c r="D138" s="17"/>
      <c r="E138" s="6"/>
      <c r="F138" s="19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</row>
    <row r="139" spans="1:25" s="20" customFormat="1" ht="89.25" customHeight="1">
      <c r="A139" s="6"/>
      <c r="B139" s="6"/>
      <c r="C139" s="16"/>
      <c r="D139" s="17"/>
      <c r="E139" s="6"/>
      <c r="F139" s="19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</row>
    <row r="140" spans="1:25" s="20" customFormat="1" ht="89.25" customHeight="1">
      <c r="A140" s="6"/>
      <c r="B140" s="6"/>
      <c r="C140" s="16"/>
      <c r="D140" s="17"/>
      <c r="E140" s="6"/>
      <c r="F140" s="19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</row>
    <row r="141" spans="1:25" s="20" customFormat="1" ht="89.25" customHeight="1">
      <c r="A141" s="6"/>
      <c r="B141" s="6"/>
      <c r="C141" s="16"/>
      <c r="D141" s="17"/>
      <c r="E141" s="6"/>
      <c r="F141" s="19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</row>
    <row r="142" spans="1:25" s="20" customFormat="1" ht="89.25" customHeight="1">
      <c r="A142" s="6"/>
      <c r="B142" s="6"/>
      <c r="C142" s="16"/>
      <c r="D142" s="17"/>
      <c r="E142" s="6"/>
      <c r="F142" s="19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</row>
    <row r="143" spans="1:25" s="20" customFormat="1" ht="89.25" customHeight="1">
      <c r="A143" s="6"/>
      <c r="B143" s="6"/>
      <c r="C143" s="16"/>
      <c r="D143" s="17"/>
      <c r="E143" s="6"/>
      <c r="F143" s="19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</row>
    <row r="144" spans="1:25" s="20" customFormat="1" ht="89.25" customHeight="1">
      <c r="A144" s="6"/>
      <c r="B144" s="6"/>
      <c r="C144" s="16"/>
      <c r="D144" s="17"/>
      <c r="E144" s="6"/>
      <c r="F144" s="19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</row>
    <row r="145" spans="1:25" s="20" customFormat="1" ht="89.25" customHeight="1">
      <c r="A145" s="6"/>
      <c r="B145" s="6"/>
      <c r="C145" s="16"/>
      <c r="D145" s="17"/>
      <c r="E145" s="6"/>
      <c r="F145" s="19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</row>
    <row r="146" spans="1:25" s="20" customFormat="1" ht="89.25" customHeight="1">
      <c r="A146" s="6"/>
      <c r="B146" s="6"/>
      <c r="C146" s="16"/>
      <c r="D146" s="17"/>
      <c r="E146" s="6"/>
      <c r="F146" s="19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</row>
    <row r="147" spans="1:25" s="20" customFormat="1" ht="89.25" customHeight="1">
      <c r="A147" s="6"/>
      <c r="B147" s="6"/>
      <c r="C147" s="16"/>
      <c r="D147" s="17"/>
      <c r="E147" s="6"/>
      <c r="F147" s="19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</row>
    <row r="148" spans="1:25" s="20" customFormat="1" ht="89.25" customHeight="1">
      <c r="A148" s="6"/>
      <c r="B148" s="6"/>
      <c r="C148" s="16"/>
      <c r="D148" s="17"/>
      <c r="E148" s="6"/>
      <c r="F148" s="19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</row>
    <row r="149" spans="1:25" s="20" customFormat="1" ht="89.25" customHeight="1">
      <c r="A149" s="6"/>
      <c r="B149" s="6"/>
      <c r="C149" s="16"/>
      <c r="D149" s="17"/>
      <c r="E149" s="6"/>
      <c r="F149" s="19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</row>
    <row r="150" spans="1:25" s="20" customFormat="1" ht="89.25" customHeight="1">
      <c r="A150" s="6"/>
      <c r="B150" s="6"/>
      <c r="C150" s="16"/>
      <c r="D150" s="17"/>
      <c r="E150" s="6"/>
      <c r="F150" s="19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</row>
    <row r="151" spans="1:25" s="20" customFormat="1" ht="89.25" customHeight="1">
      <c r="A151" s="6"/>
      <c r="B151" s="6"/>
      <c r="C151" s="16"/>
      <c r="D151" s="17"/>
      <c r="E151" s="6"/>
      <c r="F151" s="19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</row>
    <row r="152" spans="1:25" s="20" customFormat="1" ht="89.25" customHeight="1">
      <c r="A152" s="6"/>
      <c r="B152" s="6"/>
      <c r="C152" s="16"/>
      <c r="D152" s="17"/>
      <c r="E152" s="6"/>
      <c r="F152" s="19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</row>
    <row r="153" spans="1:25" s="20" customFormat="1" ht="89.25" customHeight="1">
      <c r="A153" s="6"/>
      <c r="B153" s="6"/>
      <c r="C153" s="16"/>
      <c r="D153" s="17"/>
      <c r="E153" s="6"/>
      <c r="F153" s="19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</row>
    <row r="154" spans="1:25" s="20" customFormat="1" ht="89.25" customHeight="1">
      <c r="A154" s="6"/>
      <c r="B154" s="6"/>
      <c r="C154" s="16"/>
      <c r="D154" s="17"/>
      <c r="E154" s="6"/>
      <c r="F154" s="19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</row>
    <row r="155" spans="1:25" s="20" customFormat="1" ht="89.25" customHeight="1">
      <c r="A155" s="6"/>
      <c r="B155" s="6"/>
      <c r="C155" s="16"/>
      <c r="D155" s="17"/>
      <c r="E155" s="6"/>
      <c r="F155" s="19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</row>
    <row r="156" spans="1:25" s="20" customFormat="1" ht="89.25" customHeight="1">
      <c r="A156" s="6"/>
      <c r="B156" s="6"/>
      <c r="C156" s="16"/>
      <c r="D156" s="17"/>
      <c r="E156" s="6"/>
      <c r="F156" s="19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</row>
    <row r="157" spans="1:25" s="20" customFormat="1" ht="89.25" customHeight="1">
      <c r="A157" s="6"/>
      <c r="B157" s="6"/>
      <c r="C157" s="16"/>
      <c r="D157" s="17"/>
      <c r="E157" s="6"/>
      <c r="F157" s="19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</row>
    <row r="158" spans="1:25" s="20" customFormat="1" ht="89.25" customHeight="1">
      <c r="A158" s="6"/>
      <c r="B158" s="6"/>
      <c r="C158" s="16"/>
      <c r="D158" s="17"/>
      <c r="E158" s="6"/>
      <c r="F158" s="19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</row>
    <row r="159" spans="1:25" s="20" customFormat="1" ht="89.25" customHeight="1">
      <c r="A159" s="6"/>
      <c r="B159" s="6"/>
      <c r="C159" s="16"/>
      <c r="D159" s="17"/>
      <c r="E159" s="6"/>
      <c r="F159" s="19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</row>
    <row r="160" spans="1:25" s="20" customFormat="1" ht="89.25" customHeight="1">
      <c r="A160" s="6"/>
      <c r="B160" s="6"/>
      <c r="C160" s="16"/>
      <c r="D160" s="17"/>
      <c r="E160" s="6"/>
      <c r="F160" s="19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</row>
    <row r="161" spans="1:25" s="20" customFormat="1" ht="89.25" customHeight="1">
      <c r="A161" s="6"/>
      <c r="B161" s="6"/>
      <c r="C161" s="16"/>
      <c r="D161" s="17"/>
      <c r="E161" s="6"/>
      <c r="F161" s="19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</row>
    <row r="162" spans="1:25" s="20" customFormat="1" ht="89.25" customHeight="1">
      <c r="A162" s="6"/>
      <c r="B162" s="6"/>
      <c r="C162" s="16"/>
      <c r="D162" s="17"/>
      <c r="E162" s="6"/>
      <c r="F162" s="19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</row>
    <row r="163" spans="1:25" s="20" customFormat="1" ht="89.25" customHeight="1">
      <c r="A163" s="6"/>
      <c r="B163" s="6"/>
      <c r="C163" s="16"/>
      <c r="D163" s="17"/>
      <c r="E163" s="6"/>
      <c r="F163" s="19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</row>
    <row r="164" spans="1:25" s="20" customFormat="1" ht="89.25" customHeight="1">
      <c r="A164" s="6"/>
      <c r="B164" s="6"/>
      <c r="C164" s="16"/>
      <c r="D164" s="17"/>
      <c r="E164" s="6"/>
      <c r="F164" s="19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</row>
    <row r="165" spans="1:25" s="20" customFormat="1" ht="89.25" customHeight="1">
      <c r="A165" s="6"/>
      <c r="B165" s="6"/>
      <c r="C165" s="16"/>
      <c r="D165" s="17"/>
      <c r="E165" s="6"/>
      <c r="F165" s="19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</row>
    <row r="166" spans="1:25" s="20" customFormat="1" ht="89.25" customHeight="1">
      <c r="A166" s="6"/>
      <c r="B166" s="6"/>
      <c r="C166" s="16"/>
      <c r="D166" s="17"/>
      <c r="E166" s="6"/>
      <c r="F166" s="19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</row>
    <row r="167" spans="1:25" s="20" customFormat="1" ht="89.25" customHeight="1">
      <c r="A167" s="6"/>
      <c r="B167" s="6"/>
      <c r="C167" s="16"/>
      <c r="D167" s="17"/>
      <c r="E167" s="6"/>
      <c r="F167" s="19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</row>
    <row r="168" spans="1:25" s="20" customFormat="1" ht="89.25" customHeight="1">
      <c r="A168" s="6"/>
      <c r="B168" s="6"/>
      <c r="C168" s="16"/>
      <c r="D168" s="17"/>
      <c r="E168" s="6"/>
      <c r="F168" s="19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</row>
    <row r="169" spans="1:25" s="20" customFormat="1" ht="89.25" customHeight="1">
      <c r="A169" s="6"/>
      <c r="B169" s="6"/>
      <c r="C169" s="16"/>
      <c r="D169" s="17"/>
      <c r="E169" s="6"/>
      <c r="F169" s="19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</row>
    <row r="170" spans="1:25" s="20" customFormat="1" ht="89.25" customHeight="1">
      <c r="A170" s="6"/>
      <c r="B170" s="6"/>
      <c r="C170" s="16"/>
      <c r="D170" s="17"/>
      <c r="E170" s="6"/>
      <c r="F170" s="19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</row>
    <row r="171" spans="1:25" s="20" customFormat="1" ht="89.25" customHeight="1">
      <c r="A171" s="6"/>
      <c r="B171" s="6"/>
      <c r="C171" s="16"/>
      <c r="D171" s="17"/>
      <c r="E171" s="6"/>
      <c r="F171" s="19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</row>
    <row r="172" spans="1:25" s="20" customFormat="1" ht="89.25" customHeight="1">
      <c r="A172" s="6"/>
      <c r="B172" s="6"/>
      <c r="C172" s="16"/>
      <c r="D172" s="17"/>
      <c r="E172" s="6"/>
      <c r="F172" s="19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</row>
    <row r="173" spans="1:25" s="20" customFormat="1" ht="89.25" customHeight="1">
      <c r="A173" s="6"/>
      <c r="B173" s="6"/>
      <c r="C173" s="16"/>
      <c r="D173" s="17"/>
      <c r="E173" s="6"/>
      <c r="F173" s="19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</row>
    <row r="174" spans="1:25" s="20" customFormat="1" ht="89.25" customHeight="1">
      <c r="A174" s="6"/>
      <c r="B174" s="6"/>
      <c r="C174" s="16"/>
      <c r="D174" s="17"/>
      <c r="E174" s="6"/>
      <c r="F174" s="19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</row>
    <row r="175" spans="1:25" s="20" customFormat="1" ht="89.25" customHeight="1">
      <c r="A175" s="6"/>
      <c r="B175" s="6"/>
      <c r="C175" s="16"/>
      <c r="D175" s="17"/>
      <c r="E175" s="6"/>
      <c r="F175" s="19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</row>
    <row r="176" spans="1:25" s="20" customFormat="1" ht="89.25" customHeight="1">
      <c r="A176" s="6"/>
      <c r="B176" s="6"/>
      <c r="C176" s="16"/>
      <c r="D176" s="17"/>
      <c r="E176" s="6"/>
      <c r="F176" s="19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</row>
    <row r="177" spans="1:25" s="20" customFormat="1" ht="89.25" customHeight="1">
      <c r="A177" s="6"/>
      <c r="B177" s="6"/>
      <c r="C177" s="16"/>
      <c r="D177" s="17"/>
      <c r="E177" s="6"/>
      <c r="F177" s="19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</row>
    <row r="178" spans="1:25" s="20" customFormat="1" ht="89.25" customHeight="1">
      <c r="A178" s="6"/>
      <c r="B178" s="6"/>
      <c r="C178" s="16"/>
      <c r="D178" s="17"/>
      <c r="E178" s="6"/>
      <c r="F178" s="19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</row>
    <row r="179" spans="1:25" s="20" customFormat="1" ht="89.25" customHeight="1">
      <c r="A179" s="6"/>
      <c r="B179" s="6"/>
      <c r="C179" s="16"/>
      <c r="D179" s="17"/>
      <c r="E179" s="6"/>
      <c r="F179" s="19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</row>
    <row r="180" spans="1:25" s="20" customFormat="1" ht="89.25" customHeight="1">
      <c r="A180" s="6"/>
      <c r="B180" s="6"/>
      <c r="C180" s="16"/>
      <c r="D180" s="17"/>
      <c r="E180" s="6"/>
      <c r="F180" s="19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</row>
    <row r="181" spans="1:25" s="20" customFormat="1" ht="89.25" customHeight="1">
      <c r="A181" s="6"/>
      <c r="B181" s="6"/>
      <c r="C181" s="16"/>
      <c r="D181" s="17"/>
      <c r="E181" s="6"/>
      <c r="F181" s="19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</row>
    <row r="182" spans="1:25" s="20" customFormat="1" ht="89.25" customHeight="1">
      <c r="A182" s="6"/>
      <c r="B182" s="6"/>
      <c r="C182" s="16"/>
      <c r="D182" s="17"/>
      <c r="E182" s="6"/>
      <c r="F182" s="19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</row>
    <row r="183" spans="1:25" s="20" customFormat="1" ht="89.25" customHeight="1">
      <c r="A183" s="6"/>
      <c r="B183" s="6"/>
      <c r="C183" s="16"/>
      <c r="D183" s="17"/>
      <c r="E183" s="6"/>
      <c r="F183" s="19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</row>
    <row r="184" spans="1:25" s="20" customFormat="1" ht="89.25" customHeight="1">
      <c r="A184" s="6"/>
      <c r="B184" s="6"/>
      <c r="C184" s="16"/>
      <c r="D184" s="17"/>
      <c r="E184" s="6"/>
      <c r="F184" s="19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</row>
    <row r="185" spans="1:25" s="20" customFormat="1" ht="89.25" customHeight="1">
      <c r="A185" s="6"/>
      <c r="B185" s="6"/>
      <c r="C185" s="16"/>
      <c r="D185" s="17"/>
      <c r="E185" s="6"/>
      <c r="F185" s="19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</row>
    <row r="186" spans="1:25" s="20" customFormat="1" ht="89.25" customHeight="1">
      <c r="A186" s="6"/>
      <c r="B186" s="6"/>
      <c r="C186" s="16"/>
      <c r="D186" s="17"/>
      <c r="E186" s="6"/>
      <c r="F186" s="19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</row>
    <row r="187" spans="1:25" s="20" customFormat="1" ht="89.25" customHeight="1">
      <c r="A187" s="6"/>
      <c r="B187" s="6"/>
      <c r="C187" s="16"/>
      <c r="D187" s="17"/>
      <c r="E187" s="6"/>
      <c r="F187" s="19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</row>
    <row r="188" spans="1:25" s="20" customFormat="1" ht="89.25" customHeight="1">
      <c r="A188" s="6"/>
      <c r="B188" s="6"/>
      <c r="C188" s="16"/>
      <c r="D188" s="17"/>
      <c r="E188" s="6"/>
      <c r="F188" s="19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</row>
    <row r="189" spans="1:25" s="20" customFormat="1" ht="89.25" customHeight="1">
      <c r="A189" s="6"/>
      <c r="B189" s="6"/>
      <c r="C189" s="16"/>
      <c r="D189" s="17"/>
      <c r="E189" s="6"/>
      <c r="F189" s="19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</row>
    <row r="190" spans="1:25" s="20" customFormat="1" ht="89.25" customHeight="1">
      <c r="A190" s="6"/>
      <c r="B190" s="6"/>
      <c r="C190" s="16"/>
      <c r="D190" s="17"/>
      <c r="E190" s="6"/>
      <c r="F190" s="19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</row>
    <row r="191" spans="1:25" s="20" customFormat="1" ht="89.25" customHeight="1">
      <c r="A191" s="6"/>
      <c r="B191" s="6"/>
      <c r="C191" s="16"/>
      <c r="D191" s="17"/>
      <c r="E191" s="6"/>
      <c r="F191" s="19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</row>
    <row r="192" spans="1:25" s="20" customFormat="1" ht="89.25" customHeight="1">
      <c r="A192" s="6"/>
      <c r="B192" s="6"/>
      <c r="C192" s="16"/>
      <c r="D192" s="17"/>
      <c r="E192" s="6"/>
      <c r="F192" s="19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</row>
    <row r="193" spans="1:25" s="20" customFormat="1" ht="89.25" customHeight="1">
      <c r="A193" s="6"/>
      <c r="B193" s="6"/>
      <c r="C193" s="16"/>
      <c r="D193" s="17"/>
      <c r="E193" s="6"/>
      <c r="F193" s="19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</row>
    <row r="194" spans="1:25" s="20" customFormat="1" ht="89.25" customHeight="1">
      <c r="A194" s="6"/>
      <c r="B194" s="6"/>
      <c r="C194" s="16"/>
      <c r="D194" s="17"/>
      <c r="E194" s="6"/>
      <c r="F194" s="19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</row>
    <row r="195" spans="1:25" s="20" customFormat="1" ht="89.25" customHeight="1">
      <c r="A195" s="6"/>
      <c r="B195" s="6"/>
      <c r="C195" s="16"/>
      <c r="D195" s="17"/>
      <c r="E195" s="6"/>
      <c r="F195" s="19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</row>
    <row r="196" spans="1:25" s="20" customFormat="1" ht="89.25" customHeight="1">
      <c r="A196" s="6"/>
      <c r="B196" s="6"/>
      <c r="C196" s="16"/>
      <c r="D196" s="17"/>
      <c r="E196" s="6"/>
      <c r="F196" s="19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</row>
    <row r="197" spans="1:25" s="20" customFormat="1" ht="89.25" customHeight="1">
      <c r="A197" s="6"/>
      <c r="B197" s="6"/>
      <c r="C197" s="16"/>
      <c r="D197" s="17"/>
      <c r="E197" s="6"/>
      <c r="F197" s="19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</row>
    <row r="198" spans="1:25" s="20" customFormat="1" ht="89.25" customHeight="1">
      <c r="A198" s="6"/>
      <c r="B198" s="6"/>
      <c r="C198" s="16"/>
      <c r="D198" s="17"/>
      <c r="E198" s="6"/>
      <c r="F198" s="19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</row>
    <row r="199" spans="1:25" s="20" customFormat="1" ht="89.25" customHeight="1">
      <c r="A199" s="6"/>
      <c r="B199" s="6"/>
      <c r="C199" s="16"/>
      <c r="D199" s="17"/>
      <c r="E199" s="6"/>
      <c r="F199" s="19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</row>
    <row r="200" spans="1:25" s="20" customFormat="1" ht="89.25" customHeight="1">
      <c r="A200" s="6"/>
      <c r="B200" s="6"/>
      <c r="C200" s="16"/>
      <c r="D200" s="17"/>
      <c r="E200" s="6"/>
      <c r="F200" s="19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</row>
    <row r="201" spans="1:25" s="20" customFormat="1" ht="89.25" customHeight="1">
      <c r="A201" s="6"/>
      <c r="B201" s="6"/>
      <c r="C201" s="16"/>
      <c r="D201" s="17"/>
      <c r="E201" s="6"/>
      <c r="F201" s="19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</row>
    <row r="202" spans="1:25" s="20" customFormat="1" ht="89.25" customHeight="1">
      <c r="A202" s="6"/>
      <c r="B202" s="6"/>
      <c r="C202" s="16"/>
      <c r="D202" s="17"/>
      <c r="E202" s="6"/>
      <c r="F202" s="19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</row>
    <row r="203" spans="1:25" s="20" customFormat="1" ht="89.25" customHeight="1">
      <c r="A203" s="6"/>
      <c r="B203" s="6"/>
      <c r="C203" s="16"/>
      <c r="D203" s="17"/>
      <c r="E203" s="6"/>
      <c r="F203" s="19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</row>
    <row r="204" spans="1:25" s="20" customFormat="1" ht="89.25" customHeight="1">
      <c r="A204" s="6"/>
      <c r="B204" s="6"/>
      <c r="C204" s="16"/>
      <c r="D204" s="17"/>
      <c r="E204" s="6"/>
      <c r="F204" s="19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</row>
    <row r="205" spans="1:25" s="20" customFormat="1" ht="89.25" customHeight="1">
      <c r="A205" s="6"/>
      <c r="B205" s="6"/>
      <c r="C205" s="16"/>
      <c r="D205" s="17"/>
      <c r="E205" s="6"/>
      <c r="F205" s="19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</row>
    <row r="206" spans="1:25" s="20" customFormat="1" ht="89.25" customHeight="1">
      <c r="A206" s="6"/>
      <c r="B206" s="6"/>
      <c r="C206" s="16"/>
      <c r="D206" s="17"/>
      <c r="E206" s="6"/>
      <c r="F206" s="19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</row>
    <row r="207" spans="1:25" s="20" customFormat="1" ht="89.25" customHeight="1">
      <c r="A207" s="6"/>
      <c r="B207" s="6"/>
      <c r="C207" s="16"/>
      <c r="D207" s="17"/>
      <c r="E207" s="6"/>
      <c r="F207" s="19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</row>
    <row r="208" spans="1:25" s="20" customFormat="1" ht="89.25" customHeight="1">
      <c r="A208" s="6"/>
      <c r="B208" s="6"/>
      <c r="C208" s="16"/>
      <c r="D208" s="17"/>
      <c r="E208" s="6"/>
      <c r="F208" s="19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</row>
    <row r="209" spans="1:25" s="20" customFormat="1" ht="89.25" customHeight="1">
      <c r="A209" s="6"/>
      <c r="B209" s="6"/>
      <c r="C209" s="16"/>
      <c r="D209" s="17"/>
      <c r="E209" s="6"/>
      <c r="F209" s="19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</row>
    <row r="210" spans="1:25" s="20" customFormat="1" ht="89.25" customHeight="1">
      <c r="A210" s="6"/>
      <c r="B210" s="6"/>
      <c r="C210" s="16"/>
      <c r="D210" s="17"/>
      <c r="E210" s="6"/>
      <c r="F210" s="19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</row>
    <row r="211" spans="1:25" s="20" customFormat="1" ht="89.25" customHeight="1">
      <c r="A211" s="6"/>
      <c r="B211" s="6"/>
      <c r="C211" s="16"/>
      <c r="D211" s="17"/>
      <c r="E211" s="6"/>
      <c r="F211" s="19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</row>
    <row r="212" spans="1:25" s="20" customFormat="1" ht="89.25" customHeight="1">
      <c r="A212" s="6"/>
      <c r="B212" s="6"/>
      <c r="C212" s="16"/>
      <c r="D212" s="17"/>
      <c r="E212" s="6"/>
      <c r="F212" s="19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</row>
    <row r="213" spans="1:25" s="20" customFormat="1" ht="89.25" customHeight="1">
      <c r="A213" s="6"/>
      <c r="B213" s="6"/>
      <c r="C213" s="16"/>
      <c r="D213" s="17"/>
      <c r="E213" s="6"/>
      <c r="F213" s="19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</row>
    <row r="214" spans="1:25" s="20" customFormat="1" ht="89.25" customHeight="1">
      <c r="A214" s="6"/>
      <c r="B214" s="6"/>
      <c r="C214" s="16"/>
      <c r="D214" s="17"/>
      <c r="E214" s="6"/>
      <c r="F214" s="19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</row>
    <row r="215" spans="1:25" s="20" customFormat="1" ht="89.25" customHeight="1">
      <c r="A215" s="6"/>
      <c r="B215" s="6"/>
      <c r="C215" s="16"/>
      <c r="D215" s="17"/>
      <c r="E215" s="6"/>
      <c r="F215" s="19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</row>
    <row r="216" spans="1:25" s="20" customFormat="1" ht="89.25" customHeight="1">
      <c r="A216" s="6"/>
      <c r="B216" s="6"/>
      <c r="C216" s="16"/>
      <c r="D216" s="17"/>
      <c r="E216" s="6"/>
      <c r="F216" s="19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</row>
    <row r="217" spans="1:25" s="20" customFormat="1" ht="89.25" customHeight="1">
      <c r="A217" s="6"/>
      <c r="B217" s="6"/>
      <c r="C217" s="16"/>
      <c r="D217" s="17"/>
      <c r="E217" s="6"/>
      <c r="F217" s="19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</row>
    <row r="218" spans="1:25" s="20" customFormat="1" ht="89.25" customHeight="1">
      <c r="A218" s="6"/>
      <c r="B218" s="6"/>
      <c r="C218" s="16"/>
      <c r="D218" s="17"/>
      <c r="E218" s="6"/>
      <c r="F218" s="19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</row>
    <row r="219" spans="1:25" s="20" customFormat="1" ht="89.25" customHeight="1">
      <c r="A219" s="6"/>
      <c r="B219" s="6"/>
      <c r="C219" s="16"/>
      <c r="D219" s="17"/>
      <c r="E219" s="6"/>
      <c r="F219" s="19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</row>
    <row r="220" spans="1:25" s="20" customFormat="1" ht="89.25" customHeight="1">
      <c r="A220" s="6"/>
      <c r="B220" s="6"/>
      <c r="C220" s="16"/>
      <c r="D220" s="17"/>
      <c r="E220" s="6"/>
      <c r="F220" s="19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</row>
    <row r="221" spans="1:25" s="20" customFormat="1" ht="89.25" customHeight="1">
      <c r="A221" s="6"/>
      <c r="B221" s="6"/>
      <c r="C221" s="16"/>
      <c r="D221" s="17"/>
      <c r="E221" s="6"/>
      <c r="F221" s="19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</row>
    <row r="222" spans="1:25" s="20" customFormat="1" ht="89.25" customHeight="1">
      <c r="A222" s="6"/>
      <c r="B222" s="6"/>
      <c r="C222" s="16"/>
      <c r="D222" s="17"/>
      <c r="E222" s="6"/>
      <c r="F222" s="19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</row>
    <row r="223" spans="1:25" s="20" customFormat="1" ht="89.25" customHeight="1">
      <c r="A223" s="6"/>
      <c r="B223" s="6"/>
      <c r="C223" s="16"/>
      <c r="D223" s="17"/>
      <c r="E223" s="6"/>
      <c r="F223" s="19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</row>
    <row r="224" spans="1:25" s="20" customFormat="1" ht="89.25" customHeight="1">
      <c r="A224" s="6"/>
      <c r="B224" s="6"/>
      <c r="C224" s="16"/>
      <c r="D224" s="17"/>
      <c r="E224" s="6"/>
      <c r="F224" s="19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</row>
    <row r="225" spans="1:25" s="20" customFormat="1" ht="89.25" customHeight="1">
      <c r="A225" s="6"/>
      <c r="B225" s="6"/>
      <c r="C225" s="16"/>
      <c r="D225" s="17"/>
      <c r="E225" s="6"/>
      <c r="F225" s="19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</row>
    <row r="226" spans="1:25" s="20" customFormat="1" ht="89.25" customHeight="1">
      <c r="A226" s="6"/>
      <c r="B226" s="6"/>
      <c r="C226" s="16"/>
      <c r="D226" s="17"/>
      <c r="E226" s="6"/>
      <c r="F226" s="19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</row>
    <row r="227" spans="1:25" s="20" customFormat="1" ht="89.25" customHeight="1">
      <c r="A227" s="6"/>
      <c r="B227" s="6"/>
      <c r="C227" s="16"/>
      <c r="D227" s="17"/>
      <c r="E227" s="6"/>
      <c r="F227" s="19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</row>
    <row r="228" spans="1:25" s="20" customFormat="1" ht="89.25" customHeight="1">
      <c r="A228" s="6"/>
      <c r="B228" s="6"/>
      <c r="C228" s="16"/>
      <c r="D228" s="17"/>
      <c r="E228" s="6"/>
      <c r="F228" s="19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</row>
    <row r="229" spans="1:25" s="20" customFormat="1" ht="89.25" customHeight="1">
      <c r="A229" s="6"/>
      <c r="B229" s="6"/>
      <c r="C229" s="16"/>
      <c r="D229" s="17"/>
      <c r="E229" s="6"/>
      <c r="F229" s="19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</row>
  </sheetData>
  <mergeCells count="14">
    <mergeCell ref="D44:E44"/>
    <mergeCell ref="A10:D10"/>
    <mergeCell ref="A41:B41"/>
    <mergeCell ref="D41:E41"/>
    <mergeCell ref="A42:B42"/>
    <mergeCell ref="D42:E42"/>
    <mergeCell ref="A43:B43"/>
    <mergeCell ref="D43:E43"/>
    <mergeCell ref="A1:F3"/>
    <mergeCell ref="A5:F5"/>
    <mergeCell ref="A6:F6"/>
    <mergeCell ref="A7:E7"/>
    <mergeCell ref="A9:D9"/>
    <mergeCell ref="A4:F4"/>
  </mergeCells>
  <printOptions horizontalCentered="1" verticalCentered="1"/>
  <pageMargins left="0.59055118110236227" right="0.59055118110236227" top="0.59055118110236227" bottom="0.59055118110236227" header="0.31496062992125984" footer="0.31496062992125984"/>
  <pageSetup paperSize="9" scale="54" orientation="landscape" r:id="rId1"/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 codeName="Hoja37">
    <tabColor rgb="FF00B0F0"/>
    <pageSetUpPr fitToPage="1"/>
  </sheetPr>
  <dimension ref="A1:AG229"/>
  <sheetViews>
    <sheetView showGridLines="0" topLeftCell="A16" zoomScale="80" zoomScaleNormal="80" workbookViewId="0">
      <selection activeCell="F43" sqref="F43"/>
    </sheetView>
  </sheetViews>
  <sheetFormatPr baseColWidth="10" defaultRowHeight="89.25" customHeight="1"/>
  <cols>
    <col min="1" max="1" width="25.28515625" style="6" customWidth="1"/>
    <col min="2" max="2" width="28.28515625" style="6" customWidth="1"/>
    <col min="3" max="3" width="25.28515625" style="16" customWidth="1"/>
    <col min="4" max="4" width="25.28515625" style="17" customWidth="1"/>
    <col min="5" max="5" width="15.28515625" style="6" bestFit="1" customWidth="1"/>
    <col min="6" max="6" width="21.7109375" style="19" bestFit="1" customWidth="1"/>
    <col min="7" max="7" width="19.140625" style="5" bestFit="1" customWidth="1"/>
    <col min="8" max="8" width="20" style="5" bestFit="1" customWidth="1"/>
    <col min="9" max="10" width="18.7109375" style="5" customWidth="1"/>
    <col min="11" max="25" width="11.42578125" style="5"/>
    <col min="26" max="16384" width="11.42578125" style="6"/>
  </cols>
  <sheetData>
    <row r="1" spans="1:25" s="4" customFormat="1" ht="33.75" customHeight="1">
      <c r="A1" s="1348" t="s">
        <v>770</v>
      </c>
      <c r="B1" s="1348"/>
      <c r="C1" s="1348"/>
      <c r="D1" s="1348"/>
      <c r="E1" s="1348"/>
      <c r="F1" s="1348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spans="1:25" s="4" customFormat="1" ht="33.75" customHeight="1">
      <c r="A2" s="1348"/>
      <c r="B2" s="1348"/>
      <c r="C2" s="1348"/>
      <c r="D2" s="1348"/>
      <c r="E2" s="1348"/>
      <c r="F2" s="1348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 s="4" customFormat="1" ht="15.75">
      <c r="A3" s="1348"/>
      <c r="B3" s="1348"/>
      <c r="C3" s="1348"/>
      <c r="D3" s="1348"/>
      <c r="E3" s="1348"/>
      <c r="F3" s="1348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</row>
    <row r="4" spans="1:25" s="4" customFormat="1" ht="15.75">
      <c r="A4" s="1349" t="str">
        <f>+'Anexo 25 Municipio Acacias'!A4:F4</f>
        <v>AL 31 DE JULIO DE 2023</v>
      </c>
      <c r="B4" s="1349"/>
      <c r="C4" s="1349"/>
      <c r="D4" s="1349"/>
      <c r="E4" s="1349"/>
      <c r="F4" s="1349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</row>
    <row r="5" spans="1:25" ht="30" customHeight="1">
      <c r="A5" s="1339" t="s">
        <v>205</v>
      </c>
      <c r="B5" s="1339"/>
      <c r="C5" s="1339"/>
      <c r="D5" s="1339"/>
      <c r="E5" s="1339"/>
      <c r="F5" s="1339"/>
    </row>
    <row r="6" spans="1:25" ht="30" customHeight="1" thickBot="1">
      <c r="A6" s="1339" t="s">
        <v>309</v>
      </c>
      <c r="B6" s="1339"/>
      <c r="C6" s="1339"/>
      <c r="D6" s="1339"/>
      <c r="E6" s="1339"/>
      <c r="F6" s="1339"/>
    </row>
    <row r="7" spans="1:25" ht="30" customHeight="1" thickBot="1">
      <c r="A7" s="1346" t="s">
        <v>1</v>
      </c>
      <c r="B7" s="1347"/>
      <c r="C7" s="1347"/>
      <c r="D7" s="1347"/>
      <c r="E7" s="1347"/>
      <c r="F7" s="7" t="s">
        <v>2</v>
      </c>
    </row>
    <row r="8" spans="1:25" ht="18.600000000000001" customHeight="1">
      <c r="A8" s="8"/>
      <c r="B8" s="9"/>
      <c r="C8" s="9"/>
      <c r="D8" s="9"/>
      <c r="E8" s="10"/>
      <c r="F8" s="11"/>
      <c r="I8" s="12"/>
      <c r="J8" s="12"/>
    </row>
    <row r="9" spans="1:25" ht="18.600000000000001" customHeight="1">
      <c r="A9" s="1342" t="str">
        <f>+'Anexo 25 Municipio Acacias'!A9:D9</f>
        <v>TOTAL RENDIMIENTOS GENERADOS POR LOS RECURSOS DEL FONDO DE JULIO DE 2023</v>
      </c>
      <c r="B9" s="1343"/>
      <c r="C9" s="1343"/>
      <c r="D9" s="1343"/>
      <c r="E9" s="259"/>
      <c r="F9" s="260">
        <f>F35</f>
        <v>3098354</v>
      </c>
      <c r="I9" s="13"/>
      <c r="J9" s="12"/>
    </row>
    <row r="10" spans="1:25" ht="18.600000000000001" customHeight="1">
      <c r="A10" s="1333" t="s">
        <v>307</v>
      </c>
      <c r="B10" s="1334"/>
      <c r="C10" s="1334"/>
      <c r="D10" s="1334"/>
      <c r="E10" s="261">
        <v>0</v>
      </c>
      <c r="F10" s="262"/>
    </row>
    <row r="11" spans="1:25" ht="18.600000000000001" customHeight="1">
      <c r="A11" s="543" t="s">
        <v>365</v>
      </c>
      <c r="B11" s="544"/>
      <c r="C11" s="544"/>
      <c r="D11" s="544"/>
      <c r="E11" s="261">
        <v>0</v>
      </c>
      <c r="F11" s="262"/>
    </row>
    <row r="12" spans="1:25" ht="18.600000000000001" customHeight="1">
      <c r="A12" s="574" t="s">
        <v>427</v>
      </c>
      <c r="B12" s="575"/>
      <c r="C12" s="575"/>
      <c r="D12" s="575"/>
      <c r="E12" s="261">
        <v>269245</v>
      </c>
      <c r="F12" s="262"/>
    </row>
    <row r="13" spans="1:25" ht="18.600000000000001" customHeight="1">
      <c r="A13" s="651" t="s">
        <v>462</v>
      </c>
      <c r="B13" s="652"/>
      <c r="C13" s="652"/>
      <c r="D13" s="652"/>
      <c r="E13" s="261">
        <v>348087</v>
      </c>
      <c r="F13" s="262"/>
    </row>
    <row r="14" spans="1:25" ht="18.600000000000001" customHeight="1">
      <c r="A14" s="670" t="s">
        <v>494</v>
      </c>
      <c r="B14" s="671"/>
      <c r="C14" s="671"/>
      <c r="D14" s="671"/>
      <c r="E14" s="261">
        <v>348491</v>
      </c>
      <c r="F14" s="262"/>
    </row>
    <row r="15" spans="1:25" ht="18.600000000000001" customHeight="1">
      <c r="A15" s="689" t="s">
        <v>501</v>
      </c>
      <c r="B15" s="690"/>
      <c r="C15" s="690"/>
      <c r="D15" s="690"/>
      <c r="E15" s="261">
        <v>375219</v>
      </c>
      <c r="F15" s="262"/>
    </row>
    <row r="16" spans="1:25" ht="18.600000000000001" customHeight="1">
      <c r="A16" s="725" t="s">
        <v>515</v>
      </c>
      <c r="B16" s="726"/>
      <c r="C16" s="726"/>
      <c r="D16" s="726"/>
      <c r="E16" s="261">
        <v>674703</v>
      </c>
      <c r="F16" s="262"/>
    </row>
    <row r="17" spans="1:7" ht="18.600000000000001" customHeight="1">
      <c r="A17" s="743" t="s">
        <v>520</v>
      </c>
      <c r="B17" s="744"/>
      <c r="C17" s="744"/>
      <c r="D17" s="744"/>
      <c r="E17" s="261">
        <v>232519</v>
      </c>
      <c r="F17" s="262"/>
    </row>
    <row r="18" spans="1:7" ht="18.600000000000001" customHeight="1">
      <c r="A18" s="773" t="s">
        <v>537</v>
      </c>
      <c r="B18" s="774"/>
      <c r="C18" s="774"/>
      <c r="D18" s="774"/>
      <c r="E18" s="261">
        <v>23504</v>
      </c>
      <c r="F18" s="262"/>
    </row>
    <row r="19" spans="1:7" ht="18.600000000000001" customHeight="1">
      <c r="A19" s="793" t="s">
        <v>567</v>
      </c>
      <c r="B19" s="794"/>
      <c r="C19" s="794"/>
      <c r="D19" s="794"/>
      <c r="E19" s="261">
        <v>23562</v>
      </c>
      <c r="F19" s="262"/>
    </row>
    <row r="20" spans="1:7" ht="18.600000000000001" customHeight="1">
      <c r="A20" s="811" t="s">
        <v>577</v>
      </c>
      <c r="B20" s="812"/>
      <c r="C20" s="812"/>
      <c r="D20" s="812"/>
      <c r="E20" s="261">
        <v>23620</v>
      </c>
      <c r="F20" s="262"/>
    </row>
    <row r="21" spans="1:7" ht="18.600000000000001" customHeight="1">
      <c r="A21" s="874" t="s">
        <v>625</v>
      </c>
      <c r="B21" s="875"/>
      <c r="C21" s="875"/>
      <c r="D21" s="875"/>
      <c r="E21" s="261">
        <v>39262</v>
      </c>
      <c r="F21" s="262"/>
    </row>
    <row r="22" spans="1:7" ht="18.600000000000001" customHeight="1">
      <c r="A22" s="895" t="s">
        <v>638</v>
      </c>
      <c r="B22" s="896"/>
      <c r="C22" s="896"/>
      <c r="D22" s="896"/>
      <c r="E22" s="261">
        <v>50724</v>
      </c>
      <c r="F22" s="262"/>
    </row>
    <row r="23" spans="1:7" ht="18.600000000000001" customHeight="1">
      <c r="A23" s="904" t="s">
        <v>647</v>
      </c>
      <c r="B23" s="905"/>
      <c r="C23" s="905"/>
      <c r="D23" s="905"/>
      <c r="E23" s="261">
        <v>50991</v>
      </c>
      <c r="F23" s="262"/>
    </row>
    <row r="24" spans="1:7" ht="18.600000000000001" customHeight="1">
      <c r="A24" s="924" t="s">
        <v>655</v>
      </c>
      <c r="B24" s="925"/>
      <c r="C24" s="925"/>
      <c r="D24" s="925"/>
      <c r="E24" s="261">
        <v>58151</v>
      </c>
      <c r="F24" s="262"/>
    </row>
    <row r="25" spans="1:7" ht="18.600000000000001" customHeight="1">
      <c r="A25" s="948" t="s">
        <v>665</v>
      </c>
      <c r="B25" s="949"/>
      <c r="C25" s="949"/>
      <c r="D25" s="949"/>
      <c r="E25" s="261">
        <v>61020</v>
      </c>
      <c r="F25" s="262"/>
    </row>
    <row r="26" spans="1:7" ht="18.600000000000001" customHeight="1">
      <c r="A26" s="966" t="s">
        <v>677</v>
      </c>
      <c r="B26" s="967"/>
      <c r="C26" s="967"/>
      <c r="D26" s="967"/>
      <c r="E26" s="261">
        <f>63447+100</f>
        <v>63547</v>
      </c>
      <c r="F26" s="262"/>
    </row>
    <row r="27" spans="1:7" ht="18.600000000000001" customHeight="1">
      <c r="A27" s="989" t="s">
        <v>687</v>
      </c>
      <c r="B27" s="990"/>
      <c r="C27" s="990"/>
      <c r="D27" s="990"/>
      <c r="E27" s="261">
        <v>63855</v>
      </c>
      <c r="F27" s="262"/>
    </row>
    <row r="28" spans="1:7" ht="18.600000000000001" customHeight="1">
      <c r="A28" s="1011" t="s">
        <v>720</v>
      </c>
      <c r="B28" s="1012"/>
      <c r="C28" s="1012"/>
      <c r="D28" s="1012"/>
      <c r="E28" s="261">
        <v>64266</v>
      </c>
      <c r="F28" s="262"/>
    </row>
    <row r="29" spans="1:7" ht="18.600000000000001" customHeight="1">
      <c r="A29" s="1032" t="s">
        <v>729</v>
      </c>
      <c r="B29" s="1033"/>
      <c r="C29" s="1033"/>
      <c r="D29" s="1033"/>
      <c r="E29" s="261">
        <v>64680</v>
      </c>
      <c r="F29" s="262"/>
    </row>
    <row r="30" spans="1:7" ht="18.600000000000001" customHeight="1">
      <c r="A30" s="1069" t="s">
        <v>748</v>
      </c>
      <c r="B30" s="1070"/>
      <c r="C30" s="1070"/>
      <c r="D30" s="1070"/>
      <c r="E30" s="261">
        <v>65096</v>
      </c>
      <c r="F30" s="262"/>
    </row>
    <row r="31" spans="1:7" ht="18.600000000000001" customHeight="1">
      <c r="A31" s="1090" t="str">
        <f>+'Anexo 25 Municipio Acacias'!A31</f>
        <v>Rendimientos financieros AL 31 DE MAYO DE 2023</v>
      </c>
      <c r="B31" s="1091"/>
      <c r="C31" s="1091"/>
      <c r="D31" s="1091"/>
      <c r="E31" s="261">
        <v>65515</v>
      </c>
      <c r="F31" s="262"/>
      <c r="G31" s="785">
        <f>+SUM(E2:E31)</f>
        <v>2966057</v>
      </c>
    </row>
    <row r="32" spans="1:7" ht="18.600000000000001" customHeight="1">
      <c r="A32" s="1100" t="str">
        <f>+'Anexo 25 Municipio Acacias'!A32</f>
        <v>Rendimientos financieros AL 30 DE JUNIO DE 2023</v>
      </c>
      <c r="B32" s="1101"/>
      <c r="C32" s="1101"/>
      <c r="D32" s="1101"/>
      <c r="E32" s="261">
        <f>65936+1-1</f>
        <v>65936</v>
      </c>
      <c r="F32" s="262"/>
    </row>
    <row r="33" spans="1:33" ht="18.600000000000001" customHeight="1">
      <c r="A33" s="1128" t="str">
        <f>+'Anexo 25 Municipio Acacias'!A33</f>
        <v>Rendimientos financieros AL 31 DE JULIO DE 2023</v>
      </c>
      <c r="B33" s="1129"/>
      <c r="C33" s="1129"/>
      <c r="D33" s="1129"/>
      <c r="E33" s="261">
        <v>66361</v>
      </c>
      <c r="F33" s="262"/>
    </row>
    <row r="34" spans="1:33" s="5" customFormat="1" ht="18.600000000000001" customHeight="1">
      <c r="A34" s="268"/>
      <c r="B34" s="269"/>
      <c r="C34" s="269"/>
      <c r="D34" s="269"/>
      <c r="E34" s="263"/>
      <c r="F34" s="264"/>
      <c r="G34" s="776" t="s">
        <v>535</v>
      </c>
      <c r="H34" s="775" t="s">
        <v>536</v>
      </c>
      <c r="I34" s="775" t="s">
        <v>516</v>
      </c>
      <c r="J34" s="742" t="s">
        <v>65</v>
      </c>
      <c r="Z34" s="6"/>
      <c r="AA34" s="6"/>
      <c r="AB34" s="6"/>
      <c r="AC34" s="6"/>
      <c r="AD34" s="6"/>
      <c r="AE34" s="6"/>
      <c r="AF34" s="6"/>
      <c r="AG34" s="6"/>
    </row>
    <row r="35" spans="1:33" s="5" customFormat="1" ht="24.75" customHeight="1" thickBot="1">
      <c r="A35" s="14" t="str">
        <f>+'Anexo 25 Municipio Acacias'!A35</f>
        <v>TOTAL RENDIMIENTOS DISPONIBLES AL 31 DE JULIO DE 2023</v>
      </c>
      <c r="B35" s="15"/>
      <c r="C35" s="15"/>
      <c r="D35" s="15"/>
      <c r="E35" s="265"/>
      <c r="F35" s="266">
        <f>SUM(E9:E34)</f>
        <v>3098354</v>
      </c>
      <c r="G35" s="5">
        <f>+F35+'Anexo 3-Porcion C-NC'!H36</f>
        <v>10380404</v>
      </c>
      <c r="H35" s="741">
        <f>+G35-F35</f>
        <v>7282050</v>
      </c>
      <c r="I35" s="5">
        <f>-'Anexo 3-Porcion C-NC'!B36</f>
        <v>-7282050</v>
      </c>
      <c r="J35" s="5">
        <f>+H35+I35</f>
        <v>0</v>
      </c>
      <c r="Z35" s="6"/>
      <c r="AA35" s="6"/>
      <c r="AB35" s="6"/>
      <c r="AC35" s="6"/>
      <c r="AD35" s="6"/>
      <c r="AE35" s="6"/>
      <c r="AF35" s="6"/>
      <c r="AG35" s="6"/>
    </row>
    <row r="36" spans="1:33" s="20" customFormat="1" ht="15.75">
      <c r="A36" s="6"/>
      <c r="B36" s="6"/>
      <c r="C36" s="16"/>
      <c r="D36" s="17"/>
      <c r="E36" s="18"/>
      <c r="F36" s="19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33" s="20" customFormat="1" ht="15.75">
      <c r="A37" s="6"/>
      <c r="B37" s="6"/>
      <c r="C37" s="16"/>
      <c r="D37" s="17"/>
      <c r="E37" s="21"/>
      <c r="F37" s="19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33" s="20" customFormat="1" ht="15.75">
      <c r="A38" s="6"/>
      <c r="B38" s="6"/>
      <c r="C38" s="16"/>
      <c r="D38" s="17"/>
      <c r="E38" s="22"/>
      <c r="F38" s="19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33" s="20" customFormat="1" ht="15.75">
      <c r="A39" s="6"/>
      <c r="B39" s="6"/>
      <c r="C39" s="16"/>
      <c r="D39" s="17"/>
      <c r="E39" s="22"/>
      <c r="F39" s="19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33" s="5" customFormat="1" ht="16.5" thickBot="1">
      <c r="A40" s="23"/>
      <c r="B40" s="24"/>
      <c r="C40" s="25"/>
      <c r="D40" s="131"/>
      <c r="E40" s="132"/>
      <c r="F40" s="133"/>
    </row>
    <row r="41" spans="1:33" s="5" customFormat="1" ht="15" customHeight="1">
      <c r="A41" s="1336" t="s">
        <v>135</v>
      </c>
      <c r="B41" s="1336"/>
      <c r="C41" s="1"/>
      <c r="D41" s="1336" t="s">
        <v>517</v>
      </c>
      <c r="E41" s="1336"/>
      <c r="F41" s="364"/>
    </row>
    <row r="42" spans="1:33" s="5" customFormat="1" ht="14.45" customHeight="1">
      <c r="A42" s="1332" t="s">
        <v>145</v>
      </c>
      <c r="B42" s="1332"/>
      <c r="C42" s="2"/>
      <c r="D42" s="1332" t="s">
        <v>519</v>
      </c>
      <c r="E42" s="1332"/>
      <c r="F42" s="365"/>
    </row>
    <row r="43" spans="1:33" s="5" customFormat="1" ht="15.75" customHeight="1">
      <c r="A43" s="1332" t="s">
        <v>48</v>
      </c>
      <c r="B43" s="1332"/>
      <c r="C43" s="2"/>
      <c r="D43" s="1332" t="s">
        <v>48</v>
      </c>
      <c r="E43" s="1332"/>
      <c r="F43" s="365"/>
    </row>
    <row r="44" spans="1:33" s="20" customFormat="1" ht="15.75" customHeight="1">
      <c r="A44" s="6"/>
      <c r="B44" s="6"/>
      <c r="C44" s="16"/>
      <c r="D44" s="1335" t="s">
        <v>518</v>
      </c>
      <c r="E44" s="1335"/>
      <c r="F44" s="36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</row>
    <row r="45" spans="1:33" s="20" customFormat="1" ht="15.75">
      <c r="A45" s="6"/>
      <c r="B45" s="6"/>
      <c r="C45" s="16"/>
      <c r="D45" s="17"/>
      <c r="E45" s="22"/>
      <c r="F45" s="19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</row>
    <row r="46" spans="1:33" s="20" customFormat="1" ht="15.75">
      <c r="A46" s="6"/>
      <c r="B46" s="6"/>
      <c r="C46" s="16"/>
      <c r="D46" s="17"/>
      <c r="E46" s="22"/>
      <c r="F46" s="19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</row>
    <row r="47" spans="1:33" s="20" customFormat="1" ht="15.75">
      <c r="A47" s="27"/>
      <c r="B47" s="27"/>
      <c r="C47" s="27"/>
      <c r="D47" s="27"/>
      <c r="E47" s="27"/>
      <c r="F47" s="19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</row>
    <row r="48" spans="1:33" s="5" customFormat="1" ht="15.75">
      <c r="A48" s="27"/>
      <c r="B48" s="27"/>
      <c r="C48" s="27"/>
      <c r="D48" s="27"/>
      <c r="E48" s="27"/>
      <c r="F48" s="26"/>
    </row>
    <row r="49" spans="1:25" s="5" customFormat="1" ht="15" customHeight="1">
      <c r="A49" s="27"/>
      <c r="B49" s="27"/>
      <c r="C49" s="27"/>
      <c r="D49" s="27"/>
      <c r="E49" s="27"/>
      <c r="F49" s="26"/>
    </row>
    <row r="50" spans="1:25" s="5" customFormat="1" ht="14.45" customHeight="1">
      <c r="A50" s="27"/>
      <c r="B50" s="27"/>
      <c r="C50" s="27"/>
      <c r="D50" s="27"/>
      <c r="E50" s="27"/>
      <c r="F50" s="26"/>
    </row>
    <row r="51" spans="1:25" s="5" customFormat="1" ht="14.45" customHeight="1">
      <c r="A51" s="27"/>
      <c r="B51" s="27"/>
      <c r="C51" s="27"/>
      <c r="D51" s="27"/>
      <c r="E51" s="27"/>
      <c r="F51" s="26"/>
    </row>
    <row r="52" spans="1:25" s="20" customFormat="1" ht="15.75">
      <c r="A52" s="27"/>
      <c r="B52" s="27"/>
      <c r="C52" s="27"/>
      <c r="D52" s="27"/>
      <c r="E52" s="27"/>
      <c r="F52" s="19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</row>
    <row r="53" spans="1:25" s="20" customFormat="1" ht="15.75">
      <c r="A53" s="6"/>
      <c r="B53" s="6"/>
      <c r="C53" s="16"/>
      <c r="D53" s="17"/>
      <c r="E53" s="6"/>
      <c r="F53" s="19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</row>
    <row r="54" spans="1:25" s="20" customFormat="1" ht="15.75">
      <c r="A54" s="6"/>
      <c r="B54" s="6"/>
      <c r="C54" s="16"/>
      <c r="D54" s="17"/>
      <c r="E54" s="6"/>
      <c r="F54" s="19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</row>
    <row r="55" spans="1:25" s="20" customFormat="1" ht="15.75">
      <c r="A55" s="6"/>
      <c r="B55" s="6"/>
      <c r="C55" s="16"/>
      <c r="D55" s="17"/>
      <c r="E55" s="6"/>
      <c r="F55" s="19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</row>
    <row r="56" spans="1:25" s="20" customFormat="1" ht="15.75">
      <c r="A56" s="6"/>
      <c r="B56" s="6"/>
      <c r="C56" s="16"/>
      <c r="D56" s="17"/>
      <c r="E56" s="6"/>
      <c r="F56" s="19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</row>
    <row r="57" spans="1:25" s="20" customFormat="1" ht="15.75">
      <c r="A57" s="6"/>
      <c r="B57" s="6"/>
      <c r="C57" s="16"/>
      <c r="D57" s="17"/>
      <c r="E57" s="6"/>
      <c r="F57" s="19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</row>
    <row r="58" spans="1:25" s="20" customFormat="1" ht="15.75">
      <c r="A58" s="6"/>
      <c r="B58" s="6"/>
      <c r="C58" s="16"/>
      <c r="D58" s="17"/>
      <c r="E58" s="6"/>
      <c r="F58" s="19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</row>
    <row r="59" spans="1:25" s="20" customFormat="1" ht="15.75">
      <c r="A59" s="6"/>
      <c r="B59" s="6"/>
      <c r="C59" s="16"/>
      <c r="D59" s="17"/>
      <c r="E59" s="6"/>
      <c r="F59" s="19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</row>
    <row r="60" spans="1:25" s="20" customFormat="1" ht="15.75">
      <c r="A60" s="6"/>
      <c r="B60" s="6"/>
      <c r="C60" s="16"/>
      <c r="D60" s="17"/>
      <c r="E60" s="6"/>
      <c r="F60" s="19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</row>
    <row r="61" spans="1:25" s="20" customFormat="1" ht="15.75">
      <c r="A61" s="6"/>
      <c r="B61" s="6"/>
      <c r="C61" s="16"/>
      <c r="D61" s="17"/>
      <c r="E61" s="6"/>
      <c r="F61" s="19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</row>
    <row r="62" spans="1:25" s="20" customFormat="1" ht="15.75">
      <c r="A62" s="6"/>
      <c r="B62" s="6"/>
      <c r="C62" s="16"/>
      <c r="D62" s="17"/>
      <c r="E62" s="6"/>
      <c r="F62" s="19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</row>
    <row r="63" spans="1:25" s="20" customFormat="1" ht="15.75">
      <c r="A63" s="6"/>
      <c r="B63" s="6"/>
      <c r="C63" s="16"/>
      <c r="D63" s="17"/>
      <c r="E63" s="6"/>
      <c r="F63" s="19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</row>
    <row r="64" spans="1:25" s="20" customFormat="1" ht="15.75">
      <c r="A64" s="6"/>
      <c r="B64" s="6"/>
      <c r="C64" s="16"/>
      <c r="D64" s="17"/>
      <c r="E64" s="6"/>
      <c r="F64" s="19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</row>
    <row r="65" spans="1:25" s="20" customFormat="1" ht="15.75">
      <c r="A65" s="6"/>
      <c r="B65" s="6"/>
      <c r="C65" s="16"/>
      <c r="D65" s="17"/>
      <c r="E65" s="6"/>
      <c r="F65" s="19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</row>
    <row r="66" spans="1:25" s="20" customFormat="1" ht="15.75">
      <c r="A66" s="6"/>
      <c r="B66" s="6"/>
      <c r="C66" s="16"/>
      <c r="D66" s="17"/>
      <c r="E66" s="6"/>
      <c r="F66" s="19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</row>
    <row r="67" spans="1:25" s="20" customFormat="1" ht="15.75">
      <c r="A67" s="6"/>
      <c r="B67" s="6"/>
      <c r="C67" s="16"/>
      <c r="D67" s="17"/>
      <c r="E67" s="6"/>
      <c r="F67" s="19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</row>
    <row r="68" spans="1:25" s="20" customFormat="1" ht="15.75">
      <c r="A68" s="6"/>
      <c r="B68" s="6"/>
      <c r="C68" s="16"/>
      <c r="D68" s="17"/>
      <c r="E68" s="6"/>
      <c r="F68" s="19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</row>
    <row r="69" spans="1:25" s="20" customFormat="1" ht="15.75">
      <c r="A69" s="6"/>
      <c r="B69" s="6"/>
      <c r="C69" s="16"/>
      <c r="D69" s="17"/>
      <c r="E69" s="6"/>
      <c r="F69" s="19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</row>
    <row r="70" spans="1:25" s="20" customFormat="1" ht="15.75">
      <c r="A70" s="6"/>
      <c r="B70" s="6"/>
      <c r="C70" s="16"/>
      <c r="D70" s="17"/>
      <c r="E70" s="6"/>
      <c r="F70" s="19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</row>
    <row r="71" spans="1:25" s="20" customFormat="1" ht="15.75">
      <c r="A71" s="6"/>
      <c r="B71" s="6"/>
      <c r="C71" s="16"/>
      <c r="D71" s="17"/>
      <c r="E71" s="6"/>
      <c r="F71" s="19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</row>
    <row r="72" spans="1:25" s="20" customFormat="1" ht="89.25" customHeight="1">
      <c r="A72" s="6"/>
      <c r="B72" s="6"/>
      <c r="C72" s="16"/>
      <c r="D72" s="17"/>
      <c r="E72" s="6"/>
      <c r="F72" s="19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</row>
    <row r="73" spans="1:25" s="20" customFormat="1" ht="89.25" customHeight="1">
      <c r="A73" s="6"/>
      <c r="B73" s="6"/>
      <c r="C73" s="16"/>
      <c r="D73" s="17"/>
      <c r="E73" s="6"/>
      <c r="F73" s="19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</row>
    <row r="74" spans="1:25" s="20" customFormat="1" ht="89.25" customHeight="1">
      <c r="A74" s="6"/>
      <c r="B74" s="6"/>
      <c r="C74" s="16"/>
      <c r="D74" s="17"/>
      <c r="E74" s="6"/>
      <c r="F74" s="19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</row>
    <row r="75" spans="1:25" s="20" customFormat="1" ht="89.25" customHeight="1">
      <c r="A75" s="6"/>
      <c r="B75" s="6"/>
      <c r="C75" s="16"/>
      <c r="D75" s="17"/>
      <c r="E75" s="6"/>
      <c r="F75" s="19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</row>
    <row r="76" spans="1:25" s="20" customFormat="1" ht="89.25" customHeight="1">
      <c r="A76" s="6"/>
      <c r="B76" s="6"/>
      <c r="C76" s="16"/>
      <c r="D76" s="17"/>
      <c r="E76" s="6"/>
      <c r="F76" s="19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</row>
    <row r="77" spans="1:25" s="20" customFormat="1" ht="89.25" customHeight="1">
      <c r="A77" s="6"/>
      <c r="B77" s="6"/>
      <c r="C77" s="16"/>
      <c r="D77" s="17"/>
      <c r="E77" s="6"/>
      <c r="F77" s="19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</row>
    <row r="78" spans="1:25" s="20" customFormat="1" ht="89.25" customHeight="1">
      <c r="A78" s="6"/>
      <c r="B78" s="6"/>
      <c r="C78" s="16"/>
      <c r="D78" s="17"/>
      <c r="E78" s="6"/>
      <c r="F78" s="19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</row>
    <row r="79" spans="1:25" s="20" customFormat="1" ht="89.25" customHeight="1">
      <c r="A79" s="6"/>
      <c r="B79" s="6"/>
      <c r="C79" s="16"/>
      <c r="D79" s="17"/>
      <c r="E79" s="6"/>
      <c r="F79" s="19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</row>
    <row r="80" spans="1:25" s="20" customFormat="1" ht="89.25" customHeight="1">
      <c r="A80" s="6"/>
      <c r="B80" s="6"/>
      <c r="C80" s="16"/>
      <c r="D80" s="17"/>
      <c r="E80" s="6"/>
      <c r="F80" s="19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</row>
    <row r="81" spans="1:25" s="20" customFormat="1" ht="89.25" customHeight="1">
      <c r="A81" s="6"/>
      <c r="B81" s="6"/>
      <c r="C81" s="16"/>
      <c r="D81" s="17"/>
      <c r="E81" s="6"/>
      <c r="F81" s="19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</row>
    <row r="82" spans="1:25" s="20" customFormat="1" ht="89.25" customHeight="1">
      <c r="A82" s="6"/>
      <c r="B82" s="6"/>
      <c r="C82" s="16"/>
      <c r="D82" s="17"/>
      <c r="E82" s="6"/>
      <c r="F82" s="19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</row>
    <row r="83" spans="1:25" s="20" customFormat="1" ht="89.25" customHeight="1">
      <c r="A83" s="6"/>
      <c r="B83" s="6"/>
      <c r="C83" s="16"/>
      <c r="D83" s="17"/>
      <c r="E83" s="6"/>
      <c r="F83" s="19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</row>
    <row r="84" spans="1:25" s="20" customFormat="1" ht="89.25" customHeight="1">
      <c r="A84" s="6"/>
      <c r="B84" s="6"/>
      <c r="C84" s="16"/>
      <c r="D84" s="17"/>
      <c r="E84" s="6"/>
      <c r="F84" s="19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</row>
    <row r="85" spans="1:25" s="20" customFormat="1" ht="89.25" customHeight="1">
      <c r="A85" s="6"/>
      <c r="B85" s="6"/>
      <c r="C85" s="16"/>
      <c r="D85" s="17"/>
      <c r="E85" s="6"/>
      <c r="F85" s="19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</row>
    <row r="86" spans="1:25" s="20" customFormat="1" ht="89.25" customHeight="1">
      <c r="A86" s="6"/>
      <c r="B86" s="6"/>
      <c r="C86" s="16"/>
      <c r="D86" s="17"/>
      <c r="E86" s="6"/>
      <c r="F86" s="19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</row>
    <row r="87" spans="1:25" s="20" customFormat="1" ht="89.25" customHeight="1">
      <c r="A87" s="6"/>
      <c r="B87" s="6"/>
      <c r="C87" s="16"/>
      <c r="D87" s="17"/>
      <c r="E87" s="6"/>
      <c r="F87" s="19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</row>
    <row r="88" spans="1:25" s="20" customFormat="1" ht="89.25" customHeight="1">
      <c r="A88" s="6"/>
      <c r="B88" s="6"/>
      <c r="C88" s="16"/>
      <c r="D88" s="17"/>
      <c r="E88" s="6"/>
      <c r="F88" s="19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</row>
    <row r="89" spans="1:25" s="20" customFormat="1" ht="89.25" customHeight="1">
      <c r="A89" s="6"/>
      <c r="B89" s="6"/>
      <c r="C89" s="16"/>
      <c r="D89" s="17"/>
      <c r="E89" s="6"/>
      <c r="F89" s="19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</row>
    <row r="90" spans="1:25" s="20" customFormat="1" ht="89.25" customHeight="1">
      <c r="A90" s="6"/>
      <c r="B90" s="6"/>
      <c r="C90" s="16"/>
      <c r="D90" s="17"/>
      <c r="E90" s="6"/>
      <c r="F90" s="19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</row>
    <row r="91" spans="1:25" s="20" customFormat="1" ht="89.25" customHeight="1">
      <c r="A91" s="6"/>
      <c r="B91" s="6"/>
      <c r="C91" s="16"/>
      <c r="D91" s="17"/>
      <c r="E91" s="6"/>
      <c r="F91" s="19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</row>
    <row r="92" spans="1:25" s="20" customFormat="1" ht="89.25" customHeight="1">
      <c r="A92" s="6"/>
      <c r="B92" s="6"/>
      <c r="C92" s="16"/>
      <c r="D92" s="17"/>
      <c r="E92" s="6"/>
      <c r="F92" s="19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</row>
    <row r="93" spans="1:25" s="20" customFormat="1" ht="89.25" customHeight="1">
      <c r="A93" s="6"/>
      <c r="B93" s="6"/>
      <c r="C93" s="16"/>
      <c r="D93" s="17"/>
      <c r="E93" s="6"/>
      <c r="F93" s="19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</row>
    <row r="94" spans="1:25" s="20" customFormat="1" ht="89.25" customHeight="1">
      <c r="A94" s="6"/>
      <c r="B94" s="6"/>
      <c r="C94" s="16"/>
      <c r="D94" s="17"/>
      <c r="E94" s="6"/>
      <c r="F94" s="19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</row>
    <row r="95" spans="1:25" s="20" customFormat="1" ht="89.25" customHeight="1">
      <c r="A95" s="6"/>
      <c r="B95" s="6"/>
      <c r="C95" s="16"/>
      <c r="D95" s="17"/>
      <c r="E95" s="6"/>
      <c r="F95" s="19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</row>
    <row r="96" spans="1:25" s="20" customFormat="1" ht="89.25" customHeight="1">
      <c r="A96" s="6"/>
      <c r="B96" s="6"/>
      <c r="C96" s="16"/>
      <c r="D96" s="17"/>
      <c r="E96" s="6"/>
      <c r="F96" s="19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</row>
    <row r="97" spans="1:25" s="20" customFormat="1" ht="89.25" customHeight="1">
      <c r="A97" s="6"/>
      <c r="B97" s="6"/>
      <c r="C97" s="16"/>
      <c r="D97" s="17"/>
      <c r="E97" s="6"/>
      <c r="F97" s="19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</row>
    <row r="98" spans="1:25" s="20" customFormat="1" ht="89.25" customHeight="1">
      <c r="A98" s="6"/>
      <c r="B98" s="6"/>
      <c r="C98" s="16"/>
      <c r="D98" s="17"/>
      <c r="E98" s="6"/>
      <c r="F98" s="19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</row>
    <row r="99" spans="1:25" s="20" customFormat="1" ht="89.25" customHeight="1">
      <c r="A99" s="6"/>
      <c r="B99" s="6"/>
      <c r="C99" s="16"/>
      <c r="D99" s="17"/>
      <c r="E99" s="6"/>
      <c r="F99" s="19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</row>
    <row r="100" spans="1:25" s="20" customFormat="1" ht="89.25" customHeight="1">
      <c r="A100" s="6"/>
      <c r="B100" s="6"/>
      <c r="C100" s="16"/>
      <c r="D100" s="17"/>
      <c r="E100" s="6"/>
      <c r="F100" s="19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</row>
    <row r="101" spans="1:25" s="20" customFormat="1" ht="89.25" customHeight="1">
      <c r="A101" s="6"/>
      <c r="B101" s="6"/>
      <c r="C101" s="16"/>
      <c r="D101" s="17"/>
      <c r="E101" s="6"/>
      <c r="F101" s="19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</row>
    <row r="102" spans="1:25" s="20" customFormat="1" ht="89.25" customHeight="1">
      <c r="A102" s="6"/>
      <c r="B102" s="6"/>
      <c r="C102" s="16"/>
      <c r="D102" s="17"/>
      <c r="E102" s="6"/>
      <c r="F102" s="19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</row>
    <row r="103" spans="1:25" s="20" customFormat="1" ht="89.25" customHeight="1">
      <c r="A103" s="6"/>
      <c r="B103" s="6"/>
      <c r="C103" s="16"/>
      <c r="D103" s="17"/>
      <c r="E103" s="6"/>
      <c r="F103" s="19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</row>
    <row r="104" spans="1:25" s="20" customFormat="1" ht="89.25" customHeight="1">
      <c r="A104" s="6"/>
      <c r="B104" s="6"/>
      <c r="C104" s="16"/>
      <c r="D104" s="17"/>
      <c r="E104" s="6"/>
      <c r="F104" s="19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</row>
    <row r="105" spans="1:25" s="20" customFormat="1" ht="89.25" customHeight="1">
      <c r="A105" s="6"/>
      <c r="B105" s="6"/>
      <c r="C105" s="16"/>
      <c r="D105" s="17"/>
      <c r="E105" s="6"/>
      <c r="F105" s="19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</row>
    <row r="106" spans="1:25" s="20" customFormat="1" ht="89.25" customHeight="1">
      <c r="A106" s="6"/>
      <c r="B106" s="6"/>
      <c r="C106" s="16"/>
      <c r="D106" s="17"/>
      <c r="E106" s="6"/>
      <c r="F106" s="19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</row>
    <row r="107" spans="1:25" s="20" customFormat="1" ht="89.25" customHeight="1">
      <c r="A107" s="6"/>
      <c r="B107" s="6"/>
      <c r="C107" s="16"/>
      <c r="D107" s="17"/>
      <c r="E107" s="6"/>
      <c r="F107" s="19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</row>
    <row r="108" spans="1:25" s="20" customFormat="1" ht="89.25" customHeight="1">
      <c r="A108" s="6"/>
      <c r="B108" s="6"/>
      <c r="C108" s="16"/>
      <c r="D108" s="17"/>
      <c r="E108" s="6"/>
      <c r="F108" s="19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</row>
    <row r="109" spans="1:25" s="20" customFormat="1" ht="89.25" customHeight="1">
      <c r="A109" s="6"/>
      <c r="B109" s="6"/>
      <c r="C109" s="16"/>
      <c r="D109" s="17"/>
      <c r="E109" s="6"/>
      <c r="F109" s="19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</row>
    <row r="110" spans="1:25" s="20" customFormat="1" ht="89.25" customHeight="1">
      <c r="A110" s="6"/>
      <c r="B110" s="6"/>
      <c r="C110" s="16"/>
      <c r="D110" s="17"/>
      <c r="E110" s="6"/>
      <c r="F110" s="19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</row>
    <row r="111" spans="1:25" s="20" customFormat="1" ht="89.25" customHeight="1">
      <c r="A111" s="6"/>
      <c r="B111" s="6"/>
      <c r="C111" s="16"/>
      <c r="D111" s="17"/>
      <c r="E111" s="6"/>
      <c r="F111" s="19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</row>
    <row r="112" spans="1:25" s="20" customFormat="1" ht="89.25" customHeight="1">
      <c r="A112" s="6"/>
      <c r="B112" s="6"/>
      <c r="C112" s="16"/>
      <c r="D112" s="17"/>
      <c r="E112" s="6"/>
      <c r="F112" s="19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</row>
    <row r="113" spans="1:25" s="20" customFormat="1" ht="89.25" customHeight="1">
      <c r="A113" s="6"/>
      <c r="B113" s="6"/>
      <c r="C113" s="16"/>
      <c r="D113" s="17"/>
      <c r="E113" s="6"/>
      <c r="F113" s="19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</row>
    <row r="114" spans="1:25" s="20" customFormat="1" ht="89.25" customHeight="1">
      <c r="A114" s="6"/>
      <c r="B114" s="6"/>
      <c r="C114" s="16"/>
      <c r="D114" s="17"/>
      <c r="E114" s="6"/>
      <c r="F114" s="19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</row>
    <row r="115" spans="1:25" s="20" customFormat="1" ht="89.25" customHeight="1">
      <c r="A115" s="6"/>
      <c r="B115" s="6"/>
      <c r="C115" s="16"/>
      <c r="D115" s="17"/>
      <c r="E115" s="6"/>
      <c r="F115" s="19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</row>
    <row r="116" spans="1:25" s="20" customFormat="1" ht="89.25" customHeight="1">
      <c r="A116" s="6"/>
      <c r="B116" s="6"/>
      <c r="C116" s="16"/>
      <c r="D116" s="17"/>
      <c r="E116" s="6"/>
      <c r="F116" s="19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</row>
    <row r="117" spans="1:25" s="20" customFormat="1" ht="89.25" customHeight="1">
      <c r="A117" s="6"/>
      <c r="B117" s="6"/>
      <c r="C117" s="16"/>
      <c r="D117" s="17"/>
      <c r="E117" s="6"/>
      <c r="F117" s="19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</row>
    <row r="118" spans="1:25" s="20" customFormat="1" ht="89.25" customHeight="1">
      <c r="A118" s="6"/>
      <c r="B118" s="6"/>
      <c r="C118" s="16"/>
      <c r="D118" s="17"/>
      <c r="E118" s="6"/>
      <c r="F118" s="19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</row>
    <row r="119" spans="1:25" s="20" customFormat="1" ht="89.25" customHeight="1">
      <c r="A119" s="6"/>
      <c r="B119" s="6"/>
      <c r="C119" s="16"/>
      <c r="D119" s="17"/>
      <c r="E119" s="6"/>
      <c r="F119" s="19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</row>
    <row r="120" spans="1:25" s="20" customFormat="1" ht="89.25" customHeight="1">
      <c r="A120" s="6"/>
      <c r="B120" s="6"/>
      <c r="C120" s="16"/>
      <c r="D120" s="17"/>
      <c r="E120" s="6"/>
      <c r="F120" s="19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</row>
    <row r="121" spans="1:25" s="20" customFormat="1" ht="89.25" customHeight="1">
      <c r="A121" s="6"/>
      <c r="B121" s="6"/>
      <c r="C121" s="16"/>
      <c r="D121" s="17"/>
      <c r="E121" s="6"/>
      <c r="F121" s="19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</row>
    <row r="122" spans="1:25" s="20" customFormat="1" ht="89.25" customHeight="1">
      <c r="A122" s="6"/>
      <c r="B122" s="6"/>
      <c r="C122" s="16"/>
      <c r="D122" s="17"/>
      <c r="E122" s="6"/>
      <c r="F122" s="19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</row>
    <row r="123" spans="1:25" s="20" customFormat="1" ht="89.25" customHeight="1">
      <c r="A123" s="6"/>
      <c r="B123" s="6"/>
      <c r="C123" s="16"/>
      <c r="D123" s="17"/>
      <c r="E123" s="6"/>
      <c r="F123" s="19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</row>
    <row r="124" spans="1:25" s="20" customFormat="1" ht="89.25" customHeight="1">
      <c r="A124" s="6"/>
      <c r="B124" s="6"/>
      <c r="C124" s="16"/>
      <c r="D124" s="17"/>
      <c r="E124" s="6"/>
      <c r="F124" s="19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</row>
    <row r="125" spans="1:25" s="20" customFormat="1" ht="89.25" customHeight="1">
      <c r="A125" s="6"/>
      <c r="B125" s="6"/>
      <c r="C125" s="16"/>
      <c r="D125" s="17"/>
      <c r="E125" s="6"/>
      <c r="F125" s="19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</row>
    <row r="126" spans="1:25" s="20" customFormat="1" ht="89.25" customHeight="1">
      <c r="A126" s="6"/>
      <c r="B126" s="6"/>
      <c r="C126" s="16"/>
      <c r="D126" s="17"/>
      <c r="E126" s="6"/>
      <c r="F126" s="19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</row>
    <row r="127" spans="1:25" s="20" customFormat="1" ht="89.25" customHeight="1">
      <c r="A127" s="6"/>
      <c r="B127" s="6"/>
      <c r="C127" s="16"/>
      <c r="D127" s="17"/>
      <c r="E127" s="6"/>
      <c r="F127" s="19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</row>
    <row r="128" spans="1:25" s="20" customFormat="1" ht="89.25" customHeight="1">
      <c r="A128" s="6"/>
      <c r="B128" s="6"/>
      <c r="C128" s="16"/>
      <c r="D128" s="17"/>
      <c r="E128" s="6"/>
      <c r="F128" s="19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</row>
    <row r="129" spans="1:25" s="20" customFormat="1" ht="89.25" customHeight="1">
      <c r="A129" s="6"/>
      <c r="B129" s="6"/>
      <c r="C129" s="16"/>
      <c r="D129" s="17"/>
      <c r="E129" s="6"/>
      <c r="F129" s="19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</row>
    <row r="130" spans="1:25" s="20" customFormat="1" ht="89.25" customHeight="1">
      <c r="A130" s="6"/>
      <c r="B130" s="6"/>
      <c r="C130" s="16"/>
      <c r="D130" s="17"/>
      <c r="E130" s="6"/>
      <c r="F130" s="19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</row>
    <row r="131" spans="1:25" s="20" customFormat="1" ht="89.25" customHeight="1">
      <c r="A131" s="6"/>
      <c r="B131" s="6"/>
      <c r="C131" s="16"/>
      <c r="D131" s="17"/>
      <c r="E131" s="6"/>
      <c r="F131" s="19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</row>
    <row r="132" spans="1:25" s="20" customFormat="1" ht="89.25" customHeight="1">
      <c r="A132" s="6"/>
      <c r="B132" s="6"/>
      <c r="C132" s="16"/>
      <c r="D132" s="17"/>
      <c r="E132" s="6"/>
      <c r="F132" s="19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</row>
    <row r="133" spans="1:25" s="20" customFormat="1" ht="89.25" customHeight="1">
      <c r="A133" s="6"/>
      <c r="B133" s="6"/>
      <c r="C133" s="16"/>
      <c r="D133" s="17"/>
      <c r="E133" s="6"/>
      <c r="F133" s="19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</row>
    <row r="134" spans="1:25" s="20" customFormat="1" ht="89.25" customHeight="1">
      <c r="A134" s="6"/>
      <c r="B134" s="6"/>
      <c r="C134" s="16"/>
      <c r="D134" s="17"/>
      <c r="E134" s="6"/>
      <c r="F134" s="19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</row>
    <row r="135" spans="1:25" s="20" customFormat="1" ht="89.25" customHeight="1">
      <c r="A135" s="6"/>
      <c r="B135" s="6"/>
      <c r="C135" s="16"/>
      <c r="D135" s="17"/>
      <c r="E135" s="6"/>
      <c r="F135" s="19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</row>
    <row r="136" spans="1:25" s="20" customFormat="1" ht="89.25" customHeight="1">
      <c r="A136" s="6"/>
      <c r="B136" s="6"/>
      <c r="C136" s="16"/>
      <c r="D136" s="17"/>
      <c r="E136" s="6"/>
      <c r="F136" s="19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</row>
    <row r="137" spans="1:25" s="20" customFormat="1" ht="89.25" customHeight="1">
      <c r="A137" s="6"/>
      <c r="B137" s="6"/>
      <c r="C137" s="16"/>
      <c r="D137" s="17"/>
      <c r="E137" s="6"/>
      <c r="F137" s="19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</row>
    <row r="138" spans="1:25" s="20" customFormat="1" ht="89.25" customHeight="1">
      <c r="A138" s="6"/>
      <c r="B138" s="6"/>
      <c r="C138" s="16"/>
      <c r="D138" s="17"/>
      <c r="E138" s="6"/>
      <c r="F138" s="19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</row>
    <row r="139" spans="1:25" s="20" customFormat="1" ht="89.25" customHeight="1">
      <c r="A139" s="6"/>
      <c r="B139" s="6"/>
      <c r="C139" s="16"/>
      <c r="D139" s="17"/>
      <c r="E139" s="6"/>
      <c r="F139" s="19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</row>
    <row r="140" spans="1:25" s="20" customFormat="1" ht="89.25" customHeight="1">
      <c r="A140" s="6"/>
      <c r="B140" s="6"/>
      <c r="C140" s="16"/>
      <c r="D140" s="17"/>
      <c r="E140" s="6"/>
      <c r="F140" s="19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</row>
    <row r="141" spans="1:25" s="20" customFormat="1" ht="89.25" customHeight="1">
      <c r="A141" s="6"/>
      <c r="B141" s="6"/>
      <c r="C141" s="16"/>
      <c r="D141" s="17"/>
      <c r="E141" s="6"/>
      <c r="F141" s="19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</row>
    <row r="142" spans="1:25" s="20" customFormat="1" ht="89.25" customHeight="1">
      <c r="A142" s="6"/>
      <c r="B142" s="6"/>
      <c r="C142" s="16"/>
      <c r="D142" s="17"/>
      <c r="E142" s="6"/>
      <c r="F142" s="19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</row>
    <row r="143" spans="1:25" s="20" customFormat="1" ht="89.25" customHeight="1">
      <c r="A143" s="6"/>
      <c r="B143" s="6"/>
      <c r="C143" s="16"/>
      <c r="D143" s="17"/>
      <c r="E143" s="6"/>
      <c r="F143" s="19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</row>
    <row r="144" spans="1:25" s="20" customFormat="1" ht="89.25" customHeight="1">
      <c r="A144" s="6"/>
      <c r="B144" s="6"/>
      <c r="C144" s="16"/>
      <c r="D144" s="17"/>
      <c r="E144" s="6"/>
      <c r="F144" s="19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</row>
    <row r="145" spans="1:25" s="20" customFormat="1" ht="89.25" customHeight="1">
      <c r="A145" s="6"/>
      <c r="B145" s="6"/>
      <c r="C145" s="16"/>
      <c r="D145" s="17"/>
      <c r="E145" s="6"/>
      <c r="F145" s="19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</row>
    <row r="146" spans="1:25" s="20" customFormat="1" ht="89.25" customHeight="1">
      <c r="A146" s="6"/>
      <c r="B146" s="6"/>
      <c r="C146" s="16"/>
      <c r="D146" s="17"/>
      <c r="E146" s="6"/>
      <c r="F146" s="19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</row>
    <row r="147" spans="1:25" s="20" customFormat="1" ht="89.25" customHeight="1">
      <c r="A147" s="6"/>
      <c r="B147" s="6"/>
      <c r="C147" s="16"/>
      <c r="D147" s="17"/>
      <c r="E147" s="6"/>
      <c r="F147" s="19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</row>
    <row r="148" spans="1:25" s="20" customFormat="1" ht="89.25" customHeight="1">
      <c r="A148" s="6"/>
      <c r="B148" s="6"/>
      <c r="C148" s="16"/>
      <c r="D148" s="17"/>
      <c r="E148" s="6"/>
      <c r="F148" s="19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</row>
    <row r="149" spans="1:25" s="20" customFormat="1" ht="89.25" customHeight="1">
      <c r="A149" s="6"/>
      <c r="B149" s="6"/>
      <c r="C149" s="16"/>
      <c r="D149" s="17"/>
      <c r="E149" s="6"/>
      <c r="F149" s="19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</row>
    <row r="150" spans="1:25" s="20" customFormat="1" ht="89.25" customHeight="1">
      <c r="A150" s="6"/>
      <c r="B150" s="6"/>
      <c r="C150" s="16"/>
      <c r="D150" s="17"/>
      <c r="E150" s="6"/>
      <c r="F150" s="19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</row>
    <row r="151" spans="1:25" s="20" customFormat="1" ht="89.25" customHeight="1">
      <c r="A151" s="6"/>
      <c r="B151" s="6"/>
      <c r="C151" s="16"/>
      <c r="D151" s="17"/>
      <c r="E151" s="6"/>
      <c r="F151" s="19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</row>
    <row r="152" spans="1:25" s="20" customFormat="1" ht="89.25" customHeight="1">
      <c r="A152" s="6"/>
      <c r="B152" s="6"/>
      <c r="C152" s="16"/>
      <c r="D152" s="17"/>
      <c r="E152" s="6"/>
      <c r="F152" s="19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</row>
    <row r="153" spans="1:25" s="20" customFormat="1" ht="89.25" customHeight="1">
      <c r="A153" s="6"/>
      <c r="B153" s="6"/>
      <c r="C153" s="16"/>
      <c r="D153" s="17"/>
      <c r="E153" s="6"/>
      <c r="F153" s="19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</row>
    <row r="154" spans="1:25" s="20" customFormat="1" ht="89.25" customHeight="1">
      <c r="A154" s="6"/>
      <c r="B154" s="6"/>
      <c r="C154" s="16"/>
      <c r="D154" s="17"/>
      <c r="E154" s="6"/>
      <c r="F154" s="19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</row>
    <row r="155" spans="1:25" s="20" customFormat="1" ht="89.25" customHeight="1">
      <c r="A155" s="6"/>
      <c r="B155" s="6"/>
      <c r="C155" s="16"/>
      <c r="D155" s="17"/>
      <c r="E155" s="6"/>
      <c r="F155" s="19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</row>
    <row r="156" spans="1:25" s="20" customFormat="1" ht="89.25" customHeight="1">
      <c r="A156" s="6"/>
      <c r="B156" s="6"/>
      <c r="C156" s="16"/>
      <c r="D156" s="17"/>
      <c r="E156" s="6"/>
      <c r="F156" s="19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</row>
    <row r="157" spans="1:25" s="20" customFormat="1" ht="89.25" customHeight="1">
      <c r="A157" s="6"/>
      <c r="B157" s="6"/>
      <c r="C157" s="16"/>
      <c r="D157" s="17"/>
      <c r="E157" s="6"/>
      <c r="F157" s="19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</row>
    <row r="158" spans="1:25" s="20" customFormat="1" ht="89.25" customHeight="1">
      <c r="A158" s="6"/>
      <c r="B158" s="6"/>
      <c r="C158" s="16"/>
      <c r="D158" s="17"/>
      <c r="E158" s="6"/>
      <c r="F158" s="19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</row>
    <row r="159" spans="1:25" s="20" customFormat="1" ht="89.25" customHeight="1">
      <c r="A159" s="6"/>
      <c r="B159" s="6"/>
      <c r="C159" s="16"/>
      <c r="D159" s="17"/>
      <c r="E159" s="6"/>
      <c r="F159" s="19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</row>
    <row r="160" spans="1:25" s="20" customFormat="1" ht="89.25" customHeight="1">
      <c r="A160" s="6"/>
      <c r="B160" s="6"/>
      <c r="C160" s="16"/>
      <c r="D160" s="17"/>
      <c r="E160" s="6"/>
      <c r="F160" s="19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</row>
    <row r="161" spans="1:25" s="20" customFormat="1" ht="89.25" customHeight="1">
      <c r="A161" s="6"/>
      <c r="B161" s="6"/>
      <c r="C161" s="16"/>
      <c r="D161" s="17"/>
      <c r="E161" s="6"/>
      <c r="F161" s="19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</row>
    <row r="162" spans="1:25" s="20" customFormat="1" ht="89.25" customHeight="1">
      <c r="A162" s="6"/>
      <c r="B162" s="6"/>
      <c r="C162" s="16"/>
      <c r="D162" s="17"/>
      <c r="E162" s="6"/>
      <c r="F162" s="19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</row>
    <row r="163" spans="1:25" s="20" customFormat="1" ht="89.25" customHeight="1">
      <c r="A163" s="6"/>
      <c r="B163" s="6"/>
      <c r="C163" s="16"/>
      <c r="D163" s="17"/>
      <c r="E163" s="6"/>
      <c r="F163" s="19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</row>
    <row r="164" spans="1:25" s="20" customFormat="1" ht="89.25" customHeight="1">
      <c r="A164" s="6"/>
      <c r="B164" s="6"/>
      <c r="C164" s="16"/>
      <c r="D164" s="17"/>
      <c r="E164" s="6"/>
      <c r="F164" s="19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</row>
    <row r="165" spans="1:25" s="20" customFormat="1" ht="89.25" customHeight="1">
      <c r="A165" s="6"/>
      <c r="B165" s="6"/>
      <c r="C165" s="16"/>
      <c r="D165" s="17"/>
      <c r="E165" s="6"/>
      <c r="F165" s="19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</row>
    <row r="166" spans="1:25" s="20" customFormat="1" ht="89.25" customHeight="1">
      <c r="A166" s="6"/>
      <c r="B166" s="6"/>
      <c r="C166" s="16"/>
      <c r="D166" s="17"/>
      <c r="E166" s="6"/>
      <c r="F166" s="19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</row>
    <row r="167" spans="1:25" s="20" customFormat="1" ht="89.25" customHeight="1">
      <c r="A167" s="6"/>
      <c r="B167" s="6"/>
      <c r="C167" s="16"/>
      <c r="D167" s="17"/>
      <c r="E167" s="6"/>
      <c r="F167" s="19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</row>
    <row r="168" spans="1:25" s="20" customFormat="1" ht="89.25" customHeight="1">
      <c r="A168" s="6"/>
      <c r="B168" s="6"/>
      <c r="C168" s="16"/>
      <c r="D168" s="17"/>
      <c r="E168" s="6"/>
      <c r="F168" s="19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</row>
    <row r="169" spans="1:25" s="20" customFormat="1" ht="89.25" customHeight="1">
      <c r="A169" s="6"/>
      <c r="B169" s="6"/>
      <c r="C169" s="16"/>
      <c r="D169" s="17"/>
      <c r="E169" s="6"/>
      <c r="F169" s="19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</row>
    <row r="170" spans="1:25" s="20" customFormat="1" ht="89.25" customHeight="1">
      <c r="A170" s="6"/>
      <c r="B170" s="6"/>
      <c r="C170" s="16"/>
      <c r="D170" s="17"/>
      <c r="E170" s="6"/>
      <c r="F170" s="19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</row>
    <row r="171" spans="1:25" s="20" customFormat="1" ht="89.25" customHeight="1">
      <c r="A171" s="6"/>
      <c r="B171" s="6"/>
      <c r="C171" s="16"/>
      <c r="D171" s="17"/>
      <c r="E171" s="6"/>
      <c r="F171" s="19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</row>
    <row r="172" spans="1:25" s="20" customFormat="1" ht="89.25" customHeight="1">
      <c r="A172" s="6"/>
      <c r="B172" s="6"/>
      <c r="C172" s="16"/>
      <c r="D172" s="17"/>
      <c r="E172" s="6"/>
      <c r="F172" s="19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</row>
    <row r="173" spans="1:25" s="20" customFormat="1" ht="89.25" customHeight="1">
      <c r="A173" s="6"/>
      <c r="B173" s="6"/>
      <c r="C173" s="16"/>
      <c r="D173" s="17"/>
      <c r="E173" s="6"/>
      <c r="F173" s="19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</row>
    <row r="174" spans="1:25" s="20" customFormat="1" ht="89.25" customHeight="1">
      <c r="A174" s="6"/>
      <c r="B174" s="6"/>
      <c r="C174" s="16"/>
      <c r="D174" s="17"/>
      <c r="E174" s="6"/>
      <c r="F174" s="19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</row>
    <row r="175" spans="1:25" s="20" customFormat="1" ht="89.25" customHeight="1">
      <c r="A175" s="6"/>
      <c r="B175" s="6"/>
      <c r="C175" s="16"/>
      <c r="D175" s="17"/>
      <c r="E175" s="6"/>
      <c r="F175" s="19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</row>
    <row r="176" spans="1:25" s="20" customFormat="1" ht="89.25" customHeight="1">
      <c r="A176" s="6"/>
      <c r="B176" s="6"/>
      <c r="C176" s="16"/>
      <c r="D176" s="17"/>
      <c r="E176" s="6"/>
      <c r="F176" s="19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</row>
    <row r="177" spans="1:25" s="20" customFormat="1" ht="89.25" customHeight="1">
      <c r="A177" s="6"/>
      <c r="B177" s="6"/>
      <c r="C177" s="16"/>
      <c r="D177" s="17"/>
      <c r="E177" s="6"/>
      <c r="F177" s="19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</row>
    <row r="178" spans="1:25" s="20" customFormat="1" ht="89.25" customHeight="1">
      <c r="A178" s="6"/>
      <c r="B178" s="6"/>
      <c r="C178" s="16"/>
      <c r="D178" s="17"/>
      <c r="E178" s="6"/>
      <c r="F178" s="19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</row>
    <row r="179" spans="1:25" s="20" customFormat="1" ht="89.25" customHeight="1">
      <c r="A179" s="6"/>
      <c r="B179" s="6"/>
      <c r="C179" s="16"/>
      <c r="D179" s="17"/>
      <c r="E179" s="6"/>
      <c r="F179" s="19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</row>
    <row r="180" spans="1:25" s="20" customFormat="1" ht="89.25" customHeight="1">
      <c r="A180" s="6"/>
      <c r="B180" s="6"/>
      <c r="C180" s="16"/>
      <c r="D180" s="17"/>
      <c r="E180" s="6"/>
      <c r="F180" s="19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</row>
    <row r="181" spans="1:25" s="20" customFormat="1" ht="89.25" customHeight="1">
      <c r="A181" s="6"/>
      <c r="B181" s="6"/>
      <c r="C181" s="16"/>
      <c r="D181" s="17"/>
      <c r="E181" s="6"/>
      <c r="F181" s="19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</row>
    <row r="182" spans="1:25" s="20" customFormat="1" ht="89.25" customHeight="1">
      <c r="A182" s="6"/>
      <c r="B182" s="6"/>
      <c r="C182" s="16"/>
      <c r="D182" s="17"/>
      <c r="E182" s="6"/>
      <c r="F182" s="19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</row>
    <row r="183" spans="1:25" s="20" customFormat="1" ht="89.25" customHeight="1">
      <c r="A183" s="6"/>
      <c r="B183" s="6"/>
      <c r="C183" s="16"/>
      <c r="D183" s="17"/>
      <c r="E183" s="6"/>
      <c r="F183" s="19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</row>
    <row r="184" spans="1:25" s="20" customFormat="1" ht="89.25" customHeight="1">
      <c r="A184" s="6"/>
      <c r="B184" s="6"/>
      <c r="C184" s="16"/>
      <c r="D184" s="17"/>
      <c r="E184" s="6"/>
      <c r="F184" s="19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</row>
    <row r="185" spans="1:25" s="20" customFormat="1" ht="89.25" customHeight="1">
      <c r="A185" s="6"/>
      <c r="B185" s="6"/>
      <c r="C185" s="16"/>
      <c r="D185" s="17"/>
      <c r="E185" s="6"/>
      <c r="F185" s="19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</row>
    <row r="186" spans="1:25" s="20" customFormat="1" ht="89.25" customHeight="1">
      <c r="A186" s="6"/>
      <c r="B186" s="6"/>
      <c r="C186" s="16"/>
      <c r="D186" s="17"/>
      <c r="E186" s="6"/>
      <c r="F186" s="19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</row>
    <row r="187" spans="1:25" s="20" customFormat="1" ht="89.25" customHeight="1">
      <c r="A187" s="6"/>
      <c r="B187" s="6"/>
      <c r="C187" s="16"/>
      <c r="D187" s="17"/>
      <c r="E187" s="6"/>
      <c r="F187" s="19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</row>
    <row r="188" spans="1:25" s="20" customFormat="1" ht="89.25" customHeight="1">
      <c r="A188" s="6"/>
      <c r="B188" s="6"/>
      <c r="C188" s="16"/>
      <c r="D188" s="17"/>
      <c r="E188" s="6"/>
      <c r="F188" s="19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</row>
    <row r="189" spans="1:25" s="20" customFormat="1" ht="89.25" customHeight="1">
      <c r="A189" s="6"/>
      <c r="B189" s="6"/>
      <c r="C189" s="16"/>
      <c r="D189" s="17"/>
      <c r="E189" s="6"/>
      <c r="F189" s="19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</row>
    <row r="190" spans="1:25" s="20" customFormat="1" ht="89.25" customHeight="1">
      <c r="A190" s="6"/>
      <c r="B190" s="6"/>
      <c r="C190" s="16"/>
      <c r="D190" s="17"/>
      <c r="E190" s="6"/>
      <c r="F190" s="19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</row>
    <row r="191" spans="1:25" s="20" customFormat="1" ht="89.25" customHeight="1">
      <c r="A191" s="6"/>
      <c r="B191" s="6"/>
      <c r="C191" s="16"/>
      <c r="D191" s="17"/>
      <c r="E191" s="6"/>
      <c r="F191" s="19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</row>
    <row r="192" spans="1:25" s="20" customFormat="1" ht="89.25" customHeight="1">
      <c r="A192" s="6"/>
      <c r="B192" s="6"/>
      <c r="C192" s="16"/>
      <c r="D192" s="17"/>
      <c r="E192" s="6"/>
      <c r="F192" s="19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</row>
    <row r="193" spans="1:25" s="20" customFormat="1" ht="89.25" customHeight="1">
      <c r="A193" s="6"/>
      <c r="B193" s="6"/>
      <c r="C193" s="16"/>
      <c r="D193" s="17"/>
      <c r="E193" s="6"/>
      <c r="F193" s="19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</row>
    <row r="194" spans="1:25" s="20" customFormat="1" ht="89.25" customHeight="1">
      <c r="A194" s="6"/>
      <c r="B194" s="6"/>
      <c r="C194" s="16"/>
      <c r="D194" s="17"/>
      <c r="E194" s="6"/>
      <c r="F194" s="19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</row>
    <row r="195" spans="1:25" s="20" customFormat="1" ht="89.25" customHeight="1">
      <c r="A195" s="6"/>
      <c r="B195" s="6"/>
      <c r="C195" s="16"/>
      <c r="D195" s="17"/>
      <c r="E195" s="6"/>
      <c r="F195" s="19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</row>
    <row r="196" spans="1:25" s="20" customFormat="1" ht="89.25" customHeight="1">
      <c r="A196" s="6"/>
      <c r="B196" s="6"/>
      <c r="C196" s="16"/>
      <c r="D196" s="17"/>
      <c r="E196" s="6"/>
      <c r="F196" s="19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</row>
    <row r="197" spans="1:25" s="20" customFormat="1" ht="89.25" customHeight="1">
      <c r="A197" s="6"/>
      <c r="B197" s="6"/>
      <c r="C197" s="16"/>
      <c r="D197" s="17"/>
      <c r="E197" s="6"/>
      <c r="F197" s="19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</row>
    <row r="198" spans="1:25" s="20" customFormat="1" ht="89.25" customHeight="1">
      <c r="A198" s="6"/>
      <c r="B198" s="6"/>
      <c r="C198" s="16"/>
      <c r="D198" s="17"/>
      <c r="E198" s="6"/>
      <c r="F198" s="19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</row>
    <row r="199" spans="1:25" s="20" customFormat="1" ht="89.25" customHeight="1">
      <c r="A199" s="6"/>
      <c r="B199" s="6"/>
      <c r="C199" s="16"/>
      <c r="D199" s="17"/>
      <c r="E199" s="6"/>
      <c r="F199" s="19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</row>
    <row r="200" spans="1:25" s="20" customFormat="1" ht="89.25" customHeight="1">
      <c r="A200" s="6"/>
      <c r="B200" s="6"/>
      <c r="C200" s="16"/>
      <c r="D200" s="17"/>
      <c r="E200" s="6"/>
      <c r="F200" s="19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</row>
    <row r="201" spans="1:25" s="20" customFormat="1" ht="89.25" customHeight="1">
      <c r="A201" s="6"/>
      <c r="B201" s="6"/>
      <c r="C201" s="16"/>
      <c r="D201" s="17"/>
      <c r="E201" s="6"/>
      <c r="F201" s="19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</row>
    <row r="202" spans="1:25" s="20" customFormat="1" ht="89.25" customHeight="1">
      <c r="A202" s="6"/>
      <c r="B202" s="6"/>
      <c r="C202" s="16"/>
      <c r="D202" s="17"/>
      <c r="E202" s="6"/>
      <c r="F202" s="19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</row>
    <row r="203" spans="1:25" s="20" customFormat="1" ht="89.25" customHeight="1">
      <c r="A203" s="6"/>
      <c r="B203" s="6"/>
      <c r="C203" s="16"/>
      <c r="D203" s="17"/>
      <c r="E203" s="6"/>
      <c r="F203" s="19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</row>
    <row r="204" spans="1:25" s="20" customFormat="1" ht="89.25" customHeight="1">
      <c r="A204" s="6"/>
      <c r="B204" s="6"/>
      <c r="C204" s="16"/>
      <c r="D204" s="17"/>
      <c r="E204" s="6"/>
      <c r="F204" s="19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</row>
    <row r="205" spans="1:25" s="20" customFormat="1" ht="89.25" customHeight="1">
      <c r="A205" s="6"/>
      <c r="B205" s="6"/>
      <c r="C205" s="16"/>
      <c r="D205" s="17"/>
      <c r="E205" s="6"/>
      <c r="F205" s="19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</row>
    <row r="206" spans="1:25" s="20" customFormat="1" ht="89.25" customHeight="1">
      <c r="A206" s="6"/>
      <c r="B206" s="6"/>
      <c r="C206" s="16"/>
      <c r="D206" s="17"/>
      <c r="E206" s="6"/>
      <c r="F206" s="19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</row>
    <row r="207" spans="1:25" s="20" customFormat="1" ht="89.25" customHeight="1">
      <c r="A207" s="6"/>
      <c r="B207" s="6"/>
      <c r="C207" s="16"/>
      <c r="D207" s="17"/>
      <c r="E207" s="6"/>
      <c r="F207" s="19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</row>
    <row r="208" spans="1:25" s="20" customFormat="1" ht="89.25" customHeight="1">
      <c r="A208" s="6"/>
      <c r="B208" s="6"/>
      <c r="C208" s="16"/>
      <c r="D208" s="17"/>
      <c r="E208" s="6"/>
      <c r="F208" s="19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</row>
    <row r="209" spans="1:25" s="20" customFormat="1" ht="89.25" customHeight="1">
      <c r="A209" s="6"/>
      <c r="B209" s="6"/>
      <c r="C209" s="16"/>
      <c r="D209" s="17"/>
      <c r="E209" s="6"/>
      <c r="F209" s="19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</row>
    <row r="210" spans="1:25" s="20" customFormat="1" ht="89.25" customHeight="1">
      <c r="A210" s="6"/>
      <c r="B210" s="6"/>
      <c r="C210" s="16"/>
      <c r="D210" s="17"/>
      <c r="E210" s="6"/>
      <c r="F210" s="19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</row>
    <row r="211" spans="1:25" s="20" customFormat="1" ht="89.25" customHeight="1">
      <c r="A211" s="6"/>
      <c r="B211" s="6"/>
      <c r="C211" s="16"/>
      <c r="D211" s="17"/>
      <c r="E211" s="6"/>
      <c r="F211" s="19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</row>
    <row r="212" spans="1:25" s="20" customFormat="1" ht="89.25" customHeight="1">
      <c r="A212" s="6"/>
      <c r="B212" s="6"/>
      <c r="C212" s="16"/>
      <c r="D212" s="17"/>
      <c r="E212" s="6"/>
      <c r="F212" s="19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</row>
    <row r="213" spans="1:25" s="20" customFormat="1" ht="89.25" customHeight="1">
      <c r="A213" s="6"/>
      <c r="B213" s="6"/>
      <c r="C213" s="16"/>
      <c r="D213" s="17"/>
      <c r="E213" s="6"/>
      <c r="F213" s="19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</row>
    <row r="214" spans="1:25" s="20" customFormat="1" ht="89.25" customHeight="1">
      <c r="A214" s="6"/>
      <c r="B214" s="6"/>
      <c r="C214" s="16"/>
      <c r="D214" s="17"/>
      <c r="E214" s="6"/>
      <c r="F214" s="19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</row>
    <row r="215" spans="1:25" s="20" customFormat="1" ht="89.25" customHeight="1">
      <c r="A215" s="6"/>
      <c r="B215" s="6"/>
      <c r="C215" s="16"/>
      <c r="D215" s="17"/>
      <c r="E215" s="6"/>
      <c r="F215" s="19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</row>
    <row r="216" spans="1:25" s="20" customFormat="1" ht="89.25" customHeight="1">
      <c r="A216" s="6"/>
      <c r="B216" s="6"/>
      <c r="C216" s="16"/>
      <c r="D216" s="17"/>
      <c r="E216" s="6"/>
      <c r="F216" s="19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</row>
    <row r="217" spans="1:25" s="20" customFormat="1" ht="89.25" customHeight="1">
      <c r="A217" s="6"/>
      <c r="B217" s="6"/>
      <c r="C217" s="16"/>
      <c r="D217" s="17"/>
      <c r="E217" s="6"/>
      <c r="F217" s="19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</row>
    <row r="218" spans="1:25" s="20" customFormat="1" ht="89.25" customHeight="1">
      <c r="A218" s="6"/>
      <c r="B218" s="6"/>
      <c r="C218" s="16"/>
      <c r="D218" s="17"/>
      <c r="E218" s="6"/>
      <c r="F218" s="19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</row>
    <row r="219" spans="1:25" s="20" customFormat="1" ht="89.25" customHeight="1">
      <c r="A219" s="6"/>
      <c r="B219" s="6"/>
      <c r="C219" s="16"/>
      <c r="D219" s="17"/>
      <c r="E219" s="6"/>
      <c r="F219" s="19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</row>
    <row r="220" spans="1:25" s="20" customFormat="1" ht="89.25" customHeight="1">
      <c r="A220" s="6"/>
      <c r="B220" s="6"/>
      <c r="C220" s="16"/>
      <c r="D220" s="17"/>
      <c r="E220" s="6"/>
      <c r="F220" s="19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</row>
    <row r="221" spans="1:25" s="20" customFormat="1" ht="89.25" customHeight="1">
      <c r="A221" s="6"/>
      <c r="B221" s="6"/>
      <c r="C221" s="16"/>
      <c r="D221" s="17"/>
      <c r="E221" s="6"/>
      <c r="F221" s="19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</row>
    <row r="222" spans="1:25" s="20" customFormat="1" ht="89.25" customHeight="1">
      <c r="A222" s="6"/>
      <c r="B222" s="6"/>
      <c r="C222" s="16"/>
      <c r="D222" s="17"/>
      <c r="E222" s="6"/>
      <c r="F222" s="19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</row>
    <row r="223" spans="1:25" s="20" customFormat="1" ht="89.25" customHeight="1">
      <c r="A223" s="6"/>
      <c r="B223" s="6"/>
      <c r="C223" s="16"/>
      <c r="D223" s="17"/>
      <c r="E223" s="6"/>
      <c r="F223" s="19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</row>
    <row r="224" spans="1:25" s="20" customFormat="1" ht="89.25" customHeight="1">
      <c r="A224" s="6"/>
      <c r="B224" s="6"/>
      <c r="C224" s="16"/>
      <c r="D224" s="17"/>
      <c r="E224" s="6"/>
      <c r="F224" s="19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</row>
    <row r="225" spans="1:25" s="20" customFormat="1" ht="89.25" customHeight="1">
      <c r="A225" s="6"/>
      <c r="B225" s="6"/>
      <c r="C225" s="16"/>
      <c r="D225" s="17"/>
      <c r="E225" s="6"/>
      <c r="F225" s="19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</row>
    <row r="226" spans="1:25" s="20" customFormat="1" ht="89.25" customHeight="1">
      <c r="A226" s="6"/>
      <c r="B226" s="6"/>
      <c r="C226" s="16"/>
      <c r="D226" s="17"/>
      <c r="E226" s="6"/>
      <c r="F226" s="19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</row>
    <row r="227" spans="1:25" s="20" customFormat="1" ht="89.25" customHeight="1">
      <c r="A227" s="6"/>
      <c r="B227" s="6"/>
      <c r="C227" s="16"/>
      <c r="D227" s="17"/>
      <c r="E227" s="6"/>
      <c r="F227" s="19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</row>
    <row r="228" spans="1:25" s="20" customFormat="1" ht="89.25" customHeight="1">
      <c r="A228" s="6"/>
      <c r="B228" s="6"/>
      <c r="C228" s="16"/>
      <c r="D228" s="17"/>
      <c r="E228" s="6"/>
      <c r="F228" s="19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</row>
    <row r="229" spans="1:25" s="20" customFormat="1" ht="89.25" customHeight="1">
      <c r="A229" s="6"/>
      <c r="B229" s="6"/>
      <c r="C229" s="16"/>
      <c r="D229" s="17"/>
      <c r="E229" s="6"/>
      <c r="F229" s="19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</row>
  </sheetData>
  <mergeCells count="14">
    <mergeCell ref="D44:E44"/>
    <mergeCell ref="A41:B41"/>
    <mergeCell ref="D41:E41"/>
    <mergeCell ref="A42:B42"/>
    <mergeCell ref="D42:E42"/>
    <mergeCell ref="A43:B43"/>
    <mergeCell ref="D43:E43"/>
    <mergeCell ref="A10:D10"/>
    <mergeCell ref="A1:F3"/>
    <mergeCell ref="A5:F5"/>
    <mergeCell ref="A6:F6"/>
    <mergeCell ref="A7:E7"/>
    <mergeCell ref="A9:D9"/>
    <mergeCell ref="A4:F4"/>
  </mergeCells>
  <printOptions horizontalCentered="1" verticalCentered="1"/>
  <pageMargins left="0.59055118110236227" right="0.59055118110236227" top="0.59055118110236227" bottom="0.59055118110236227" header="0.31496062992125984" footer="0.31496062992125984"/>
  <pageSetup paperSize="9" scale="54" orientation="landscape" r:id="rId1"/>
  <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 codeName="Hoja38"/>
  <dimension ref="A1:IV35"/>
  <sheetViews>
    <sheetView showGridLines="0" zoomScale="80" zoomScaleNormal="80" zoomScaleSheetLayoutView="80" workbookViewId="0">
      <selection activeCell="H9" sqref="H9"/>
    </sheetView>
  </sheetViews>
  <sheetFormatPr baseColWidth="10" defaultRowHeight="15"/>
  <cols>
    <col min="1" max="1" width="16.140625" style="183" customWidth="1"/>
    <col min="2" max="2" width="17.5703125" style="183" customWidth="1"/>
    <col min="3" max="3" width="13.28515625" style="183" bestFit="1" customWidth="1"/>
    <col min="4" max="4" width="17.140625" style="183" customWidth="1"/>
    <col min="5" max="5" width="16.85546875" style="184" bestFit="1" customWidth="1"/>
    <col min="6" max="6" width="27.85546875" style="183" customWidth="1"/>
    <col min="7" max="7" width="35.85546875" style="183" customWidth="1"/>
    <col min="8" max="8" width="19.5703125" style="185" bestFit="1" customWidth="1"/>
    <col min="9" max="9" width="18.28515625" style="185" bestFit="1" customWidth="1"/>
    <col min="10" max="10" width="17.28515625" style="185" bestFit="1" customWidth="1"/>
    <col min="11" max="11" width="17.5703125" style="185" customWidth="1"/>
    <col min="12" max="12" width="17.7109375" style="185" bestFit="1" customWidth="1"/>
    <col min="13" max="256" width="11.42578125" style="183"/>
    <col min="257" max="257" width="11.85546875" style="183" bestFit="1" customWidth="1"/>
    <col min="258" max="258" width="15" style="183" customWidth="1"/>
    <col min="259" max="259" width="13.28515625" style="183" bestFit="1" customWidth="1"/>
    <col min="260" max="260" width="17.140625" style="183" customWidth="1"/>
    <col min="261" max="261" width="16.85546875" style="183" bestFit="1" customWidth="1"/>
    <col min="262" max="262" width="27.85546875" style="183" customWidth="1"/>
    <col min="263" max="263" width="35.85546875" style="183" customWidth="1"/>
    <col min="264" max="264" width="19.5703125" style="183" bestFit="1" customWidth="1"/>
    <col min="265" max="265" width="18.28515625" style="183" bestFit="1" customWidth="1"/>
    <col min="266" max="266" width="17.28515625" style="183" bestFit="1" customWidth="1"/>
    <col min="267" max="267" width="11.28515625" style="183" bestFit="1" customWidth="1"/>
    <col min="268" max="268" width="17.7109375" style="183" bestFit="1" customWidth="1"/>
    <col min="269" max="512" width="11.42578125" style="183"/>
    <col min="513" max="513" width="11.85546875" style="183" bestFit="1" customWidth="1"/>
    <col min="514" max="514" width="15" style="183" customWidth="1"/>
    <col min="515" max="515" width="13.28515625" style="183" bestFit="1" customWidth="1"/>
    <col min="516" max="516" width="17.140625" style="183" customWidth="1"/>
    <col min="517" max="517" width="16.85546875" style="183" bestFit="1" customWidth="1"/>
    <col min="518" max="518" width="27.85546875" style="183" customWidth="1"/>
    <col min="519" max="519" width="35.85546875" style="183" customWidth="1"/>
    <col min="520" max="520" width="19.5703125" style="183" bestFit="1" customWidth="1"/>
    <col min="521" max="521" width="18.28515625" style="183" bestFit="1" customWidth="1"/>
    <col min="522" max="522" width="17.28515625" style="183" bestFit="1" customWidth="1"/>
    <col min="523" max="523" width="11.28515625" style="183" bestFit="1" customWidth="1"/>
    <col min="524" max="524" width="17.7109375" style="183" bestFit="1" customWidth="1"/>
    <col min="525" max="768" width="11.42578125" style="183"/>
    <col min="769" max="769" width="11.85546875" style="183" bestFit="1" customWidth="1"/>
    <col min="770" max="770" width="15" style="183" customWidth="1"/>
    <col min="771" max="771" width="13.28515625" style="183" bestFit="1" customWidth="1"/>
    <col min="772" max="772" width="17.140625" style="183" customWidth="1"/>
    <col min="773" max="773" width="16.85546875" style="183" bestFit="1" customWidth="1"/>
    <col min="774" max="774" width="27.85546875" style="183" customWidth="1"/>
    <col min="775" max="775" width="35.85546875" style="183" customWidth="1"/>
    <col min="776" max="776" width="19.5703125" style="183" bestFit="1" customWidth="1"/>
    <col min="777" max="777" width="18.28515625" style="183" bestFit="1" customWidth="1"/>
    <col min="778" max="778" width="17.28515625" style="183" bestFit="1" customWidth="1"/>
    <col min="779" max="779" width="11.28515625" style="183" bestFit="1" customWidth="1"/>
    <col min="780" max="780" width="17.7109375" style="183" bestFit="1" customWidth="1"/>
    <col min="781" max="1024" width="11.42578125" style="183"/>
    <col min="1025" max="1025" width="11.85546875" style="183" bestFit="1" customWidth="1"/>
    <col min="1026" max="1026" width="15" style="183" customWidth="1"/>
    <col min="1027" max="1027" width="13.28515625" style="183" bestFit="1" customWidth="1"/>
    <col min="1028" max="1028" width="17.140625" style="183" customWidth="1"/>
    <col min="1029" max="1029" width="16.85546875" style="183" bestFit="1" customWidth="1"/>
    <col min="1030" max="1030" width="27.85546875" style="183" customWidth="1"/>
    <col min="1031" max="1031" width="35.85546875" style="183" customWidth="1"/>
    <col min="1032" max="1032" width="19.5703125" style="183" bestFit="1" customWidth="1"/>
    <col min="1033" max="1033" width="18.28515625" style="183" bestFit="1" customWidth="1"/>
    <col min="1034" max="1034" width="17.28515625" style="183" bestFit="1" customWidth="1"/>
    <col min="1035" max="1035" width="11.28515625" style="183" bestFit="1" customWidth="1"/>
    <col min="1036" max="1036" width="17.7109375" style="183" bestFit="1" customWidth="1"/>
    <col min="1037" max="1280" width="11.42578125" style="183"/>
    <col min="1281" max="1281" width="11.85546875" style="183" bestFit="1" customWidth="1"/>
    <col min="1282" max="1282" width="15" style="183" customWidth="1"/>
    <col min="1283" max="1283" width="13.28515625" style="183" bestFit="1" customWidth="1"/>
    <col min="1284" max="1284" width="17.140625" style="183" customWidth="1"/>
    <col min="1285" max="1285" width="16.85546875" style="183" bestFit="1" customWidth="1"/>
    <col min="1286" max="1286" width="27.85546875" style="183" customWidth="1"/>
    <col min="1287" max="1287" width="35.85546875" style="183" customWidth="1"/>
    <col min="1288" max="1288" width="19.5703125" style="183" bestFit="1" customWidth="1"/>
    <col min="1289" max="1289" width="18.28515625" style="183" bestFit="1" customWidth="1"/>
    <col min="1290" max="1290" width="17.28515625" style="183" bestFit="1" customWidth="1"/>
    <col min="1291" max="1291" width="11.28515625" style="183" bestFit="1" customWidth="1"/>
    <col min="1292" max="1292" width="17.7109375" style="183" bestFit="1" customWidth="1"/>
    <col min="1293" max="1536" width="11.42578125" style="183"/>
    <col min="1537" max="1537" width="11.85546875" style="183" bestFit="1" customWidth="1"/>
    <col min="1538" max="1538" width="15" style="183" customWidth="1"/>
    <col min="1539" max="1539" width="13.28515625" style="183" bestFit="1" customWidth="1"/>
    <col min="1540" max="1540" width="17.140625" style="183" customWidth="1"/>
    <col min="1541" max="1541" width="16.85546875" style="183" bestFit="1" customWidth="1"/>
    <col min="1542" max="1542" width="27.85546875" style="183" customWidth="1"/>
    <col min="1543" max="1543" width="35.85546875" style="183" customWidth="1"/>
    <col min="1544" max="1544" width="19.5703125" style="183" bestFit="1" customWidth="1"/>
    <col min="1545" max="1545" width="18.28515625" style="183" bestFit="1" customWidth="1"/>
    <col min="1546" max="1546" width="17.28515625" style="183" bestFit="1" customWidth="1"/>
    <col min="1547" max="1547" width="11.28515625" style="183" bestFit="1" customWidth="1"/>
    <col min="1548" max="1548" width="17.7109375" style="183" bestFit="1" customWidth="1"/>
    <col min="1549" max="1792" width="11.42578125" style="183"/>
    <col min="1793" max="1793" width="11.85546875" style="183" bestFit="1" customWidth="1"/>
    <col min="1794" max="1794" width="15" style="183" customWidth="1"/>
    <col min="1795" max="1795" width="13.28515625" style="183" bestFit="1" customWidth="1"/>
    <col min="1796" max="1796" width="17.140625" style="183" customWidth="1"/>
    <col min="1797" max="1797" width="16.85546875" style="183" bestFit="1" customWidth="1"/>
    <col min="1798" max="1798" width="27.85546875" style="183" customWidth="1"/>
    <col min="1799" max="1799" width="35.85546875" style="183" customWidth="1"/>
    <col min="1800" max="1800" width="19.5703125" style="183" bestFit="1" customWidth="1"/>
    <col min="1801" max="1801" width="18.28515625" style="183" bestFit="1" customWidth="1"/>
    <col min="1802" max="1802" width="17.28515625" style="183" bestFit="1" customWidth="1"/>
    <col min="1803" max="1803" width="11.28515625" style="183" bestFit="1" customWidth="1"/>
    <col min="1804" max="1804" width="17.7109375" style="183" bestFit="1" customWidth="1"/>
    <col min="1805" max="2048" width="11.42578125" style="183"/>
    <col min="2049" max="2049" width="11.85546875" style="183" bestFit="1" customWidth="1"/>
    <col min="2050" max="2050" width="15" style="183" customWidth="1"/>
    <col min="2051" max="2051" width="13.28515625" style="183" bestFit="1" customWidth="1"/>
    <col min="2052" max="2052" width="17.140625" style="183" customWidth="1"/>
    <col min="2053" max="2053" width="16.85546875" style="183" bestFit="1" customWidth="1"/>
    <col min="2054" max="2054" width="27.85546875" style="183" customWidth="1"/>
    <col min="2055" max="2055" width="35.85546875" style="183" customWidth="1"/>
    <col min="2056" max="2056" width="19.5703125" style="183" bestFit="1" customWidth="1"/>
    <col min="2057" max="2057" width="18.28515625" style="183" bestFit="1" customWidth="1"/>
    <col min="2058" max="2058" width="17.28515625" style="183" bestFit="1" customWidth="1"/>
    <col min="2059" max="2059" width="11.28515625" style="183" bestFit="1" customWidth="1"/>
    <col min="2060" max="2060" width="17.7109375" style="183" bestFit="1" customWidth="1"/>
    <col min="2061" max="2304" width="11.42578125" style="183"/>
    <col min="2305" max="2305" width="11.85546875" style="183" bestFit="1" customWidth="1"/>
    <col min="2306" max="2306" width="15" style="183" customWidth="1"/>
    <col min="2307" max="2307" width="13.28515625" style="183" bestFit="1" customWidth="1"/>
    <col min="2308" max="2308" width="17.140625" style="183" customWidth="1"/>
    <col min="2309" max="2309" width="16.85546875" style="183" bestFit="1" customWidth="1"/>
    <col min="2310" max="2310" width="27.85546875" style="183" customWidth="1"/>
    <col min="2311" max="2311" width="35.85546875" style="183" customWidth="1"/>
    <col min="2312" max="2312" width="19.5703125" style="183" bestFit="1" customWidth="1"/>
    <col min="2313" max="2313" width="18.28515625" style="183" bestFit="1" customWidth="1"/>
    <col min="2314" max="2314" width="17.28515625" style="183" bestFit="1" customWidth="1"/>
    <col min="2315" max="2315" width="11.28515625" style="183" bestFit="1" customWidth="1"/>
    <col min="2316" max="2316" width="17.7109375" style="183" bestFit="1" customWidth="1"/>
    <col min="2317" max="2560" width="11.42578125" style="183"/>
    <col min="2561" max="2561" width="11.85546875" style="183" bestFit="1" customWidth="1"/>
    <col min="2562" max="2562" width="15" style="183" customWidth="1"/>
    <col min="2563" max="2563" width="13.28515625" style="183" bestFit="1" customWidth="1"/>
    <col min="2564" max="2564" width="17.140625" style="183" customWidth="1"/>
    <col min="2565" max="2565" width="16.85546875" style="183" bestFit="1" customWidth="1"/>
    <col min="2566" max="2566" width="27.85546875" style="183" customWidth="1"/>
    <col min="2567" max="2567" width="35.85546875" style="183" customWidth="1"/>
    <col min="2568" max="2568" width="19.5703125" style="183" bestFit="1" customWidth="1"/>
    <col min="2569" max="2569" width="18.28515625" style="183" bestFit="1" customWidth="1"/>
    <col min="2570" max="2570" width="17.28515625" style="183" bestFit="1" customWidth="1"/>
    <col min="2571" max="2571" width="11.28515625" style="183" bestFit="1" customWidth="1"/>
    <col min="2572" max="2572" width="17.7109375" style="183" bestFit="1" customWidth="1"/>
    <col min="2573" max="2816" width="11.42578125" style="183"/>
    <col min="2817" max="2817" width="11.85546875" style="183" bestFit="1" customWidth="1"/>
    <col min="2818" max="2818" width="15" style="183" customWidth="1"/>
    <col min="2819" max="2819" width="13.28515625" style="183" bestFit="1" customWidth="1"/>
    <col min="2820" max="2820" width="17.140625" style="183" customWidth="1"/>
    <col min="2821" max="2821" width="16.85546875" style="183" bestFit="1" customWidth="1"/>
    <col min="2822" max="2822" width="27.85546875" style="183" customWidth="1"/>
    <col min="2823" max="2823" width="35.85546875" style="183" customWidth="1"/>
    <col min="2824" max="2824" width="19.5703125" style="183" bestFit="1" customWidth="1"/>
    <col min="2825" max="2825" width="18.28515625" style="183" bestFit="1" customWidth="1"/>
    <col min="2826" max="2826" width="17.28515625" style="183" bestFit="1" customWidth="1"/>
    <col min="2827" max="2827" width="11.28515625" style="183" bestFit="1" customWidth="1"/>
    <col min="2828" max="2828" width="17.7109375" style="183" bestFit="1" customWidth="1"/>
    <col min="2829" max="3072" width="11.42578125" style="183"/>
    <col min="3073" max="3073" width="11.85546875" style="183" bestFit="1" customWidth="1"/>
    <col min="3074" max="3074" width="15" style="183" customWidth="1"/>
    <col min="3075" max="3075" width="13.28515625" style="183" bestFit="1" customWidth="1"/>
    <col min="3076" max="3076" width="17.140625" style="183" customWidth="1"/>
    <col min="3077" max="3077" width="16.85546875" style="183" bestFit="1" customWidth="1"/>
    <col min="3078" max="3078" width="27.85546875" style="183" customWidth="1"/>
    <col min="3079" max="3079" width="35.85546875" style="183" customWidth="1"/>
    <col min="3080" max="3080" width="19.5703125" style="183" bestFit="1" customWidth="1"/>
    <col min="3081" max="3081" width="18.28515625" style="183" bestFit="1" customWidth="1"/>
    <col min="3082" max="3082" width="17.28515625" style="183" bestFit="1" customWidth="1"/>
    <col min="3083" max="3083" width="11.28515625" style="183" bestFit="1" customWidth="1"/>
    <col min="3084" max="3084" width="17.7109375" style="183" bestFit="1" customWidth="1"/>
    <col min="3085" max="3328" width="11.42578125" style="183"/>
    <col min="3329" max="3329" width="11.85546875" style="183" bestFit="1" customWidth="1"/>
    <col min="3330" max="3330" width="15" style="183" customWidth="1"/>
    <col min="3331" max="3331" width="13.28515625" style="183" bestFit="1" customWidth="1"/>
    <col min="3332" max="3332" width="17.140625" style="183" customWidth="1"/>
    <col min="3333" max="3333" width="16.85546875" style="183" bestFit="1" customWidth="1"/>
    <col min="3334" max="3334" width="27.85546875" style="183" customWidth="1"/>
    <col min="3335" max="3335" width="35.85546875" style="183" customWidth="1"/>
    <col min="3336" max="3336" width="19.5703125" style="183" bestFit="1" customWidth="1"/>
    <col min="3337" max="3337" width="18.28515625" style="183" bestFit="1" customWidth="1"/>
    <col min="3338" max="3338" width="17.28515625" style="183" bestFit="1" customWidth="1"/>
    <col min="3339" max="3339" width="11.28515625" style="183" bestFit="1" customWidth="1"/>
    <col min="3340" max="3340" width="17.7109375" style="183" bestFit="1" customWidth="1"/>
    <col min="3341" max="3584" width="11.42578125" style="183"/>
    <col min="3585" max="3585" width="11.85546875" style="183" bestFit="1" customWidth="1"/>
    <col min="3586" max="3586" width="15" style="183" customWidth="1"/>
    <col min="3587" max="3587" width="13.28515625" style="183" bestFit="1" customWidth="1"/>
    <col min="3588" max="3588" width="17.140625" style="183" customWidth="1"/>
    <col min="3589" max="3589" width="16.85546875" style="183" bestFit="1" customWidth="1"/>
    <col min="3590" max="3590" width="27.85546875" style="183" customWidth="1"/>
    <col min="3591" max="3591" width="35.85546875" style="183" customWidth="1"/>
    <col min="3592" max="3592" width="19.5703125" style="183" bestFit="1" customWidth="1"/>
    <col min="3593" max="3593" width="18.28515625" style="183" bestFit="1" customWidth="1"/>
    <col min="3594" max="3594" width="17.28515625" style="183" bestFit="1" customWidth="1"/>
    <col min="3595" max="3595" width="11.28515625" style="183" bestFit="1" customWidth="1"/>
    <col min="3596" max="3596" width="17.7109375" style="183" bestFit="1" customWidth="1"/>
    <col min="3597" max="3840" width="11.42578125" style="183"/>
    <col min="3841" max="3841" width="11.85546875" style="183" bestFit="1" customWidth="1"/>
    <col min="3842" max="3842" width="15" style="183" customWidth="1"/>
    <col min="3843" max="3843" width="13.28515625" style="183" bestFit="1" customWidth="1"/>
    <col min="3844" max="3844" width="17.140625" style="183" customWidth="1"/>
    <col min="3845" max="3845" width="16.85546875" style="183" bestFit="1" customWidth="1"/>
    <col min="3846" max="3846" width="27.85546875" style="183" customWidth="1"/>
    <col min="3847" max="3847" width="35.85546875" style="183" customWidth="1"/>
    <col min="3848" max="3848" width="19.5703125" style="183" bestFit="1" customWidth="1"/>
    <col min="3849" max="3849" width="18.28515625" style="183" bestFit="1" customWidth="1"/>
    <col min="3850" max="3850" width="17.28515625" style="183" bestFit="1" customWidth="1"/>
    <col min="3851" max="3851" width="11.28515625" style="183" bestFit="1" customWidth="1"/>
    <col min="3852" max="3852" width="17.7109375" style="183" bestFit="1" customWidth="1"/>
    <col min="3853" max="4096" width="11.42578125" style="183"/>
    <col min="4097" max="4097" width="11.85546875" style="183" bestFit="1" customWidth="1"/>
    <col min="4098" max="4098" width="15" style="183" customWidth="1"/>
    <col min="4099" max="4099" width="13.28515625" style="183" bestFit="1" customWidth="1"/>
    <col min="4100" max="4100" width="17.140625" style="183" customWidth="1"/>
    <col min="4101" max="4101" width="16.85546875" style="183" bestFit="1" customWidth="1"/>
    <col min="4102" max="4102" width="27.85546875" style="183" customWidth="1"/>
    <col min="4103" max="4103" width="35.85546875" style="183" customWidth="1"/>
    <col min="4104" max="4104" width="19.5703125" style="183" bestFit="1" customWidth="1"/>
    <col min="4105" max="4105" width="18.28515625" style="183" bestFit="1" customWidth="1"/>
    <col min="4106" max="4106" width="17.28515625" style="183" bestFit="1" customWidth="1"/>
    <col min="4107" max="4107" width="11.28515625" style="183" bestFit="1" customWidth="1"/>
    <col min="4108" max="4108" width="17.7109375" style="183" bestFit="1" customWidth="1"/>
    <col min="4109" max="4352" width="11.42578125" style="183"/>
    <col min="4353" max="4353" width="11.85546875" style="183" bestFit="1" customWidth="1"/>
    <col min="4354" max="4354" width="15" style="183" customWidth="1"/>
    <col min="4355" max="4355" width="13.28515625" style="183" bestFit="1" customWidth="1"/>
    <col min="4356" max="4356" width="17.140625" style="183" customWidth="1"/>
    <col min="4357" max="4357" width="16.85546875" style="183" bestFit="1" customWidth="1"/>
    <col min="4358" max="4358" width="27.85546875" style="183" customWidth="1"/>
    <col min="4359" max="4359" width="35.85546875" style="183" customWidth="1"/>
    <col min="4360" max="4360" width="19.5703125" style="183" bestFit="1" customWidth="1"/>
    <col min="4361" max="4361" width="18.28515625" style="183" bestFit="1" customWidth="1"/>
    <col min="4362" max="4362" width="17.28515625" style="183" bestFit="1" customWidth="1"/>
    <col min="4363" max="4363" width="11.28515625" style="183" bestFit="1" customWidth="1"/>
    <col min="4364" max="4364" width="17.7109375" style="183" bestFit="1" customWidth="1"/>
    <col min="4365" max="4608" width="11.42578125" style="183"/>
    <col min="4609" max="4609" width="11.85546875" style="183" bestFit="1" customWidth="1"/>
    <col min="4610" max="4610" width="15" style="183" customWidth="1"/>
    <col min="4611" max="4611" width="13.28515625" style="183" bestFit="1" customWidth="1"/>
    <col min="4612" max="4612" width="17.140625" style="183" customWidth="1"/>
    <col min="4613" max="4613" width="16.85546875" style="183" bestFit="1" customWidth="1"/>
    <col min="4614" max="4614" width="27.85546875" style="183" customWidth="1"/>
    <col min="4615" max="4615" width="35.85546875" style="183" customWidth="1"/>
    <col min="4616" max="4616" width="19.5703125" style="183" bestFit="1" customWidth="1"/>
    <col min="4617" max="4617" width="18.28515625" style="183" bestFit="1" customWidth="1"/>
    <col min="4618" max="4618" width="17.28515625" style="183" bestFit="1" customWidth="1"/>
    <col min="4619" max="4619" width="11.28515625" style="183" bestFit="1" customWidth="1"/>
    <col min="4620" max="4620" width="17.7109375" style="183" bestFit="1" customWidth="1"/>
    <col min="4621" max="4864" width="11.42578125" style="183"/>
    <col min="4865" max="4865" width="11.85546875" style="183" bestFit="1" customWidth="1"/>
    <col min="4866" max="4866" width="15" style="183" customWidth="1"/>
    <col min="4867" max="4867" width="13.28515625" style="183" bestFit="1" customWidth="1"/>
    <col min="4868" max="4868" width="17.140625" style="183" customWidth="1"/>
    <col min="4869" max="4869" width="16.85546875" style="183" bestFit="1" customWidth="1"/>
    <col min="4870" max="4870" width="27.85546875" style="183" customWidth="1"/>
    <col min="4871" max="4871" width="35.85546875" style="183" customWidth="1"/>
    <col min="4872" max="4872" width="19.5703125" style="183" bestFit="1" customWidth="1"/>
    <col min="4873" max="4873" width="18.28515625" style="183" bestFit="1" customWidth="1"/>
    <col min="4874" max="4874" width="17.28515625" style="183" bestFit="1" customWidth="1"/>
    <col min="4875" max="4875" width="11.28515625" style="183" bestFit="1" customWidth="1"/>
    <col min="4876" max="4876" width="17.7109375" style="183" bestFit="1" customWidth="1"/>
    <col min="4877" max="5120" width="11.42578125" style="183"/>
    <col min="5121" max="5121" width="11.85546875" style="183" bestFit="1" customWidth="1"/>
    <col min="5122" max="5122" width="15" style="183" customWidth="1"/>
    <col min="5123" max="5123" width="13.28515625" style="183" bestFit="1" customWidth="1"/>
    <col min="5124" max="5124" width="17.140625" style="183" customWidth="1"/>
    <col min="5125" max="5125" width="16.85546875" style="183" bestFit="1" customWidth="1"/>
    <col min="5126" max="5126" width="27.85546875" style="183" customWidth="1"/>
    <col min="5127" max="5127" width="35.85546875" style="183" customWidth="1"/>
    <col min="5128" max="5128" width="19.5703125" style="183" bestFit="1" customWidth="1"/>
    <col min="5129" max="5129" width="18.28515625" style="183" bestFit="1" customWidth="1"/>
    <col min="5130" max="5130" width="17.28515625" style="183" bestFit="1" customWidth="1"/>
    <col min="5131" max="5131" width="11.28515625" style="183" bestFit="1" customWidth="1"/>
    <col min="5132" max="5132" width="17.7109375" style="183" bestFit="1" customWidth="1"/>
    <col min="5133" max="5376" width="11.42578125" style="183"/>
    <col min="5377" max="5377" width="11.85546875" style="183" bestFit="1" customWidth="1"/>
    <col min="5378" max="5378" width="15" style="183" customWidth="1"/>
    <col min="5379" max="5379" width="13.28515625" style="183" bestFit="1" customWidth="1"/>
    <col min="5380" max="5380" width="17.140625" style="183" customWidth="1"/>
    <col min="5381" max="5381" width="16.85546875" style="183" bestFit="1" customWidth="1"/>
    <col min="5382" max="5382" width="27.85546875" style="183" customWidth="1"/>
    <col min="5383" max="5383" width="35.85546875" style="183" customWidth="1"/>
    <col min="5384" max="5384" width="19.5703125" style="183" bestFit="1" customWidth="1"/>
    <col min="5385" max="5385" width="18.28515625" style="183" bestFit="1" customWidth="1"/>
    <col min="5386" max="5386" width="17.28515625" style="183" bestFit="1" customWidth="1"/>
    <col min="5387" max="5387" width="11.28515625" style="183" bestFit="1" customWidth="1"/>
    <col min="5388" max="5388" width="17.7109375" style="183" bestFit="1" customWidth="1"/>
    <col min="5389" max="5632" width="11.42578125" style="183"/>
    <col min="5633" max="5633" width="11.85546875" style="183" bestFit="1" customWidth="1"/>
    <col min="5634" max="5634" width="15" style="183" customWidth="1"/>
    <col min="5635" max="5635" width="13.28515625" style="183" bestFit="1" customWidth="1"/>
    <col min="5636" max="5636" width="17.140625" style="183" customWidth="1"/>
    <col min="5637" max="5637" width="16.85546875" style="183" bestFit="1" customWidth="1"/>
    <col min="5638" max="5638" width="27.85546875" style="183" customWidth="1"/>
    <col min="5639" max="5639" width="35.85546875" style="183" customWidth="1"/>
    <col min="5640" max="5640" width="19.5703125" style="183" bestFit="1" customWidth="1"/>
    <col min="5641" max="5641" width="18.28515625" style="183" bestFit="1" customWidth="1"/>
    <col min="5642" max="5642" width="17.28515625" style="183" bestFit="1" customWidth="1"/>
    <col min="5643" max="5643" width="11.28515625" style="183" bestFit="1" customWidth="1"/>
    <col min="5644" max="5644" width="17.7109375" style="183" bestFit="1" customWidth="1"/>
    <col min="5645" max="5888" width="11.42578125" style="183"/>
    <col min="5889" max="5889" width="11.85546875" style="183" bestFit="1" customWidth="1"/>
    <col min="5890" max="5890" width="15" style="183" customWidth="1"/>
    <col min="5891" max="5891" width="13.28515625" style="183" bestFit="1" customWidth="1"/>
    <col min="5892" max="5892" width="17.140625" style="183" customWidth="1"/>
    <col min="5893" max="5893" width="16.85546875" style="183" bestFit="1" customWidth="1"/>
    <col min="5894" max="5894" width="27.85546875" style="183" customWidth="1"/>
    <col min="5895" max="5895" width="35.85546875" style="183" customWidth="1"/>
    <col min="5896" max="5896" width="19.5703125" style="183" bestFit="1" customWidth="1"/>
    <col min="5897" max="5897" width="18.28515625" style="183" bestFit="1" customWidth="1"/>
    <col min="5898" max="5898" width="17.28515625" style="183" bestFit="1" customWidth="1"/>
    <col min="5899" max="5899" width="11.28515625" style="183" bestFit="1" customWidth="1"/>
    <col min="5900" max="5900" width="17.7109375" style="183" bestFit="1" customWidth="1"/>
    <col min="5901" max="6144" width="11.42578125" style="183"/>
    <col min="6145" max="6145" width="11.85546875" style="183" bestFit="1" customWidth="1"/>
    <col min="6146" max="6146" width="15" style="183" customWidth="1"/>
    <col min="6147" max="6147" width="13.28515625" style="183" bestFit="1" customWidth="1"/>
    <col min="6148" max="6148" width="17.140625" style="183" customWidth="1"/>
    <col min="6149" max="6149" width="16.85546875" style="183" bestFit="1" customWidth="1"/>
    <col min="6150" max="6150" width="27.85546875" style="183" customWidth="1"/>
    <col min="6151" max="6151" width="35.85546875" style="183" customWidth="1"/>
    <col min="6152" max="6152" width="19.5703125" style="183" bestFit="1" customWidth="1"/>
    <col min="6153" max="6153" width="18.28515625" style="183" bestFit="1" customWidth="1"/>
    <col min="6154" max="6154" width="17.28515625" style="183" bestFit="1" customWidth="1"/>
    <col min="6155" max="6155" width="11.28515625" style="183" bestFit="1" customWidth="1"/>
    <col min="6156" max="6156" width="17.7109375" style="183" bestFit="1" customWidth="1"/>
    <col min="6157" max="6400" width="11.42578125" style="183"/>
    <col min="6401" max="6401" width="11.85546875" style="183" bestFit="1" customWidth="1"/>
    <col min="6402" max="6402" width="15" style="183" customWidth="1"/>
    <col min="6403" max="6403" width="13.28515625" style="183" bestFit="1" customWidth="1"/>
    <col min="6404" max="6404" width="17.140625" style="183" customWidth="1"/>
    <col min="6405" max="6405" width="16.85546875" style="183" bestFit="1" customWidth="1"/>
    <col min="6406" max="6406" width="27.85546875" style="183" customWidth="1"/>
    <col min="6407" max="6407" width="35.85546875" style="183" customWidth="1"/>
    <col min="6408" max="6408" width="19.5703125" style="183" bestFit="1" customWidth="1"/>
    <col min="6409" max="6409" width="18.28515625" style="183" bestFit="1" customWidth="1"/>
    <col min="6410" max="6410" width="17.28515625" style="183" bestFit="1" customWidth="1"/>
    <col min="6411" max="6411" width="11.28515625" style="183" bestFit="1" customWidth="1"/>
    <col min="6412" max="6412" width="17.7109375" style="183" bestFit="1" customWidth="1"/>
    <col min="6413" max="6656" width="11.42578125" style="183"/>
    <col min="6657" max="6657" width="11.85546875" style="183" bestFit="1" customWidth="1"/>
    <col min="6658" max="6658" width="15" style="183" customWidth="1"/>
    <col min="6659" max="6659" width="13.28515625" style="183" bestFit="1" customWidth="1"/>
    <col min="6660" max="6660" width="17.140625" style="183" customWidth="1"/>
    <col min="6661" max="6661" width="16.85546875" style="183" bestFit="1" customWidth="1"/>
    <col min="6662" max="6662" width="27.85546875" style="183" customWidth="1"/>
    <col min="6663" max="6663" width="35.85546875" style="183" customWidth="1"/>
    <col min="6664" max="6664" width="19.5703125" style="183" bestFit="1" customWidth="1"/>
    <col min="6665" max="6665" width="18.28515625" style="183" bestFit="1" customWidth="1"/>
    <col min="6666" max="6666" width="17.28515625" style="183" bestFit="1" customWidth="1"/>
    <col min="6667" max="6667" width="11.28515625" style="183" bestFit="1" customWidth="1"/>
    <col min="6668" max="6668" width="17.7109375" style="183" bestFit="1" customWidth="1"/>
    <col min="6669" max="6912" width="11.42578125" style="183"/>
    <col min="6913" max="6913" width="11.85546875" style="183" bestFit="1" customWidth="1"/>
    <col min="6914" max="6914" width="15" style="183" customWidth="1"/>
    <col min="6915" max="6915" width="13.28515625" style="183" bestFit="1" customWidth="1"/>
    <col min="6916" max="6916" width="17.140625" style="183" customWidth="1"/>
    <col min="6917" max="6917" width="16.85546875" style="183" bestFit="1" customWidth="1"/>
    <col min="6918" max="6918" width="27.85546875" style="183" customWidth="1"/>
    <col min="6919" max="6919" width="35.85546875" style="183" customWidth="1"/>
    <col min="6920" max="6920" width="19.5703125" style="183" bestFit="1" customWidth="1"/>
    <col min="6921" max="6921" width="18.28515625" style="183" bestFit="1" customWidth="1"/>
    <col min="6922" max="6922" width="17.28515625" style="183" bestFit="1" customWidth="1"/>
    <col min="6923" max="6923" width="11.28515625" style="183" bestFit="1" customWidth="1"/>
    <col min="6924" max="6924" width="17.7109375" style="183" bestFit="1" customWidth="1"/>
    <col min="6925" max="7168" width="11.42578125" style="183"/>
    <col min="7169" max="7169" width="11.85546875" style="183" bestFit="1" customWidth="1"/>
    <col min="7170" max="7170" width="15" style="183" customWidth="1"/>
    <col min="7171" max="7171" width="13.28515625" style="183" bestFit="1" customWidth="1"/>
    <col min="7172" max="7172" width="17.140625" style="183" customWidth="1"/>
    <col min="7173" max="7173" width="16.85546875" style="183" bestFit="1" customWidth="1"/>
    <col min="7174" max="7174" width="27.85546875" style="183" customWidth="1"/>
    <col min="7175" max="7175" width="35.85546875" style="183" customWidth="1"/>
    <col min="7176" max="7176" width="19.5703125" style="183" bestFit="1" customWidth="1"/>
    <col min="7177" max="7177" width="18.28515625" style="183" bestFit="1" customWidth="1"/>
    <col min="7178" max="7178" width="17.28515625" style="183" bestFit="1" customWidth="1"/>
    <col min="7179" max="7179" width="11.28515625" style="183" bestFit="1" customWidth="1"/>
    <col min="7180" max="7180" width="17.7109375" style="183" bestFit="1" customWidth="1"/>
    <col min="7181" max="7424" width="11.42578125" style="183"/>
    <col min="7425" max="7425" width="11.85546875" style="183" bestFit="1" customWidth="1"/>
    <col min="7426" max="7426" width="15" style="183" customWidth="1"/>
    <col min="7427" max="7427" width="13.28515625" style="183" bestFit="1" customWidth="1"/>
    <col min="7428" max="7428" width="17.140625" style="183" customWidth="1"/>
    <col min="7429" max="7429" width="16.85546875" style="183" bestFit="1" customWidth="1"/>
    <col min="7430" max="7430" width="27.85546875" style="183" customWidth="1"/>
    <col min="7431" max="7431" width="35.85546875" style="183" customWidth="1"/>
    <col min="7432" max="7432" width="19.5703125" style="183" bestFit="1" customWidth="1"/>
    <col min="7433" max="7433" width="18.28515625" style="183" bestFit="1" customWidth="1"/>
    <col min="7434" max="7434" width="17.28515625" style="183" bestFit="1" customWidth="1"/>
    <col min="7435" max="7435" width="11.28515625" style="183" bestFit="1" customWidth="1"/>
    <col min="7436" max="7436" width="17.7109375" style="183" bestFit="1" customWidth="1"/>
    <col min="7437" max="7680" width="11.42578125" style="183"/>
    <col min="7681" max="7681" width="11.85546875" style="183" bestFit="1" customWidth="1"/>
    <col min="7682" max="7682" width="15" style="183" customWidth="1"/>
    <col min="7683" max="7683" width="13.28515625" style="183" bestFit="1" customWidth="1"/>
    <col min="7684" max="7684" width="17.140625" style="183" customWidth="1"/>
    <col min="7685" max="7685" width="16.85546875" style="183" bestFit="1" customWidth="1"/>
    <col min="7686" max="7686" width="27.85546875" style="183" customWidth="1"/>
    <col min="7687" max="7687" width="35.85546875" style="183" customWidth="1"/>
    <col min="7688" max="7688" width="19.5703125" style="183" bestFit="1" customWidth="1"/>
    <col min="7689" max="7689" width="18.28515625" style="183" bestFit="1" customWidth="1"/>
    <col min="7690" max="7690" width="17.28515625" style="183" bestFit="1" customWidth="1"/>
    <col min="7691" max="7691" width="11.28515625" style="183" bestFit="1" customWidth="1"/>
    <col min="7692" max="7692" width="17.7109375" style="183" bestFit="1" customWidth="1"/>
    <col min="7693" max="7936" width="11.42578125" style="183"/>
    <col min="7937" max="7937" width="11.85546875" style="183" bestFit="1" customWidth="1"/>
    <col min="7938" max="7938" width="15" style="183" customWidth="1"/>
    <col min="7939" max="7939" width="13.28515625" style="183" bestFit="1" customWidth="1"/>
    <col min="7940" max="7940" width="17.140625" style="183" customWidth="1"/>
    <col min="7941" max="7941" width="16.85546875" style="183" bestFit="1" customWidth="1"/>
    <col min="7942" max="7942" width="27.85546875" style="183" customWidth="1"/>
    <col min="7943" max="7943" width="35.85546875" style="183" customWidth="1"/>
    <col min="7944" max="7944" width="19.5703125" style="183" bestFit="1" customWidth="1"/>
    <col min="7945" max="7945" width="18.28515625" style="183" bestFit="1" customWidth="1"/>
    <col min="7946" max="7946" width="17.28515625" style="183" bestFit="1" customWidth="1"/>
    <col min="7947" max="7947" width="11.28515625" style="183" bestFit="1" customWidth="1"/>
    <col min="7948" max="7948" width="17.7109375" style="183" bestFit="1" customWidth="1"/>
    <col min="7949" max="8192" width="11.42578125" style="183"/>
    <col min="8193" max="8193" width="11.85546875" style="183" bestFit="1" customWidth="1"/>
    <col min="8194" max="8194" width="15" style="183" customWidth="1"/>
    <col min="8195" max="8195" width="13.28515625" style="183" bestFit="1" customWidth="1"/>
    <col min="8196" max="8196" width="17.140625" style="183" customWidth="1"/>
    <col min="8197" max="8197" width="16.85546875" style="183" bestFit="1" customWidth="1"/>
    <col min="8198" max="8198" width="27.85546875" style="183" customWidth="1"/>
    <col min="8199" max="8199" width="35.85546875" style="183" customWidth="1"/>
    <col min="8200" max="8200" width="19.5703125" style="183" bestFit="1" customWidth="1"/>
    <col min="8201" max="8201" width="18.28515625" style="183" bestFit="1" customWidth="1"/>
    <col min="8202" max="8202" width="17.28515625" style="183" bestFit="1" customWidth="1"/>
    <col min="8203" max="8203" width="11.28515625" style="183" bestFit="1" customWidth="1"/>
    <col min="8204" max="8204" width="17.7109375" style="183" bestFit="1" customWidth="1"/>
    <col min="8205" max="8448" width="11.42578125" style="183"/>
    <col min="8449" max="8449" width="11.85546875" style="183" bestFit="1" customWidth="1"/>
    <col min="8450" max="8450" width="15" style="183" customWidth="1"/>
    <col min="8451" max="8451" width="13.28515625" style="183" bestFit="1" customWidth="1"/>
    <col min="8452" max="8452" width="17.140625" style="183" customWidth="1"/>
    <col min="8453" max="8453" width="16.85546875" style="183" bestFit="1" customWidth="1"/>
    <col min="8454" max="8454" width="27.85546875" style="183" customWidth="1"/>
    <col min="8455" max="8455" width="35.85546875" style="183" customWidth="1"/>
    <col min="8456" max="8456" width="19.5703125" style="183" bestFit="1" customWidth="1"/>
    <col min="8457" max="8457" width="18.28515625" style="183" bestFit="1" customWidth="1"/>
    <col min="8458" max="8458" width="17.28515625" style="183" bestFit="1" customWidth="1"/>
    <col min="8459" max="8459" width="11.28515625" style="183" bestFit="1" customWidth="1"/>
    <col min="8460" max="8460" width="17.7109375" style="183" bestFit="1" customWidth="1"/>
    <col min="8461" max="8704" width="11.42578125" style="183"/>
    <col min="8705" max="8705" width="11.85546875" style="183" bestFit="1" customWidth="1"/>
    <col min="8706" max="8706" width="15" style="183" customWidth="1"/>
    <col min="8707" max="8707" width="13.28515625" style="183" bestFit="1" customWidth="1"/>
    <col min="8708" max="8708" width="17.140625" style="183" customWidth="1"/>
    <col min="8709" max="8709" width="16.85546875" style="183" bestFit="1" customWidth="1"/>
    <col min="8710" max="8710" width="27.85546875" style="183" customWidth="1"/>
    <col min="8711" max="8711" width="35.85546875" style="183" customWidth="1"/>
    <col min="8712" max="8712" width="19.5703125" style="183" bestFit="1" customWidth="1"/>
    <col min="8713" max="8713" width="18.28515625" style="183" bestFit="1" customWidth="1"/>
    <col min="8714" max="8714" width="17.28515625" style="183" bestFit="1" customWidth="1"/>
    <col min="8715" max="8715" width="11.28515625" style="183" bestFit="1" customWidth="1"/>
    <col min="8716" max="8716" width="17.7109375" style="183" bestFit="1" customWidth="1"/>
    <col min="8717" max="8960" width="11.42578125" style="183"/>
    <col min="8961" max="8961" width="11.85546875" style="183" bestFit="1" customWidth="1"/>
    <col min="8962" max="8962" width="15" style="183" customWidth="1"/>
    <col min="8963" max="8963" width="13.28515625" style="183" bestFit="1" customWidth="1"/>
    <col min="8964" max="8964" width="17.140625" style="183" customWidth="1"/>
    <col min="8965" max="8965" width="16.85546875" style="183" bestFit="1" customWidth="1"/>
    <col min="8966" max="8966" width="27.85546875" style="183" customWidth="1"/>
    <col min="8967" max="8967" width="35.85546875" style="183" customWidth="1"/>
    <col min="8968" max="8968" width="19.5703125" style="183" bestFit="1" customWidth="1"/>
    <col min="8969" max="8969" width="18.28515625" style="183" bestFit="1" customWidth="1"/>
    <col min="8970" max="8970" width="17.28515625" style="183" bestFit="1" customWidth="1"/>
    <col min="8971" max="8971" width="11.28515625" style="183" bestFit="1" customWidth="1"/>
    <col min="8972" max="8972" width="17.7109375" style="183" bestFit="1" customWidth="1"/>
    <col min="8973" max="9216" width="11.42578125" style="183"/>
    <col min="9217" max="9217" width="11.85546875" style="183" bestFit="1" customWidth="1"/>
    <col min="9218" max="9218" width="15" style="183" customWidth="1"/>
    <col min="9219" max="9219" width="13.28515625" style="183" bestFit="1" customWidth="1"/>
    <col min="9220" max="9220" width="17.140625" style="183" customWidth="1"/>
    <col min="9221" max="9221" width="16.85546875" style="183" bestFit="1" customWidth="1"/>
    <col min="9222" max="9222" width="27.85546875" style="183" customWidth="1"/>
    <col min="9223" max="9223" width="35.85546875" style="183" customWidth="1"/>
    <col min="9224" max="9224" width="19.5703125" style="183" bestFit="1" customWidth="1"/>
    <col min="9225" max="9225" width="18.28515625" style="183" bestFit="1" customWidth="1"/>
    <col min="9226" max="9226" width="17.28515625" style="183" bestFit="1" customWidth="1"/>
    <col min="9227" max="9227" width="11.28515625" style="183" bestFit="1" customWidth="1"/>
    <col min="9228" max="9228" width="17.7109375" style="183" bestFit="1" customWidth="1"/>
    <col min="9229" max="9472" width="11.42578125" style="183"/>
    <col min="9473" max="9473" width="11.85546875" style="183" bestFit="1" customWidth="1"/>
    <col min="9474" max="9474" width="15" style="183" customWidth="1"/>
    <col min="9475" max="9475" width="13.28515625" style="183" bestFit="1" customWidth="1"/>
    <col min="9476" max="9476" width="17.140625" style="183" customWidth="1"/>
    <col min="9477" max="9477" width="16.85546875" style="183" bestFit="1" customWidth="1"/>
    <col min="9478" max="9478" width="27.85546875" style="183" customWidth="1"/>
    <col min="9479" max="9479" width="35.85546875" style="183" customWidth="1"/>
    <col min="9480" max="9480" width="19.5703125" style="183" bestFit="1" customWidth="1"/>
    <col min="9481" max="9481" width="18.28515625" style="183" bestFit="1" customWidth="1"/>
    <col min="9482" max="9482" width="17.28515625" style="183" bestFit="1" customWidth="1"/>
    <col min="9483" max="9483" width="11.28515625" style="183" bestFit="1" customWidth="1"/>
    <col min="9484" max="9484" width="17.7109375" style="183" bestFit="1" customWidth="1"/>
    <col min="9485" max="9728" width="11.42578125" style="183"/>
    <col min="9729" max="9729" width="11.85546875" style="183" bestFit="1" customWidth="1"/>
    <col min="9730" max="9730" width="15" style="183" customWidth="1"/>
    <col min="9731" max="9731" width="13.28515625" style="183" bestFit="1" customWidth="1"/>
    <col min="9732" max="9732" width="17.140625" style="183" customWidth="1"/>
    <col min="9733" max="9733" width="16.85546875" style="183" bestFit="1" customWidth="1"/>
    <col min="9734" max="9734" width="27.85546875" style="183" customWidth="1"/>
    <col min="9735" max="9735" width="35.85546875" style="183" customWidth="1"/>
    <col min="9736" max="9736" width="19.5703125" style="183" bestFit="1" customWidth="1"/>
    <col min="9737" max="9737" width="18.28515625" style="183" bestFit="1" customWidth="1"/>
    <col min="9738" max="9738" width="17.28515625" style="183" bestFit="1" customWidth="1"/>
    <col min="9739" max="9739" width="11.28515625" style="183" bestFit="1" customWidth="1"/>
    <col min="9740" max="9740" width="17.7109375" style="183" bestFit="1" customWidth="1"/>
    <col min="9741" max="9984" width="11.42578125" style="183"/>
    <col min="9985" max="9985" width="11.85546875" style="183" bestFit="1" customWidth="1"/>
    <col min="9986" max="9986" width="15" style="183" customWidth="1"/>
    <col min="9987" max="9987" width="13.28515625" style="183" bestFit="1" customWidth="1"/>
    <col min="9988" max="9988" width="17.140625" style="183" customWidth="1"/>
    <col min="9989" max="9989" width="16.85546875" style="183" bestFit="1" customWidth="1"/>
    <col min="9990" max="9990" width="27.85546875" style="183" customWidth="1"/>
    <col min="9991" max="9991" width="35.85546875" style="183" customWidth="1"/>
    <col min="9992" max="9992" width="19.5703125" style="183" bestFit="1" customWidth="1"/>
    <col min="9993" max="9993" width="18.28515625" style="183" bestFit="1" customWidth="1"/>
    <col min="9994" max="9994" width="17.28515625" style="183" bestFit="1" customWidth="1"/>
    <col min="9995" max="9995" width="11.28515625" style="183" bestFit="1" customWidth="1"/>
    <col min="9996" max="9996" width="17.7109375" style="183" bestFit="1" customWidth="1"/>
    <col min="9997" max="10240" width="11.42578125" style="183"/>
    <col min="10241" max="10241" width="11.85546875" style="183" bestFit="1" customWidth="1"/>
    <col min="10242" max="10242" width="15" style="183" customWidth="1"/>
    <col min="10243" max="10243" width="13.28515625" style="183" bestFit="1" customWidth="1"/>
    <col min="10244" max="10244" width="17.140625" style="183" customWidth="1"/>
    <col min="10245" max="10245" width="16.85546875" style="183" bestFit="1" customWidth="1"/>
    <col min="10246" max="10246" width="27.85546875" style="183" customWidth="1"/>
    <col min="10247" max="10247" width="35.85546875" style="183" customWidth="1"/>
    <col min="10248" max="10248" width="19.5703125" style="183" bestFit="1" customWidth="1"/>
    <col min="10249" max="10249" width="18.28515625" style="183" bestFit="1" customWidth="1"/>
    <col min="10250" max="10250" width="17.28515625" style="183" bestFit="1" customWidth="1"/>
    <col min="10251" max="10251" width="11.28515625" style="183" bestFit="1" customWidth="1"/>
    <col min="10252" max="10252" width="17.7109375" style="183" bestFit="1" customWidth="1"/>
    <col min="10253" max="10496" width="11.42578125" style="183"/>
    <col min="10497" max="10497" width="11.85546875" style="183" bestFit="1" customWidth="1"/>
    <col min="10498" max="10498" width="15" style="183" customWidth="1"/>
    <col min="10499" max="10499" width="13.28515625" style="183" bestFit="1" customWidth="1"/>
    <col min="10500" max="10500" width="17.140625" style="183" customWidth="1"/>
    <col min="10501" max="10501" width="16.85546875" style="183" bestFit="1" customWidth="1"/>
    <col min="10502" max="10502" width="27.85546875" style="183" customWidth="1"/>
    <col min="10503" max="10503" width="35.85546875" style="183" customWidth="1"/>
    <col min="10504" max="10504" width="19.5703125" style="183" bestFit="1" customWidth="1"/>
    <col min="10505" max="10505" width="18.28515625" style="183" bestFit="1" customWidth="1"/>
    <col min="10506" max="10506" width="17.28515625" style="183" bestFit="1" customWidth="1"/>
    <col min="10507" max="10507" width="11.28515625" style="183" bestFit="1" customWidth="1"/>
    <col min="10508" max="10508" width="17.7109375" style="183" bestFit="1" customWidth="1"/>
    <col min="10509" max="10752" width="11.42578125" style="183"/>
    <col min="10753" max="10753" width="11.85546875" style="183" bestFit="1" customWidth="1"/>
    <col min="10754" max="10754" width="15" style="183" customWidth="1"/>
    <col min="10755" max="10755" width="13.28515625" style="183" bestFit="1" customWidth="1"/>
    <col min="10756" max="10756" width="17.140625" style="183" customWidth="1"/>
    <col min="10757" max="10757" width="16.85546875" style="183" bestFit="1" customWidth="1"/>
    <col min="10758" max="10758" width="27.85546875" style="183" customWidth="1"/>
    <col min="10759" max="10759" width="35.85546875" style="183" customWidth="1"/>
    <col min="10760" max="10760" width="19.5703125" style="183" bestFit="1" customWidth="1"/>
    <col min="10761" max="10761" width="18.28515625" style="183" bestFit="1" customWidth="1"/>
    <col min="10762" max="10762" width="17.28515625" style="183" bestFit="1" customWidth="1"/>
    <col min="10763" max="10763" width="11.28515625" style="183" bestFit="1" customWidth="1"/>
    <col min="10764" max="10764" width="17.7109375" style="183" bestFit="1" customWidth="1"/>
    <col min="10765" max="11008" width="11.42578125" style="183"/>
    <col min="11009" max="11009" width="11.85546875" style="183" bestFit="1" customWidth="1"/>
    <col min="11010" max="11010" width="15" style="183" customWidth="1"/>
    <col min="11011" max="11011" width="13.28515625" style="183" bestFit="1" customWidth="1"/>
    <col min="11012" max="11012" width="17.140625" style="183" customWidth="1"/>
    <col min="11013" max="11013" width="16.85546875" style="183" bestFit="1" customWidth="1"/>
    <col min="11014" max="11014" width="27.85546875" style="183" customWidth="1"/>
    <col min="11015" max="11015" width="35.85546875" style="183" customWidth="1"/>
    <col min="11016" max="11016" width="19.5703125" style="183" bestFit="1" customWidth="1"/>
    <col min="11017" max="11017" width="18.28515625" style="183" bestFit="1" customWidth="1"/>
    <col min="11018" max="11018" width="17.28515625" style="183" bestFit="1" customWidth="1"/>
    <col min="11019" max="11019" width="11.28515625" style="183" bestFit="1" customWidth="1"/>
    <col min="11020" max="11020" width="17.7109375" style="183" bestFit="1" customWidth="1"/>
    <col min="11021" max="11264" width="11.42578125" style="183"/>
    <col min="11265" max="11265" width="11.85546875" style="183" bestFit="1" customWidth="1"/>
    <col min="11266" max="11266" width="15" style="183" customWidth="1"/>
    <col min="11267" max="11267" width="13.28515625" style="183" bestFit="1" customWidth="1"/>
    <col min="11268" max="11268" width="17.140625" style="183" customWidth="1"/>
    <col min="11269" max="11269" width="16.85546875" style="183" bestFit="1" customWidth="1"/>
    <col min="11270" max="11270" width="27.85546875" style="183" customWidth="1"/>
    <col min="11271" max="11271" width="35.85546875" style="183" customWidth="1"/>
    <col min="11272" max="11272" width="19.5703125" style="183" bestFit="1" customWidth="1"/>
    <col min="11273" max="11273" width="18.28515625" style="183" bestFit="1" customWidth="1"/>
    <col min="11274" max="11274" width="17.28515625" style="183" bestFit="1" customWidth="1"/>
    <col min="11275" max="11275" width="11.28515625" style="183" bestFit="1" customWidth="1"/>
    <col min="11276" max="11276" width="17.7109375" style="183" bestFit="1" customWidth="1"/>
    <col min="11277" max="11520" width="11.42578125" style="183"/>
    <col min="11521" max="11521" width="11.85546875" style="183" bestFit="1" customWidth="1"/>
    <col min="11522" max="11522" width="15" style="183" customWidth="1"/>
    <col min="11523" max="11523" width="13.28515625" style="183" bestFit="1" customWidth="1"/>
    <col min="11524" max="11524" width="17.140625" style="183" customWidth="1"/>
    <col min="11525" max="11525" width="16.85546875" style="183" bestFit="1" customWidth="1"/>
    <col min="11526" max="11526" width="27.85546875" style="183" customWidth="1"/>
    <col min="11527" max="11527" width="35.85546875" style="183" customWidth="1"/>
    <col min="11528" max="11528" width="19.5703125" style="183" bestFit="1" customWidth="1"/>
    <col min="11529" max="11529" width="18.28515625" style="183" bestFit="1" customWidth="1"/>
    <col min="11530" max="11530" width="17.28515625" style="183" bestFit="1" customWidth="1"/>
    <col min="11531" max="11531" width="11.28515625" style="183" bestFit="1" customWidth="1"/>
    <col min="11532" max="11532" width="17.7109375" style="183" bestFit="1" customWidth="1"/>
    <col min="11533" max="11776" width="11.42578125" style="183"/>
    <col min="11777" max="11777" width="11.85546875" style="183" bestFit="1" customWidth="1"/>
    <col min="11778" max="11778" width="15" style="183" customWidth="1"/>
    <col min="11779" max="11779" width="13.28515625" style="183" bestFit="1" customWidth="1"/>
    <col min="11780" max="11780" width="17.140625" style="183" customWidth="1"/>
    <col min="11781" max="11781" width="16.85546875" style="183" bestFit="1" customWidth="1"/>
    <col min="11782" max="11782" width="27.85546875" style="183" customWidth="1"/>
    <col min="11783" max="11783" width="35.85546875" style="183" customWidth="1"/>
    <col min="11784" max="11784" width="19.5703125" style="183" bestFit="1" customWidth="1"/>
    <col min="11785" max="11785" width="18.28515625" style="183" bestFit="1" customWidth="1"/>
    <col min="11786" max="11786" width="17.28515625" style="183" bestFit="1" customWidth="1"/>
    <col min="11787" max="11787" width="11.28515625" style="183" bestFit="1" customWidth="1"/>
    <col min="11788" max="11788" width="17.7109375" style="183" bestFit="1" customWidth="1"/>
    <col min="11789" max="12032" width="11.42578125" style="183"/>
    <col min="12033" max="12033" width="11.85546875" style="183" bestFit="1" customWidth="1"/>
    <col min="12034" max="12034" width="15" style="183" customWidth="1"/>
    <col min="12035" max="12035" width="13.28515625" style="183" bestFit="1" customWidth="1"/>
    <col min="12036" max="12036" width="17.140625" style="183" customWidth="1"/>
    <col min="12037" max="12037" width="16.85546875" style="183" bestFit="1" customWidth="1"/>
    <col min="12038" max="12038" width="27.85546875" style="183" customWidth="1"/>
    <col min="12039" max="12039" width="35.85546875" style="183" customWidth="1"/>
    <col min="12040" max="12040" width="19.5703125" style="183" bestFit="1" customWidth="1"/>
    <col min="12041" max="12041" width="18.28515625" style="183" bestFit="1" customWidth="1"/>
    <col min="12042" max="12042" width="17.28515625" style="183" bestFit="1" customWidth="1"/>
    <col min="12043" max="12043" width="11.28515625" style="183" bestFit="1" customWidth="1"/>
    <col min="12044" max="12044" width="17.7109375" style="183" bestFit="1" customWidth="1"/>
    <col min="12045" max="12288" width="11.42578125" style="183"/>
    <col min="12289" max="12289" width="11.85546875" style="183" bestFit="1" customWidth="1"/>
    <col min="12290" max="12290" width="15" style="183" customWidth="1"/>
    <col min="12291" max="12291" width="13.28515625" style="183" bestFit="1" customWidth="1"/>
    <col min="12292" max="12292" width="17.140625" style="183" customWidth="1"/>
    <col min="12293" max="12293" width="16.85546875" style="183" bestFit="1" customWidth="1"/>
    <col min="12294" max="12294" width="27.85546875" style="183" customWidth="1"/>
    <col min="12295" max="12295" width="35.85546875" style="183" customWidth="1"/>
    <col min="12296" max="12296" width="19.5703125" style="183" bestFit="1" customWidth="1"/>
    <col min="12297" max="12297" width="18.28515625" style="183" bestFit="1" customWidth="1"/>
    <col min="12298" max="12298" width="17.28515625" style="183" bestFit="1" customWidth="1"/>
    <col min="12299" max="12299" width="11.28515625" style="183" bestFit="1" customWidth="1"/>
    <col min="12300" max="12300" width="17.7109375" style="183" bestFit="1" customWidth="1"/>
    <col min="12301" max="12544" width="11.42578125" style="183"/>
    <col min="12545" max="12545" width="11.85546875" style="183" bestFit="1" customWidth="1"/>
    <col min="12546" max="12546" width="15" style="183" customWidth="1"/>
    <col min="12547" max="12547" width="13.28515625" style="183" bestFit="1" customWidth="1"/>
    <col min="12548" max="12548" width="17.140625" style="183" customWidth="1"/>
    <col min="12549" max="12549" width="16.85546875" style="183" bestFit="1" customWidth="1"/>
    <col min="12550" max="12550" width="27.85546875" style="183" customWidth="1"/>
    <col min="12551" max="12551" width="35.85546875" style="183" customWidth="1"/>
    <col min="12552" max="12552" width="19.5703125" style="183" bestFit="1" customWidth="1"/>
    <col min="12553" max="12553" width="18.28515625" style="183" bestFit="1" customWidth="1"/>
    <col min="12554" max="12554" width="17.28515625" style="183" bestFit="1" customWidth="1"/>
    <col min="12555" max="12555" width="11.28515625" style="183" bestFit="1" customWidth="1"/>
    <col min="12556" max="12556" width="17.7109375" style="183" bestFit="1" customWidth="1"/>
    <col min="12557" max="12800" width="11.42578125" style="183"/>
    <col min="12801" max="12801" width="11.85546875" style="183" bestFit="1" customWidth="1"/>
    <col min="12802" max="12802" width="15" style="183" customWidth="1"/>
    <col min="12803" max="12803" width="13.28515625" style="183" bestFit="1" customWidth="1"/>
    <col min="12804" max="12804" width="17.140625" style="183" customWidth="1"/>
    <col min="12805" max="12805" width="16.85546875" style="183" bestFit="1" customWidth="1"/>
    <col min="12806" max="12806" width="27.85546875" style="183" customWidth="1"/>
    <col min="12807" max="12807" width="35.85546875" style="183" customWidth="1"/>
    <col min="12808" max="12808" width="19.5703125" style="183" bestFit="1" customWidth="1"/>
    <col min="12809" max="12809" width="18.28515625" style="183" bestFit="1" customWidth="1"/>
    <col min="12810" max="12810" width="17.28515625" style="183" bestFit="1" customWidth="1"/>
    <col min="12811" max="12811" width="11.28515625" style="183" bestFit="1" customWidth="1"/>
    <col min="12812" max="12812" width="17.7109375" style="183" bestFit="1" customWidth="1"/>
    <col min="12813" max="13056" width="11.42578125" style="183"/>
    <col min="13057" max="13057" width="11.85546875" style="183" bestFit="1" customWidth="1"/>
    <col min="13058" max="13058" width="15" style="183" customWidth="1"/>
    <col min="13059" max="13059" width="13.28515625" style="183" bestFit="1" customWidth="1"/>
    <col min="13060" max="13060" width="17.140625" style="183" customWidth="1"/>
    <col min="13061" max="13061" width="16.85546875" style="183" bestFit="1" customWidth="1"/>
    <col min="13062" max="13062" width="27.85546875" style="183" customWidth="1"/>
    <col min="13063" max="13063" width="35.85546875" style="183" customWidth="1"/>
    <col min="13064" max="13064" width="19.5703125" style="183" bestFit="1" customWidth="1"/>
    <col min="13065" max="13065" width="18.28515625" style="183" bestFit="1" customWidth="1"/>
    <col min="13066" max="13066" width="17.28515625" style="183" bestFit="1" customWidth="1"/>
    <col min="13067" max="13067" width="11.28515625" style="183" bestFit="1" customWidth="1"/>
    <col min="13068" max="13068" width="17.7109375" style="183" bestFit="1" customWidth="1"/>
    <col min="13069" max="13312" width="11.42578125" style="183"/>
    <col min="13313" max="13313" width="11.85546875" style="183" bestFit="1" customWidth="1"/>
    <col min="13314" max="13314" width="15" style="183" customWidth="1"/>
    <col min="13315" max="13315" width="13.28515625" style="183" bestFit="1" customWidth="1"/>
    <col min="13316" max="13316" width="17.140625" style="183" customWidth="1"/>
    <col min="13317" max="13317" width="16.85546875" style="183" bestFit="1" customWidth="1"/>
    <col min="13318" max="13318" width="27.85546875" style="183" customWidth="1"/>
    <col min="13319" max="13319" width="35.85546875" style="183" customWidth="1"/>
    <col min="13320" max="13320" width="19.5703125" style="183" bestFit="1" customWidth="1"/>
    <col min="13321" max="13321" width="18.28515625" style="183" bestFit="1" customWidth="1"/>
    <col min="13322" max="13322" width="17.28515625" style="183" bestFit="1" customWidth="1"/>
    <col min="13323" max="13323" width="11.28515625" style="183" bestFit="1" customWidth="1"/>
    <col min="13324" max="13324" width="17.7109375" style="183" bestFit="1" customWidth="1"/>
    <col min="13325" max="13568" width="11.42578125" style="183"/>
    <col min="13569" max="13569" width="11.85546875" style="183" bestFit="1" customWidth="1"/>
    <col min="13570" max="13570" width="15" style="183" customWidth="1"/>
    <col min="13571" max="13571" width="13.28515625" style="183" bestFit="1" customWidth="1"/>
    <col min="13572" max="13572" width="17.140625" style="183" customWidth="1"/>
    <col min="13573" max="13573" width="16.85546875" style="183" bestFit="1" customWidth="1"/>
    <col min="13574" max="13574" width="27.85546875" style="183" customWidth="1"/>
    <col min="13575" max="13575" width="35.85546875" style="183" customWidth="1"/>
    <col min="13576" max="13576" width="19.5703125" style="183" bestFit="1" customWidth="1"/>
    <col min="13577" max="13577" width="18.28515625" style="183" bestFit="1" customWidth="1"/>
    <col min="13578" max="13578" width="17.28515625" style="183" bestFit="1" customWidth="1"/>
    <col min="13579" max="13579" width="11.28515625" style="183" bestFit="1" customWidth="1"/>
    <col min="13580" max="13580" width="17.7109375" style="183" bestFit="1" customWidth="1"/>
    <col min="13581" max="13824" width="11.42578125" style="183"/>
    <col min="13825" max="13825" width="11.85546875" style="183" bestFit="1" customWidth="1"/>
    <col min="13826" max="13826" width="15" style="183" customWidth="1"/>
    <col min="13827" max="13827" width="13.28515625" style="183" bestFit="1" customWidth="1"/>
    <col min="13828" max="13828" width="17.140625" style="183" customWidth="1"/>
    <col min="13829" max="13829" width="16.85546875" style="183" bestFit="1" customWidth="1"/>
    <col min="13830" max="13830" width="27.85546875" style="183" customWidth="1"/>
    <col min="13831" max="13831" width="35.85546875" style="183" customWidth="1"/>
    <col min="13832" max="13832" width="19.5703125" style="183" bestFit="1" customWidth="1"/>
    <col min="13833" max="13833" width="18.28515625" style="183" bestFit="1" customWidth="1"/>
    <col min="13834" max="13834" width="17.28515625" style="183" bestFit="1" customWidth="1"/>
    <col min="13835" max="13835" width="11.28515625" style="183" bestFit="1" customWidth="1"/>
    <col min="13836" max="13836" width="17.7109375" style="183" bestFit="1" customWidth="1"/>
    <col min="13837" max="14080" width="11.42578125" style="183"/>
    <col min="14081" max="14081" width="11.85546875" style="183" bestFit="1" customWidth="1"/>
    <col min="14082" max="14082" width="15" style="183" customWidth="1"/>
    <col min="14083" max="14083" width="13.28515625" style="183" bestFit="1" customWidth="1"/>
    <col min="14084" max="14084" width="17.140625" style="183" customWidth="1"/>
    <col min="14085" max="14085" width="16.85546875" style="183" bestFit="1" customWidth="1"/>
    <col min="14086" max="14086" width="27.85546875" style="183" customWidth="1"/>
    <col min="14087" max="14087" width="35.85546875" style="183" customWidth="1"/>
    <col min="14088" max="14088" width="19.5703125" style="183" bestFit="1" customWidth="1"/>
    <col min="14089" max="14089" width="18.28515625" style="183" bestFit="1" customWidth="1"/>
    <col min="14090" max="14090" width="17.28515625" style="183" bestFit="1" customWidth="1"/>
    <col min="14091" max="14091" width="11.28515625" style="183" bestFit="1" customWidth="1"/>
    <col min="14092" max="14092" width="17.7109375" style="183" bestFit="1" customWidth="1"/>
    <col min="14093" max="14336" width="11.42578125" style="183"/>
    <col min="14337" max="14337" width="11.85546875" style="183" bestFit="1" customWidth="1"/>
    <col min="14338" max="14338" width="15" style="183" customWidth="1"/>
    <col min="14339" max="14339" width="13.28515625" style="183" bestFit="1" customWidth="1"/>
    <col min="14340" max="14340" width="17.140625" style="183" customWidth="1"/>
    <col min="14341" max="14341" width="16.85546875" style="183" bestFit="1" customWidth="1"/>
    <col min="14342" max="14342" width="27.85546875" style="183" customWidth="1"/>
    <col min="14343" max="14343" width="35.85546875" style="183" customWidth="1"/>
    <col min="14344" max="14344" width="19.5703125" style="183" bestFit="1" customWidth="1"/>
    <col min="14345" max="14345" width="18.28515625" style="183" bestFit="1" customWidth="1"/>
    <col min="14346" max="14346" width="17.28515625" style="183" bestFit="1" customWidth="1"/>
    <col min="14347" max="14347" width="11.28515625" style="183" bestFit="1" customWidth="1"/>
    <col min="14348" max="14348" width="17.7109375" style="183" bestFit="1" customWidth="1"/>
    <col min="14349" max="14592" width="11.42578125" style="183"/>
    <col min="14593" max="14593" width="11.85546875" style="183" bestFit="1" customWidth="1"/>
    <col min="14594" max="14594" width="15" style="183" customWidth="1"/>
    <col min="14595" max="14595" width="13.28515625" style="183" bestFit="1" customWidth="1"/>
    <col min="14596" max="14596" width="17.140625" style="183" customWidth="1"/>
    <col min="14597" max="14597" width="16.85546875" style="183" bestFit="1" customWidth="1"/>
    <col min="14598" max="14598" width="27.85546875" style="183" customWidth="1"/>
    <col min="14599" max="14599" width="35.85546875" style="183" customWidth="1"/>
    <col min="14600" max="14600" width="19.5703125" style="183" bestFit="1" customWidth="1"/>
    <col min="14601" max="14601" width="18.28515625" style="183" bestFit="1" customWidth="1"/>
    <col min="14602" max="14602" width="17.28515625" style="183" bestFit="1" customWidth="1"/>
    <col min="14603" max="14603" width="11.28515625" style="183" bestFit="1" customWidth="1"/>
    <col min="14604" max="14604" width="17.7109375" style="183" bestFit="1" customWidth="1"/>
    <col min="14605" max="14848" width="11.42578125" style="183"/>
    <col min="14849" max="14849" width="11.85546875" style="183" bestFit="1" customWidth="1"/>
    <col min="14850" max="14850" width="15" style="183" customWidth="1"/>
    <col min="14851" max="14851" width="13.28515625" style="183" bestFit="1" customWidth="1"/>
    <col min="14852" max="14852" width="17.140625" style="183" customWidth="1"/>
    <col min="14853" max="14853" width="16.85546875" style="183" bestFit="1" customWidth="1"/>
    <col min="14854" max="14854" width="27.85546875" style="183" customWidth="1"/>
    <col min="14855" max="14855" width="35.85546875" style="183" customWidth="1"/>
    <col min="14856" max="14856" width="19.5703125" style="183" bestFit="1" customWidth="1"/>
    <col min="14857" max="14857" width="18.28515625" style="183" bestFit="1" customWidth="1"/>
    <col min="14858" max="14858" width="17.28515625" style="183" bestFit="1" customWidth="1"/>
    <col min="14859" max="14859" width="11.28515625" style="183" bestFit="1" customWidth="1"/>
    <col min="14860" max="14860" width="17.7109375" style="183" bestFit="1" customWidth="1"/>
    <col min="14861" max="15104" width="11.42578125" style="183"/>
    <col min="15105" max="15105" width="11.85546875" style="183" bestFit="1" customWidth="1"/>
    <col min="15106" max="15106" width="15" style="183" customWidth="1"/>
    <col min="15107" max="15107" width="13.28515625" style="183" bestFit="1" customWidth="1"/>
    <col min="15108" max="15108" width="17.140625" style="183" customWidth="1"/>
    <col min="15109" max="15109" width="16.85546875" style="183" bestFit="1" customWidth="1"/>
    <col min="15110" max="15110" width="27.85546875" style="183" customWidth="1"/>
    <col min="15111" max="15111" width="35.85546875" style="183" customWidth="1"/>
    <col min="15112" max="15112" width="19.5703125" style="183" bestFit="1" customWidth="1"/>
    <col min="15113" max="15113" width="18.28515625" style="183" bestFit="1" customWidth="1"/>
    <col min="15114" max="15114" width="17.28515625" style="183" bestFit="1" customWidth="1"/>
    <col min="15115" max="15115" width="11.28515625" style="183" bestFit="1" customWidth="1"/>
    <col min="15116" max="15116" width="17.7109375" style="183" bestFit="1" customWidth="1"/>
    <col min="15117" max="15360" width="11.42578125" style="183"/>
    <col min="15361" max="15361" width="11.85546875" style="183" bestFit="1" customWidth="1"/>
    <col min="15362" max="15362" width="15" style="183" customWidth="1"/>
    <col min="15363" max="15363" width="13.28515625" style="183" bestFit="1" customWidth="1"/>
    <col min="15364" max="15364" width="17.140625" style="183" customWidth="1"/>
    <col min="15365" max="15365" width="16.85546875" style="183" bestFit="1" customWidth="1"/>
    <col min="15366" max="15366" width="27.85546875" style="183" customWidth="1"/>
    <col min="15367" max="15367" width="35.85546875" style="183" customWidth="1"/>
    <col min="15368" max="15368" width="19.5703125" style="183" bestFit="1" customWidth="1"/>
    <col min="15369" max="15369" width="18.28515625" style="183" bestFit="1" customWidth="1"/>
    <col min="15370" max="15370" width="17.28515625" style="183" bestFit="1" customWidth="1"/>
    <col min="15371" max="15371" width="11.28515625" style="183" bestFit="1" customWidth="1"/>
    <col min="15372" max="15372" width="17.7109375" style="183" bestFit="1" customWidth="1"/>
    <col min="15373" max="15616" width="11.42578125" style="183"/>
    <col min="15617" max="15617" width="11.85546875" style="183" bestFit="1" customWidth="1"/>
    <col min="15618" max="15618" width="15" style="183" customWidth="1"/>
    <col min="15619" max="15619" width="13.28515625" style="183" bestFit="1" customWidth="1"/>
    <col min="15620" max="15620" width="17.140625" style="183" customWidth="1"/>
    <col min="15621" max="15621" width="16.85546875" style="183" bestFit="1" customWidth="1"/>
    <col min="15622" max="15622" width="27.85546875" style="183" customWidth="1"/>
    <col min="15623" max="15623" width="35.85546875" style="183" customWidth="1"/>
    <col min="15624" max="15624" width="19.5703125" style="183" bestFit="1" customWidth="1"/>
    <col min="15625" max="15625" width="18.28515625" style="183" bestFit="1" customWidth="1"/>
    <col min="15626" max="15626" width="17.28515625" style="183" bestFit="1" customWidth="1"/>
    <col min="15627" max="15627" width="11.28515625" style="183" bestFit="1" customWidth="1"/>
    <col min="15628" max="15628" width="17.7109375" style="183" bestFit="1" customWidth="1"/>
    <col min="15629" max="15872" width="11.42578125" style="183"/>
    <col min="15873" max="15873" width="11.85546875" style="183" bestFit="1" customWidth="1"/>
    <col min="15874" max="15874" width="15" style="183" customWidth="1"/>
    <col min="15875" max="15875" width="13.28515625" style="183" bestFit="1" customWidth="1"/>
    <col min="15876" max="15876" width="17.140625" style="183" customWidth="1"/>
    <col min="15877" max="15877" width="16.85546875" style="183" bestFit="1" customWidth="1"/>
    <col min="15878" max="15878" width="27.85546875" style="183" customWidth="1"/>
    <col min="15879" max="15879" width="35.85546875" style="183" customWidth="1"/>
    <col min="15880" max="15880" width="19.5703125" style="183" bestFit="1" customWidth="1"/>
    <col min="15881" max="15881" width="18.28515625" style="183" bestFit="1" customWidth="1"/>
    <col min="15882" max="15882" width="17.28515625" style="183" bestFit="1" customWidth="1"/>
    <col min="15883" max="15883" width="11.28515625" style="183" bestFit="1" customWidth="1"/>
    <col min="15884" max="15884" width="17.7109375" style="183" bestFit="1" customWidth="1"/>
    <col min="15885" max="16128" width="11.42578125" style="183"/>
    <col min="16129" max="16129" width="11.85546875" style="183" bestFit="1" customWidth="1"/>
    <col min="16130" max="16130" width="15" style="183" customWidth="1"/>
    <col min="16131" max="16131" width="13.28515625" style="183" bestFit="1" customWidth="1"/>
    <col min="16132" max="16132" width="17.140625" style="183" customWidth="1"/>
    <col min="16133" max="16133" width="16.85546875" style="183" bestFit="1" customWidth="1"/>
    <col min="16134" max="16134" width="27.85546875" style="183" customWidth="1"/>
    <col min="16135" max="16135" width="35.85546875" style="183" customWidth="1"/>
    <col min="16136" max="16136" width="19.5703125" style="183" bestFit="1" customWidth="1"/>
    <col min="16137" max="16137" width="18.28515625" style="183" bestFit="1" customWidth="1"/>
    <col min="16138" max="16138" width="17.28515625" style="183" bestFit="1" customWidth="1"/>
    <col min="16139" max="16139" width="11.28515625" style="183" bestFit="1" customWidth="1"/>
    <col min="16140" max="16140" width="17.7109375" style="183" bestFit="1" customWidth="1"/>
    <col min="16141" max="16384" width="11.42578125" style="183"/>
  </cols>
  <sheetData>
    <row r="1" spans="1:256" ht="33" customHeight="1">
      <c r="A1" s="1287" t="s">
        <v>871</v>
      </c>
      <c r="B1" s="1287"/>
      <c r="C1" s="1287"/>
      <c r="D1" s="1287"/>
      <c r="E1" s="1287"/>
      <c r="F1" s="1287"/>
      <c r="G1" s="1287"/>
      <c r="H1" s="1287"/>
      <c r="I1" s="1287"/>
      <c r="J1" s="1287"/>
      <c r="K1" s="1287"/>
      <c r="L1" s="1287"/>
      <c r="M1" s="136"/>
      <c r="N1" s="136"/>
      <c r="O1" s="136"/>
      <c r="P1" s="136"/>
      <c r="Q1" s="136"/>
      <c r="R1" s="136"/>
      <c r="S1" s="136"/>
      <c r="T1" s="136"/>
      <c r="U1" s="136"/>
      <c r="V1" s="136"/>
      <c r="W1" s="136"/>
      <c r="X1" s="136"/>
      <c r="Y1" s="136"/>
      <c r="Z1" s="137"/>
      <c r="AA1" s="137"/>
      <c r="AB1" s="137"/>
      <c r="AC1" s="137"/>
      <c r="AD1" s="137"/>
      <c r="AE1" s="137"/>
      <c r="AF1" s="137"/>
      <c r="AG1" s="137"/>
      <c r="AH1" s="137"/>
      <c r="AI1" s="137"/>
      <c r="AJ1" s="137"/>
      <c r="AK1" s="137"/>
      <c r="AL1" s="137"/>
      <c r="AM1" s="137"/>
      <c r="AN1" s="137"/>
      <c r="AO1" s="137"/>
      <c r="AP1" s="137"/>
      <c r="AQ1" s="137"/>
      <c r="AR1" s="137"/>
      <c r="AS1" s="137"/>
      <c r="AT1" s="137"/>
      <c r="AU1" s="137"/>
      <c r="AV1" s="137"/>
      <c r="AW1" s="137"/>
      <c r="AX1" s="137"/>
      <c r="AY1" s="137"/>
      <c r="AZ1" s="137"/>
      <c r="BA1" s="137"/>
      <c r="BB1" s="137"/>
      <c r="BC1" s="137"/>
      <c r="BD1" s="137"/>
      <c r="BE1" s="137"/>
      <c r="BF1" s="137"/>
      <c r="BG1" s="137"/>
      <c r="BH1" s="137"/>
      <c r="BI1" s="137"/>
      <c r="BJ1" s="137"/>
      <c r="BK1" s="137"/>
      <c r="BL1" s="137"/>
      <c r="BM1" s="137"/>
      <c r="BN1" s="137"/>
      <c r="BO1" s="137"/>
      <c r="BP1" s="137"/>
      <c r="BQ1" s="137"/>
      <c r="BR1" s="137"/>
      <c r="BS1" s="137"/>
      <c r="BT1" s="137"/>
      <c r="BU1" s="137"/>
      <c r="BV1" s="137"/>
      <c r="BW1" s="137"/>
      <c r="BX1" s="137"/>
      <c r="BY1" s="137"/>
      <c r="BZ1" s="137"/>
      <c r="CA1" s="137"/>
      <c r="CB1" s="137"/>
      <c r="CC1" s="137"/>
      <c r="CD1" s="137"/>
      <c r="CE1" s="137"/>
      <c r="CF1" s="137"/>
      <c r="CG1" s="137"/>
      <c r="CH1" s="137"/>
      <c r="CI1" s="137"/>
      <c r="CJ1" s="137"/>
      <c r="CK1" s="137"/>
      <c r="CL1" s="137"/>
      <c r="CM1" s="137"/>
      <c r="CN1" s="137"/>
      <c r="CO1" s="137"/>
      <c r="CP1" s="137"/>
      <c r="CQ1" s="137"/>
      <c r="CR1" s="137"/>
      <c r="CS1" s="137"/>
      <c r="CT1" s="137"/>
      <c r="CU1" s="137"/>
      <c r="CV1" s="137"/>
      <c r="CW1" s="137"/>
      <c r="CX1" s="137"/>
      <c r="CY1" s="137"/>
      <c r="CZ1" s="137"/>
      <c r="DA1" s="137"/>
      <c r="DB1" s="137"/>
      <c r="DC1" s="137"/>
      <c r="DD1" s="137"/>
      <c r="DE1" s="137"/>
      <c r="DF1" s="137"/>
      <c r="DG1" s="137"/>
      <c r="DH1" s="137"/>
      <c r="DI1" s="137"/>
      <c r="DJ1" s="137"/>
      <c r="DK1" s="137"/>
      <c r="DL1" s="137"/>
      <c r="DM1" s="137"/>
      <c r="DN1" s="137"/>
      <c r="DO1" s="137"/>
      <c r="DP1" s="137"/>
      <c r="DQ1" s="137"/>
      <c r="DR1" s="137"/>
      <c r="DS1" s="137"/>
      <c r="DT1" s="137"/>
      <c r="DU1" s="137"/>
      <c r="DV1" s="137"/>
      <c r="DW1" s="137"/>
      <c r="DX1" s="137"/>
      <c r="DY1" s="137"/>
      <c r="DZ1" s="137"/>
      <c r="EA1" s="137"/>
      <c r="EB1" s="137"/>
      <c r="EC1" s="137"/>
      <c r="ED1" s="137"/>
      <c r="EE1" s="137"/>
      <c r="EF1" s="137"/>
      <c r="EG1" s="137"/>
      <c r="EH1" s="137"/>
      <c r="EI1" s="137"/>
      <c r="EJ1" s="137"/>
      <c r="EK1" s="137"/>
      <c r="EL1" s="137"/>
      <c r="EM1" s="137"/>
      <c r="EN1" s="137"/>
      <c r="EO1" s="137"/>
      <c r="EP1" s="137"/>
      <c r="EQ1" s="137"/>
      <c r="ER1" s="137"/>
      <c r="ES1" s="137"/>
      <c r="ET1" s="137"/>
      <c r="EU1" s="137"/>
      <c r="EV1" s="137"/>
      <c r="EW1" s="137"/>
      <c r="EX1" s="137"/>
      <c r="EY1" s="137"/>
      <c r="EZ1" s="137"/>
      <c r="FA1" s="137"/>
      <c r="FB1" s="137"/>
      <c r="FC1" s="137"/>
      <c r="FD1" s="137"/>
      <c r="FE1" s="137"/>
      <c r="FF1" s="137"/>
      <c r="FG1" s="137"/>
      <c r="FH1" s="137"/>
      <c r="FI1" s="137"/>
      <c r="FJ1" s="137"/>
      <c r="FK1" s="137"/>
      <c r="FL1" s="137"/>
      <c r="FM1" s="137"/>
      <c r="FN1" s="137"/>
      <c r="FO1" s="137"/>
      <c r="FP1" s="137"/>
      <c r="FQ1" s="137"/>
      <c r="FR1" s="137"/>
      <c r="FS1" s="137"/>
      <c r="FT1" s="137"/>
      <c r="FU1" s="137"/>
      <c r="FV1" s="137"/>
      <c r="FW1" s="137"/>
      <c r="FX1" s="137"/>
      <c r="FY1" s="137"/>
      <c r="FZ1" s="137"/>
      <c r="GA1" s="137"/>
      <c r="GB1" s="137"/>
      <c r="GC1" s="137"/>
      <c r="GD1" s="137"/>
      <c r="GE1" s="137"/>
      <c r="GF1" s="137"/>
      <c r="GG1" s="137"/>
      <c r="GH1" s="137"/>
      <c r="GI1" s="137"/>
      <c r="GJ1" s="137"/>
      <c r="GK1" s="137"/>
      <c r="GL1" s="137"/>
      <c r="GM1" s="137"/>
      <c r="GN1" s="137"/>
      <c r="GO1" s="137"/>
      <c r="GP1" s="137"/>
      <c r="GQ1" s="137"/>
      <c r="GR1" s="137"/>
      <c r="GS1" s="137"/>
      <c r="GT1" s="137"/>
      <c r="GU1" s="137"/>
      <c r="GV1" s="137"/>
      <c r="GW1" s="137"/>
      <c r="GX1" s="137"/>
      <c r="GY1" s="137"/>
      <c r="GZ1" s="137"/>
      <c r="HA1" s="137"/>
      <c r="HB1" s="137"/>
      <c r="HC1" s="137"/>
      <c r="HD1" s="137"/>
      <c r="HE1" s="137"/>
      <c r="HF1" s="137"/>
      <c r="HG1" s="137"/>
      <c r="HH1" s="137"/>
      <c r="HI1" s="137"/>
      <c r="HJ1" s="137"/>
      <c r="HK1" s="137"/>
      <c r="HL1" s="137"/>
      <c r="HM1" s="137"/>
      <c r="HN1" s="137"/>
      <c r="HO1" s="137"/>
      <c r="HP1" s="137"/>
      <c r="HQ1" s="137"/>
      <c r="HR1" s="137"/>
      <c r="HS1" s="137"/>
      <c r="HT1" s="137"/>
      <c r="HU1" s="137"/>
      <c r="HV1" s="137"/>
      <c r="HW1" s="137"/>
      <c r="HX1" s="137"/>
      <c r="HY1" s="137"/>
      <c r="HZ1" s="137"/>
      <c r="IA1" s="137"/>
      <c r="IB1" s="137"/>
      <c r="IC1" s="137"/>
      <c r="ID1" s="137"/>
      <c r="IE1" s="137"/>
      <c r="IF1" s="137"/>
      <c r="IG1" s="137"/>
      <c r="IH1" s="137"/>
      <c r="II1" s="137"/>
      <c r="IJ1" s="137"/>
      <c r="IK1" s="137"/>
      <c r="IL1" s="137"/>
      <c r="IM1" s="137"/>
      <c r="IN1" s="137"/>
      <c r="IO1" s="137"/>
      <c r="IP1" s="137"/>
      <c r="IQ1" s="137"/>
      <c r="IR1" s="137"/>
      <c r="IS1" s="137"/>
      <c r="IT1" s="137"/>
      <c r="IU1" s="137"/>
      <c r="IV1" s="137"/>
    </row>
    <row r="2" spans="1:256" ht="33" customHeight="1">
      <c r="A2" s="1287"/>
      <c r="B2" s="1287"/>
      <c r="C2" s="1287"/>
      <c r="D2" s="1287"/>
      <c r="E2" s="1287"/>
      <c r="F2" s="1287"/>
      <c r="G2" s="1287"/>
      <c r="H2" s="1287"/>
      <c r="I2" s="1287"/>
      <c r="J2" s="1287"/>
      <c r="K2" s="1287"/>
      <c r="L2" s="1287"/>
      <c r="M2" s="136"/>
      <c r="N2" s="136"/>
      <c r="O2" s="136"/>
      <c r="P2" s="136"/>
      <c r="Q2" s="136"/>
      <c r="R2" s="136"/>
      <c r="S2" s="136"/>
      <c r="T2" s="136"/>
      <c r="U2" s="136"/>
      <c r="V2" s="136"/>
      <c r="W2" s="136"/>
      <c r="X2" s="136"/>
      <c r="Y2" s="136"/>
      <c r="Z2" s="137"/>
      <c r="AA2" s="137"/>
      <c r="AB2" s="137"/>
      <c r="AC2" s="137"/>
      <c r="AD2" s="137"/>
      <c r="AE2" s="137"/>
      <c r="AF2" s="137"/>
      <c r="AG2" s="137"/>
      <c r="AH2" s="137"/>
      <c r="AI2" s="137"/>
      <c r="AJ2" s="137"/>
      <c r="AK2" s="137"/>
      <c r="AL2" s="137"/>
      <c r="AM2" s="137"/>
      <c r="AN2" s="137"/>
      <c r="AO2" s="137"/>
      <c r="AP2" s="137"/>
      <c r="AQ2" s="137"/>
      <c r="AR2" s="137"/>
      <c r="AS2" s="137"/>
      <c r="AT2" s="137"/>
      <c r="AU2" s="137"/>
      <c r="AV2" s="137"/>
      <c r="AW2" s="137"/>
      <c r="AX2" s="137"/>
      <c r="AY2" s="137"/>
      <c r="AZ2" s="137"/>
      <c r="BA2" s="137"/>
      <c r="BB2" s="137"/>
      <c r="BC2" s="137"/>
      <c r="BD2" s="137"/>
      <c r="BE2" s="137"/>
      <c r="BF2" s="137"/>
      <c r="BG2" s="137"/>
      <c r="BH2" s="137"/>
      <c r="BI2" s="137"/>
      <c r="BJ2" s="137"/>
      <c r="BK2" s="137"/>
      <c r="BL2" s="137"/>
      <c r="BM2" s="137"/>
      <c r="BN2" s="137"/>
      <c r="BO2" s="137"/>
      <c r="BP2" s="137"/>
      <c r="BQ2" s="137"/>
      <c r="BR2" s="137"/>
      <c r="BS2" s="137"/>
      <c r="BT2" s="137"/>
      <c r="BU2" s="137"/>
      <c r="BV2" s="137"/>
      <c r="BW2" s="137"/>
      <c r="BX2" s="137"/>
      <c r="BY2" s="137"/>
      <c r="BZ2" s="137"/>
      <c r="CA2" s="137"/>
      <c r="CB2" s="137"/>
      <c r="CC2" s="137"/>
      <c r="CD2" s="137"/>
      <c r="CE2" s="137"/>
      <c r="CF2" s="137"/>
      <c r="CG2" s="137"/>
      <c r="CH2" s="137"/>
      <c r="CI2" s="137"/>
      <c r="CJ2" s="137"/>
      <c r="CK2" s="137"/>
      <c r="CL2" s="137"/>
      <c r="CM2" s="137"/>
      <c r="CN2" s="137"/>
      <c r="CO2" s="137"/>
      <c r="CP2" s="137"/>
      <c r="CQ2" s="137"/>
      <c r="CR2" s="137"/>
      <c r="CS2" s="137"/>
      <c r="CT2" s="137"/>
      <c r="CU2" s="137"/>
      <c r="CV2" s="137"/>
      <c r="CW2" s="137"/>
      <c r="CX2" s="137"/>
      <c r="CY2" s="137"/>
      <c r="CZ2" s="137"/>
      <c r="DA2" s="137"/>
      <c r="DB2" s="137"/>
      <c r="DC2" s="137"/>
      <c r="DD2" s="137"/>
      <c r="DE2" s="137"/>
      <c r="DF2" s="137"/>
      <c r="DG2" s="137"/>
      <c r="DH2" s="137"/>
      <c r="DI2" s="137"/>
      <c r="DJ2" s="137"/>
      <c r="DK2" s="137"/>
      <c r="DL2" s="137"/>
      <c r="DM2" s="137"/>
      <c r="DN2" s="137"/>
      <c r="DO2" s="137"/>
      <c r="DP2" s="137"/>
      <c r="DQ2" s="137"/>
      <c r="DR2" s="137"/>
      <c r="DS2" s="137"/>
      <c r="DT2" s="137"/>
      <c r="DU2" s="137"/>
      <c r="DV2" s="137"/>
      <c r="DW2" s="137"/>
      <c r="DX2" s="137"/>
      <c r="DY2" s="137"/>
      <c r="DZ2" s="137"/>
      <c r="EA2" s="137"/>
      <c r="EB2" s="137"/>
      <c r="EC2" s="137"/>
      <c r="ED2" s="137"/>
      <c r="EE2" s="137"/>
      <c r="EF2" s="137"/>
      <c r="EG2" s="137"/>
      <c r="EH2" s="137"/>
      <c r="EI2" s="137"/>
      <c r="EJ2" s="137"/>
      <c r="EK2" s="137"/>
      <c r="EL2" s="137"/>
      <c r="EM2" s="137"/>
      <c r="EN2" s="137"/>
      <c r="EO2" s="137"/>
      <c r="EP2" s="137"/>
      <c r="EQ2" s="137"/>
      <c r="ER2" s="137"/>
      <c r="ES2" s="137"/>
      <c r="ET2" s="137"/>
      <c r="EU2" s="137"/>
      <c r="EV2" s="137"/>
      <c r="EW2" s="137"/>
      <c r="EX2" s="137"/>
      <c r="EY2" s="137"/>
      <c r="EZ2" s="137"/>
      <c r="FA2" s="137"/>
      <c r="FB2" s="137"/>
      <c r="FC2" s="137"/>
      <c r="FD2" s="137"/>
      <c r="FE2" s="137"/>
      <c r="FF2" s="137"/>
      <c r="FG2" s="137"/>
      <c r="FH2" s="137"/>
      <c r="FI2" s="137"/>
      <c r="FJ2" s="137"/>
      <c r="FK2" s="137"/>
      <c r="FL2" s="137"/>
      <c r="FM2" s="137"/>
      <c r="FN2" s="137"/>
      <c r="FO2" s="137"/>
      <c r="FP2" s="137"/>
      <c r="FQ2" s="137"/>
      <c r="FR2" s="137"/>
      <c r="FS2" s="137"/>
      <c r="FT2" s="137"/>
      <c r="FU2" s="137"/>
      <c r="FV2" s="137"/>
      <c r="FW2" s="137"/>
      <c r="FX2" s="137"/>
      <c r="FY2" s="137"/>
      <c r="FZ2" s="137"/>
      <c r="GA2" s="137"/>
      <c r="GB2" s="137"/>
      <c r="GC2" s="137"/>
      <c r="GD2" s="137"/>
      <c r="GE2" s="137"/>
      <c r="GF2" s="137"/>
      <c r="GG2" s="137"/>
      <c r="GH2" s="137"/>
      <c r="GI2" s="137"/>
      <c r="GJ2" s="137"/>
      <c r="GK2" s="137"/>
      <c r="GL2" s="137"/>
      <c r="GM2" s="137"/>
      <c r="GN2" s="137"/>
      <c r="GO2" s="137"/>
      <c r="GP2" s="137"/>
      <c r="GQ2" s="137"/>
      <c r="GR2" s="137"/>
      <c r="GS2" s="137"/>
      <c r="GT2" s="137"/>
      <c r="GU2" s="137"/>
      <c r="GV2" s="137"/>
      <c r="GW2" s="137"/>
      <c r="GX2" s="137"/>
      <c r="GY2" s="137"/>
      <c r="GZ2" s="137"/>
      <c r="HA2" s="137"/>
      <c r="HB2" s="137"/>
      <c r="HC2" s="137"/>
      <c r="HD2" s="137"/>
      <c r="HE2" s="137"/>
      <c r="HF2" s="137"/>
      <c r="HG2" s="137"/>
      <c r="HH2" s="137"/>
      <c r="HI2" s="137"/>
      <c r="HJ2" s="137"/>
      <c r="HK2" s="137"/>
      <c r="HL2" s="137"/>
      <c r="HM2" s="137"/>
      <c r="HN2" s="137"/>
      <c r="HO2" s="137"/>
      <c r="HP2" s="137"/>
      <c r="HQ2" s="137"/>
      <c r="HR2" s="137"/>
      <c r="HS2" s="137"/>
      <c r="HT2" s="137"/>
      <c r="HU2" s="137"/>
      <c r="HV2" s="137"/>
      <c r="HW2" s="137"/>
      <c r="HX2" s="137"/>
      <c r="HY2" s="137"/>
      <c r="HZ2" s="137"/>
      <c r="IA2" s="137"/>
      <c r="IB2" s="137"/>
      <c r="IC2" s="137"/>
      <c r="ID2" s="137"/>
      <c r="IE2" s="137"/>
      <c r="IF2" s="137"/>
      <c r="IG2" s="137"/>
      <c r="IH2" s="137"/>
      <c r="II2" s="137"/>
      <c r="IJ2" s="137"/>
      <c r="IK2" s="137"/>
      <c r="IL2" s="137"/>
      <c r="IM2" s="137"/>
      <c r="IN2" s="137"/>
      <c r="IO2" s="137"/>
      <c r="IP2" s="137"/>
      <c r="IQ2" s="137"/>
      <c r="IR2" s="137"/>
      <c r="IS2" s="137"/>
      <c r="IT2" s="137"/>
      <c r="IU2" s="137"/>
      <c r="IV2" s="137"/>
    </row>
    <row r="3" spans="1:256" ht="33" customHeight="1">
      <c r="A3" s="1287"/>
      <c r="B3" s="1287"/>
      <c r="C3" s="1287"/>
      <c r="D3" s="1287"/>
      <c r="E3" s="1287"/>
      <c r="F3" s="1287"/>
      <c r="G3" s="1287"/>
      <c r="H3" s="1287"/>
      <c r="I3" s="1287"/>
      <c r="J3" s="1287"/>
      <c r="K3" s="1287"/>
      <c r="L3" s="1287"/>
      <c r="M3" s="136"/>
      <c r="N3" s="136"/>
      <c r="O3" s="136"/>
      <c r="P3" s="136"/>
      <c r="Q3" s="136"/>
      <c r="R3" s="136"/>
      <c r="S3" s="136"/>
      <c r="T3" s="136"/>
      <c r="U3" s="136"/>
      <c r="V3" s="136"/>
      <c r="W3" s="136"/>
      <c r="X3" s="136"/>
      <c r="Y3" s="136"/>
      <c r="Z3" s="137"/>
      <c r="AA3" s="137"/>
      <c r="AB3" s="137"/>
      <c r="AC3" s="137"/>
      <c r="AD3" s="137"/>
      <c r="AE3" s="137"/>
      <c r="AF3" s="137"/>
      <c r="AG3" s="137"/>
      <c r="AH3" s="137"/>
      <c r="AI3" s="137"/>
      <c r="AJ3" s="137"/>
      <c r="AK3" s="137"/>
      <c r="AL3" s="137"/>
      <c r="AM3" s="137"/>
      <c r="AN3" s="137"/>
      <c r="AO3" s="137"/>
      <c r="AP3" s="137"/>
      <c r="AQ3" s="137"/>
      <c r="AR3" s="137"/>
      <c r="AS3" s="137"/>
      <c r="AT3" s="137"/>
      <c r="AU3" s="137"/>
      <c r="AV3" s="137"/>
      <c r="AW3" s="137"/>
      <c r="AX3" s="137"/>
      <c r="AY3" s="137"/>
      <c r="AZ3" s="137"/>
      <c r="BA3" s="137"/>
      <c r="BB3" s="137"/>
      <c r="BC3" s="137"/>
      <c r="BD3" s="137"/>
      <c r="BE3" s="137"/>
      <c r="BF3" s="137"/>
      <c r="BG3" s="137"/>
      <c r="BH3" s="137"/>
      <c r="BI3" s="137"/>
      <c r="BJ3" s="137"/>
      <c r="BK3" s="137"/>
      <c r="BL3" s="137"/>
      <c r="BM3" s="137"/>
      <c r="BN3" s="137"/>
      <c r="BO3" s="137"/>
      <c r="BP3" s="137"/>
      <c r="BQ3" s="137"/>
      <c r="BR3" s="137"/>
      <c r="BS3" s="137"/>
      <c r="BT3" s="137"/>
      <c r="BU3" s="137"/>
      <c r="BV3" s="137"/>
      <c r="BW3" s="137"/>
      <c r="BX3" s="137"/>
      <c r="BY3" s="137"/>
      <c r="BZ3" s="137"/>
      <c r="CA3" s="137"/>
      <c r="CB3" s="137"/>
      <c r="CC3" s="137"/>
      <c r="CD3" s="137"/>
      <c r="CE3" s="137"/>
      <c r="CF3" s="137"/>
      <c r="CG3" s="137"/>
      <c r="CH3" s="137"/>
      <c r="CI3" s="137"/>
      <c r="CJ3" s="137"/>
      <c r="CK3" s="137"/>
      <c r="CL3" s="137"/>
      <c r="CM3" s="137"/>
      <c r="CN3" s="137"/>
      <c r="CO3" s="137"/>
      <c r="CP3" s="137"/>
      <c r="CQ3" s="137"/>
      <c r="CR3" s="137"/>
      <c r="CS3" s="137"/>
      <c r="CT3" s="137"/>
      <c r="CU3" s="137"/>
      <c r="CV3" s="137"/>
      <c r="CW3" s="137"/>
      <c r="CX3" s="137"/>
      <c r="CY3" s="137"/>
      <c r="CZ3" s="137"/>
      <c r="DA3" s="137"/>
      <c r="DB3" s="137"/>
      <c r="DC3" s="137"/>
      <c r="DD3" s="137"/>
      <c r="DE3" s="137"/>
      <c r="DF3" s="137"/>
      <c r="DG3" s="137"/>
      <c r="DH3" s="137"/>
      <c r="DI3" s="137"/>
      <c r="DJ3" s="137"/>
      <c r="DK3" s="137"/>
      <c r="DL3" s="137"/>
      <c r="DM3" s="137"/>
      <c r="DN3" s="137"/>
      <c r="DO3" s="137"/>
      <c r="DP3" s="137"/>
      <c r="DQ3" s="137"/>
      <c r="DR3" s="137"/>
      <c r="DS3" s="137"/>
      <c r="DT3" s="137"/>
      <c r="DU3" s="137"/>
      <c r="DV3" s="137"/>
      <c r="DW3" s="137"/>
      <c r="DX3" s="137"/>
      <c r="DY3" s="137"/>
      <c r="DZ3" s="137"/>
      <c r="EA3" s="137"/>
      <c r="EB3" s="137"/>
      <c r="EC3" s="137"/>
      <c r="ED3" s="137"/>
      <c r="EE3" s="137"/>
      <c r="EF3" s="137"/>
      <c r="EG3" s="137"/>
      <c r="EH3" s="137"/>
      <c r="EI3" s="137"/>
      <c r="EJ3" s="137"/>
      <c r="EK3" s="137"/>
      <c r="EL3" s="137"/>
      <c r="EM3" s="137"/>
      <c r="EN3" s="137"/>
      <c r="EO3" s="137"/>
      <c r="EP3" s="137"/>
      <c r="EQ3" s="137"/>
      <c r="ER3" s="137"/>
      <c r="ES3" s="137"/>
      <c r="ET3" s="137"/>
      <c r="EU3" s="137"/>
      <c r="EV3" s="137"/>
      <c r="EW3" s="137"/>
      <c r="EX3" s="137"/>
      <c r="EY3" s="137"/>
      <c r="EZ3" s="137"/>
      <c r="FA3" s="137"/>
      <c r="FB3" s="137"/>
      <c r="FC3" s="137"/>
      <c r="FD3" s="137"/>
      <c r="FE3" s="137"/>
      <c r="FF3" s="137"/>
      <c r="FG3" s="137"/>
      <c r="FH3" s="137"/>
      <c r="FI3" s="137"/>
      <c r="FJ3" s="137"/>
      <c r="FK3" s="137"/>
      <c r="FL3" s="137"/>
      <c r="FM3" s="137"/>
      <c r="FN3" s="137"/>
      <c r="FO3" s="137"/>
      <c r="FP3" s="137"/>
      <c r="FQ3" s="137"/>
      <c r="FR3" s="137"/>
      <c r="FS3" s="137"/>
      <c r="FT3" s="137"/>
      <c r="FU3" s="137"/>
      <c r="FV3" s="137"/>
      <c r="FW3" s="137"/>
      <c r="FX3" s="137"/>
      <c r="FY3" s="137"/>
      <c r="FZ3" s="137"/>
      <c r="GA3" s="137"/>
      <c r="GB3" s="137"/>
      <c r="GC3" s="137"/>
      <c r="GD3" s="137"/>
      <c r="GE3" s="137"/>
      <c r="GF3" s="137"/>
      <c r="GG3" s="137"/>
      <c r="GH3" s="137"/>
      <c r="GI3" s="137"/>
      <c r="GJ3" s="137"/>
      <c r="GK3" s="137"/>
      <c r="GL3" s="137"/>
      <c r="GM3" s="137"/>
      <c r="GN3" s="137"/>
      <c r="GO3" s="137"/>
      <c r="GP3" s="137"/>
      <c r="GQ3" s="137"/>
      <c r="GR3" s="137"/>
      <c r="GS3" s="137"/>
      <c r="GT3" s="137"/>
      <c r="GU3" s="137"/>
      <c r="GV3" s="137"/>
      <c r="GW3" s="137"/>
      <c r="GX3" s="137"/>
      <c r="GY3" s="137"/>
      <c r="GZ3" s="137"/>
      <c r="HA3" s="137"/>
      <c r="HB3" s="137"/>
      <c r="HC3" s="137"/>
      <c r="HD3" s="137"/>
      <c r="HE3" s="137"/>
      <c r="HF3" s="137"/>
      <c r="HG3" s="137"/>
      <c r="HH3" s="137"/>
      <c r="HI3" s="137"/>
      <c r="HJ3" s="137"/>
      <c r="HK3" s="137"/>
      <c r="HL3" s="137"/>
      <c r="HM3" s="137"/>
      <c r="HN3" s="137"/>
      <c r="HO3" s="137"/>
      <c r="HP3" s="137"/>
      <c r="HQ3" s="137"/>
      <c r="HR3" s="137"/>
      <c r="HS3" s="137"/>
      <c r="HT3" s="137"/>
      <c r="HU3" s="137"/>
      <c r="HV3" s="137"/>
      <c r="HW3" s="137"/>
      <c r="HX3" s="137"/>
      <c r="HY3" s="137"/>
      <c r="HZ3" s="137"/>
      <c r="IA3" s="137"/>
      <c r="IB3" s="137"/>
      <c r="IC3" s="137"/>
      <c r="ID3" s="137"/>
      <c r="IE3" s="137"/>
      <c r="IF3" s="137"/>
      <c r="IG3" s="137"/>
      <c r="IH3" s="137"/>
      <c r="II3" s="137"/>
      <c r="IJ3" s="137"/>
      <c r="IK3" s="137"/>
      <c r="IL3" s="137"/>
      <c r="IM3" s="137"/>
      <c r="IN3" s="137"/>
      <c r="IO3" s="137"/>
      <c r="IP3" s="137"/>
      <c r="IQ3" s="137"/>
      <c r="IR3" s="137"/>
      <c r="IS3" s="137"/>
      <c r="IT3" s="137"/>
      <c r="IU3" s="137"/>
      <c r="IV3" s="137"/>
    </row>
    <row r="4" spans="1:256" ht="15.75" thickBot="1"/>
    <row r="5" spans="1:256" ht="42" customHeight="1">
      <c r="A5" s="186" t="s">
        <v>149</v>
      </c>
      <c r="B5" s="187" t="s">
        <v>150</v>
      </c>
      <c r="C5" s="187" t="s">
        <v>151</v>
      </c>
      <c r="D5" s="187" t="s">
        <v>152</v>
      </c>
      <c r="E5" s="188" t="s">
        <v>153</v>
      </c>
      <c r="F5" s="187" t="s">
        <v>362</v>
      </c>
      <c r="G5" s="189" t="s">
        <v>154</v>
      </c>
      <c r="H5" s="190" t="s">
        <v>155</v>
      </c>
      <c r="I5" s="190" t="s">
        <v>156</v>
      </c>
      <c r="J5" s="190" t="s">
        <v>157</v>
      </c>
      <c r="K5" s="190" t="s">
        <v>158</v>
      </c>
      <c r="L5" s="191" t="s">
        <v>159</v>
      </c>
      <c r="M5" s="344"/>
      <c r="N5" s="344"/>
      <c r="O5" s="344"/>
      <c r="P5" s="344"/>
      <c r="Q5" s="344"/>
      <c r="R5" s="344"/>
      <c r="S5" s="344"/>
      <c r="T5" s="344"/>
      <c r="U5" s="344"/>
      <c r="V5" s="344"/>
      <c r="W5" s="344"/>
      <c r="X5" s="344"/>
      <c r="Y5" s="344"/>
      <c r="Z5" s="344"/>
      <c r="AA5" s="344"/>
      <c r="AB5" s="344"/>
      <c r="AC5" s="344"/>
      <c r="AD5" s="344"/>
      <c r="AE5" s="344"/>
      <c r="AF5" s="344"/>
      <c r="AG5" s="344"/>
      <c r="AH5" s="344"/>
      <c r="AI5" s="344"/>
      <c r="AJ5" s="344"/>
      <c r="AK5" s="344"/>
      <c r="AL5" s="344"/>
      <c r="AM5" s="344"/>
      <c r="AN5" s="344"/>
      <c r="AO5" s="344"/>
      <c r="AP5" s="344"/>
      <c r="AQ5" s="344"/>
      <c r="AR5" s="344"/>
      <c r="AS5" s="344"/>
      <c r="AT5" s="344"/>
      <c r="AU5" s="344"/>
      <c r="AV5" s="344"/>
      <c r="AW5" s="344"/>
      <c r="AX5" s="344"/>
      <c r="AY5" s="344"/>
      <c r="AZ5" s="344"/>
      <c r="BA5" s="344"/>
      <c r="BB5" s="344"/>
      <c r="BC5" s="344"/>
      <c r="BD5" s="344"/>
      <c r="BE5" s="344"/>
      <c r="BF5" s="344"/>
      <c r="BG5" s="344"/>
      <c r="BH5" s="344"/>
      <c r="BI5" s="344"/>
      <c r="BJ5" s="344"/>
      <c r="BK5" s="344"/>
      <c r="BL5" s="344"/>
      <c r="BM5" s="344"/>
      <c r="BN5" s="344"/>
      <c r="BO5" s="344"/>
      <c r="BP5" s="344"/>
      <c r="BQ5" s="344"/>
      <c r="BR5" s="344"/>
      <c r="BS5" s="344"/>
      <c r="BT5" s="344"/>
      <c r="BU5" s="344"/>
      <c r="BV5" s="344"/>
      <c r="BW5" s="344"/>
      <c r="BX5" s="344"/>
      <c r="BY5" s="344"/>
      <c r="BZ5" s="344"/>
      <c r="CA5" s="344"/>
      <c r="CB5" s="344"/>
      <c r="CC5" s="344"/>
      <c r="CD5" s="344"/>
      <c r="CE5" s="344"/>
      <c r="CF5" s="344"/>
      <c r="CG5" s="344"/>
      <c r="CH5" s="344"/>
      <c r="CI5" s="344"/>
      <c r="CJ5" s="344"/>
      <c r="CK5" s="344"/>
      <c r="CL5" s="344"/>
      <c r="CM5" s="344"/>
      <c r="CN5" s="344"/>
      <c r="CO5" s="344"/>
      <c r="CP5" s="344"/>
      <c r="CQ5" s="344"/>
      <c r="CR5" s="344"/>
      <c r="CS5" s="344"/>
      <c r="CT5" s="344"/>
      <c r="CU5" s="344"/>
      <c r="CV5" s="344"/>
      <c r="CW5" s="344"/>
      <c r="CX5" s="344"/>
      <c r="CY5" s="344"/>
      <c r="CZ5" s="344"/>
      <c r="DA5" s="344"/>
      <c r="DB5" s="344"/>
      <c r="DC5" s="344"/>
      <c r="DD5" s="344"/>
      <c r="DE5" s="344"/>
      <c r="DF5" s="344"/>
      <c r="DG5" s="344"/>
      <c r="DH5" s="344"/>
      <c r="DI5" s="344"/>
      <c r="DJ5" s="344"/>
      <c r="DK5" s="344"/>
      <c r="DL5" s="344"/>
      <c r="DM5" s="344"/>
      <c r="DN5" s="344"/>
      <c r="DO5" s="344"/>
      <c r="DP5" s="344"/>
      <c r="DQ5" s="344"/>
      <c r="DR5" s="344"/>
      <c r="DS5" s="344"/>
      <c r="DT5" s="344"/>
      <c r="DU5" s="344"/>
      <c r="DV5" s="344"/>
      <c r="DW5" s="344"/>
      <c r="DX5" s="344"/>
      <c r="DY5" s="344"/>
      <c r="DZ5" s="344"/>
      <c r="EA5" s="344"/>
      <c r="EB5" s="344"/>
      <c r="EC5" s="344"/>
      <c r="ED5" s="344"/>
      <c r="EE5" s="344"/>
      <c r="EF5" s="344"/>
      <c r="EG5" s="344"/>
      <c r="EH5" s="344"/>
      <c r="EI5" s="344"/>
      <c r="EJ5" s="344"/>
      <c r="EK5" s="344"/>
      <c r="EL5" s="344"/>
      <c r="EM5" s="344"/>
      <c r="EN5" s="344"/>
      <c r="EO5" s="344"/>
      <c r="EP5" s="344"/>
      <c r="EQ5" s="344"/>
      <c r="ER5" s="344"/>
      <c r="ES5" s="344"/>
      <c r="ET5" s="344"/>
      <c r="EU5" s="344"/>
      <c r="EV5" s="344"/>
      <c r="EW5" s="344"/>
      <c r="EX5" s="344"/>
      <c r="EY5" s="344"/>
      <c r="EZ5" s="344"/>
      <c r="FA5" s="344"/>
      <c r="FB5" s="344"/>
      <c r="FC5" s="344"/>
      <c r="FD5" s="344"/>
      <c r="FE5" s="344"/>
      <c r="FF5" s="344"/>
      <c r="FG5" s="344"/>
      <c r="FH5" s="344"/>
      <c r="FI5" s="344"/>
      <c r="FJ5" s="344"/>
      <c r="FK5" s="344"/>
      <c r="FL5" s="344"/>
      <c r="FM5" s="344"/>
      <c r="FN5" s="344"/>
      <c r="FO5" s="344"/>
      <c r="FP5" s="344"/>
      <c r="FQ5" s="344"/>
      <c r="FR5" s="344"/>
      <c r="FS5" s="344"/>
      <c r="FT5" s="344"/>
      <c r="FU5" s="344"/>
      <c r="FV5" s="344"/>
      <c r="FW5" s="344"/>
      <c r="FX5" s="344"/>
      <c r="FY5" s="344"/>
      <c r="FZ5" s="344"/>
      <c r="GA5" s="344"/>
      <c r="GB5" s="344"/>
      <c r="GC5" s="344"/>
      <c r="GD5" s="344"/>
      <c r="GE5" s="344"/>
      <c r="GF5" s="344"/>
      <c r="GG5" s="344"/>
      <c r="GH5" s="344"/>
      <c r="GI5" s="344"/>
      <c r="GJ5" s="344"/>
      <c r="GK5" s="344"/>
      <c r="GL5" s="344"/>
      <c r="GM5" s="344"/>
      <c r="GN5" s="344"/>
      <c r="GO5" s="344"/>
      <c r="GP5" s="344"/>
      <c r="GQ5" s="344"/>
      <c r="GR5" s="344"/>
      <c r="GS5" s="344"/>
      <c r="GT5" s="344"/>
      <c r="GU5" s="344"/>
      <c r="GV5" s="344"/>
      <c r="GW5" s="344"/>
      <c r="GX5" s="344"/>
      <c r="GY5" s="344"/>
      <c r="GZ5" s="344"/>
      <c r="HA5" s="344"/>
      <c r="HB5" s="344"/>
      <c r="HC5" s="344"/>
      <c r="HD5" s="344"/>
      <c r="HE5" s="344"/>
      <c r="HF5" s="344"/>
      <c r="HG5" s="344"/>
      <c r="HH5" s="344"/>
      <c r="HI5" s="344"/>
      <c r="HJ5" s="344"/>
      <c r="HK5" s="344"/>
      <c r="HL5" s="344"/>
      <c r="HM5" s="344"/>
      <c r="HN5" s="344"/>
      <c r="HO5" s="344"/>
      <c r="HP5" s="344"/>
      <c r="HQ5" s="344"/>
      <c r="HR5" s="344"/>
      <c r="HS5" s="344"/>
      <c r="HT5" s="344"/>
      <c r="HU5" s="344"/>
      <c r="HV5" s="344"/>
      <c r="HW5" s="344"/>
      <c r="HX5" s="344"/>
      <c r="HY5" s="344"/>
      <c r="HZ5" s="344"/>
      <c r="IA5" s="344"/>
      <c r="IB5" s="344"/>
      <c r="IC5" s="344"/>
      <c r="ID5" s="344"/>
      <c r="IE5" s="344"/>
      <c r="IF5" s="344"/>
      <c r="IG5" s="344"/>
      <c r="IH5" s="344"/>
      <c r="II5" s="344"/>
      <c r="IJ5" s="344"/>
      <c r="IK5" s="344"/>
      <c r="IL5" s="344"/>
      <c r="IM5" s="344"/>
      <c r="IN5" s="344"/>
      <c r="IO5" s="344"/>
      <c r="IP5" s="344"/>
      <c r="IQ5" s="344"/>
      <c r="IR5" s="344"/>
      <c r="IS5" s="344"/>
      <c r="IT5" s="344"/>
      <c r="IU5" s="344"/>
      <c r="IV5" s="344"/>
    </row>
    <row r="6" spans="1:256" ht="50.25" customHeight="1">
      <c r="A6" s="1056">
        <v>45132</v>
      </c>
      <c r="B6" s="813" t="s">
        <v>872</v>
      </c>
      <c r="C6" s="813">
        <v>126676</v>
      </c>
      <c r="D6" s="1056">
        <v>45125</v>
      </c>
      <c r="E6" s="1057">
        <v>800141235</v>
      </c>
      <c r="F6" s="1058" t="s">
        <v>656</v>
      </c>
      <c r="G6" s="1059" t="s">
        <v>873</v>
      </c>
      <c r="H6" s="1060">
        <v>859209</v>
      </c>
      <c r="I6" s="1060">
        <f>+H6</f>
        <v>859209</v>
      </c>
      <c r="J6" s="1060">
        <v>163250</v>
      </c>
      <c r="K6" s="1060"/>
      <c r="L6" s="1060">
        <f>+I6+J6</f>
        <v>1022459</v>
      </c>
      <c r="M6" s="344"/>
      <c r="N6" s="344"/>
      <c r="O6" s="344"/>
      <c r="P6" s="344"/>
      <c r="Q6" s="344"/>
      <c r="R6" s="344"/>
      <c r="S6" s="344"/>
      <c r="T6" s="344"/>
      <c r="U6" s="344"/>
      <c r="V6" s="344"/>
      <c r="W6" s="344"/>
      <c r="X6" s="344"/>
      <c r="Y6" s="344"/>
      <c r="Z6" s="344"/>
      <c r="AA6" s="344"/>
      <c r="AB6" s="344"/>
      <c r="AC6" s="344"/>
      <c r="AD6" s="344"/>
      <c r="AE6" s="344"/>
      <c r="AF6" s="344"/>
      <c r="AG6" s="344"/>
      <c r="AH6" s="344"/>
      <c r="AI6" s="344"/>
      <c r="AJ6" s="344"/>
      <c r="AK6" s="344"/>
      <c r="AL6" s="344"/>
      <c r="AM6" s="344"/>
      <c r="AN6" s="344"/>
      <c r="AO6" s="344"/>
      <c r="AP6" s="344"/>
      <c r="AQ6" s="344"/>
      <c r="AR6" s="344"/>
      <c r="AS6" s="344"/>
      <c r="AT6" s="344"/>
      <c r="AU6" s="344"/>
      <c r="AV6" s="344"/>
      <c r="AW6" s="344"/>
      <c r="AX6" s="344"/>
      <c r="AY6" s="344"/>
      <c r="AZ6" s="344"/>
      <c r="BA6" s="344"/>
      <c r="BB6" s="344"/>
      <c r="BC6" s="344"/>
      <c r="BD6" s="344"/>
      <c r="BE6" s="344"/>
      <c r="BF6" s="344"/>
      <c r="BG6" s="344"/>
      <c r="BH6" s="344"/>
      <c r="BI6" s="344"/>
      <c r="BJ6" s="344"/>
      <c r="BK6" s="344"/>
      <c r="BL6" s="344"/>
      <c r="BM6" s="344"/>
      <c r="BN6" s="344"/>
      <c r="BO6" s="344"/>
      <c r="BP6" s="344"/>
      <c r="BQ6" s="344"/>
      <c r="BR6" s="344"/>
      <c r="BS6" s="344"/>
      <c r="BT6" s="344"/>
      <c r="BU6" s="344"/>
      <c r="BV6" s="344"/>
      <c r="BW6" s="344"/>
      <c r="BX6" s="344"/>
      <c r="BY6" s="344"/>
      <c r="BZ6" s="344"/>
      <c r="CA6" s="344"/>
      <c r="CB6" s="344"/>
      <c r="CC6" s="344"/>
      <c r="CD6" s="344"/>
      <c r="CE6" s="344"/>
      <c r="CF6" s="344"/>
      <c r="CG6" s="344"/>
      <c r="CH6" s="344"/>
      <c r="CI6" s="344"/>
      <c r="CJ6" s="344"/>
      <c r="CK6" s="344"/>
      <c r="CL6" s="344"/>
      <c r="CM6" s="344"/>
      <c r="CN6" s="344"/>
      <c r="CO6" s="344"/>
      <c r="CP6" s="344"/>
      <c r="CQ6" s="344"/>
      <c r="CR6" s="344"/>
      <c r="CS6" s="344"/>
      <c r="CT6" s="344"/>
      <c r="CU6" s="344"/>
      <c r="CV6" s="344"/>
      <c r="CW6" s="344"/>
      <c r="CX6" s="344"/>
      <c r="CY6" s="344"/>
      <c r="CZ6" s="344"/>
      <c r="DA6" s="344"/>
      <c r="DB6" s="344"/>
      <c r="DC6" s="344"/>
      <c r="DD6" s="344"/>
      <c r="DE6" s="344"/>
      <c r="DF6" s="344"/>
      <c r="DG6" s="344"/>
      <c r="DH6" s="344"/>
      <c r="DI6" s="344"/>
      <c r="DJ6" s="344"/>
      <c r="DK6" s="344"/>
      <c r="DL6" s="344"/>
      <c r="DM6" s="344"/>
      <c r="DN6" s="344"/>
      <c r="DO6" s="344"/>
      <c r="DP6" s="344"/>
      <c r="DQ6" s="344"/>
      <c r="DR6" s="344"/>
      <c r="DS6" s="344"/>
      <c r="DT6" s="344"/>
      <c r="DU6" s="344"/>
      <c r="DV6" s="344"/>
      <c r="DW6" s="344"/>
      <c r="DX6" s="344"/>
      <c r="DY6" s="344"/>
      <c r="DZ6" s="344"/>
      <c r="EA6" s="344"/>
      <c r="EB6" s="344"/>
      <c r="EC6" s="344"/>
      <c r="ED6" s="344"/>
      <c r="EE6" s="344"/>
      <c r="EF6" s="344"/>
      <c r="EG6" s="344"/>
      <c r="EH6" s="344"/>
      <c r="EI6" s="344"/>
      <c r="EJ6" s="344"/>
      <c r="EK6" s="344"/>
      <c r="EL6" s="344"/>
      <c r="EM6" s="344"/>
      <c r="EN6" s="344"/>
      <c r="EO6" s="344"/>
      <c r="EP6" s="344"/>
      <c r="EQ6" s="344"/>
      <c r="ER6" s="344"/>
      <c r="ES6" s="344"/>
      <c r="ET6" s="344"/>
      <c r="EU6" s="344"/>
      <c r="EV6" s="344"/>
      <c r="EW6" s="344"/>
      <c r="EX6" s="344"/>
      <c r="EY6" s="344"/>
      <c r="EZ6" s="344"/>
      <c r="FA6" s="344"/>
      <c r="FB6" s="344"/>
      <c r="FC6" s="344"/>
      <c r="FD6" s="344"/>
      <c r="FE6" s="344"/>
      <c r="FF6" s="344"/>
      <c r="FG6" s="344"/>
      <c r="FH6" s="344"/>
      <c r="FI6" s="344"/>
      <c r="FJ6" s="344"/>
      <c r="FK6" s="344"/>
      <c r="FL6" s="344"/>
      <c r="FM6" s="344"/>
      <c r="FN6" s="344"/>
      <c r="FO6" s="344"/>
      <c r="FP6" s="344"/>
      <c r="FQ6" s="344"/>
      <c r="FR6" s="344"/>
      <c r="FS6" s="344"/>
      <c r="FT6" s="344"/>
      <c r="FU6" s="344"/>
      <c r="FV6" s="344"/>
      <c r="FW6" s="344"/>
      <c r="FX6" s="344"/>
      <c r="FY6" s="344"/>
      <c r="FZ6" s="344"/>
      <c r="GA6" s="344"/>
      <c r="GB6" s="344"/>
      <c r="GC6" s="344"/>
      <c r="GD6" s="344"/>
      <c r="GE6" s="344"/>
      <c r="GF6" s="344"/>
      <c r="GG6" s="344"/>
      <c r="GH6" s="344"/>
      <c r="GI6" s="344"/>
      <c r="GJ6" s="344"/>
      <c r="GK6" s="344"/>
      <c r="GL6" s="344"/>
      <c r="GM6" s="344"/>
      <c r="GN6" s="344"/>
      <c r="GO6" s="344"/>
      <c r="GP6" s="344"/>
      <c r="GQ6" s="344"/>
      <c r="GR6" s="344"/>
      <c r="GS6" s="344"/>
      <c r="GT6" s="344"/>
      <c r="GU6" s="344"/>
      <c r="GV6" s="344"/>
      <c r="GW6" s="344"/>
      <c r="GX6" s="344"/>
      <c r="GY6" s="344"/>
      <c r="GZ6" s="344"/>
      <c r="HA6" s="344"/>
      <c r="HB6" s="344"/>
      <c r="HC6" s="344"/>
      <c r="HD6" s="344"/>
      <c r="HE6" s="344"/>
      <c r="HF6" s="344"/>
      <c r="HG6" s="344"/>
      <c r="HH6" s="344"/>
      <c r="HI6" s="344"/>
      <c r="HJ6" s="344"/>
      <c r="HK6" s="344"/>
      <c r="HL6" s="344"/>
      <c r="HM6" s="344"/>
      <c r="HN6" s="344"/>
      <c r="HO6" s="344"/>
      <c r="HP6" s="344"/>
      <c r="HQ6" s="344"/>
      <c r="HR6" s="344"/>
      <c r="HS6" s="344"/>
      <c r="HT6" s="344"/>
      <c r="HU6" s="344"/>
      <c r="HV6" s="344"/>
      <c r="HW6" s="344"/>
      <c r="HX6" s="344"/>
      <c r="HY6" s="344"/>
      <c r="HZ6" s="344"/>
      <c r="IA6" s="344"/>
      <c r="IB6" s="344"/>
      <c r="IC6" s="344"/>
      <c r="ID6" s="344"/>
      <c r="IE6" s="344"/>
      <c r="IF6" s="344"/>
      <c r="IG6" s="344"/>
      <c r="IH6" s="344"/>
      <c r="II6" s="344"/>
      <c r="IJ6" s="344"/>
      <c r="IK6" s="344"/>
      <c r="IL6" s="344"/>
      <c r="IM6" s="344"/>
      <c r="IN6" s="344"/>
      <c r="IO6" s="344"/>
      <c r="IP6" s="344"/>
      <c r="IQ6" s="344"/>
      <c r="IR6" s="344"/>
      <c r="IS6" s="344"/>
      <c r="IT6" s="344"/>
      <c r="IU6" s="344"/>
      <c r="IV6" s="344"/>
    </row>
    <row r="7" spans="1:256" s="656" customFormat="1" ht="24" customHeight="1" thickBot="1">
      <c r="A7" s="192"/>
      <c r="B7" s="192"/>
      <c r="C7" s="192"/>
      <c r="D7" s="192"/>
      <c r="E7" s="193"/>
      <c r="F7" s="192"/>
      <c r="G7" s="194" t="s">
        <v>85</v>
      </c>
      <c r="H7" s="221">
        <f>+SUM(H6:H6)</f>
        <v>859209</v>
      </c>
      <c r="I7" s="221">
        <f>+SUM(I6:I6)</f>
        <v>859209</v>
      </c>
      <c r="J7" s="221">
        <f>+SUM(J6:J6)</f>
        <v>163250</v>
      </c>
      <c r="K7" s="221">
        <f>+SUM(K6:K6)</f>
        <v>0</v>
      </c>
      <c r="L7" s="221">
        <f>+SUM(L6:L6)</f>
        <v>1022459</v>
      </c>
      <c r="M7" s="192"/>
      <c r="N7" s="192"/>
      <c r="O7" s="192"/>
      <c r="P7" s="192"/>
      <c r="Q7" s="192"/>
      <c r="R7" s="192"/>
      <c r="S7" s="192"/>
      <c r="T7" s="192"/>
      <c r="U7" s="192"/>
      <c r="V7" s="192"/>
      <c r="W7" s="192"/>
      <c r="X7" s="192"/>
      <c r="Y7" s="192"/>
      <c r="Z7" s="192"/>
      <c r="AA7" s="192"/>
      <c r="AB7" s="192"/>
      <c r="AC7" s="192"/>
      <c r="AD7" s="192"/>
      <c r="AE7" s="192"/>
      <c r="AF7" s="192"/>
      <c r="AG7" s="192"/>
      <c r="AH7" s="192"/>
      <c r="AI7" s="192"/>
      <c r="AJ7" s="192"/>
      <c r="AK7" s="192"/>
      <c r="AL7" s="192"/>
      <c r="AM7" s="192"/>
      <c r="AN7" s="192"/>
      <c r="AO7" s="192"/>
      <c r="AP7" s="192"/>
      <c r="AQ7" s="192"/>
      <c r="AR7" s="192"/>
      <c r="AS7" s="192"/>
      <c r="AT7" s="192"/>
      <c r="AU7" s="192"/>
      <c r="AV7" s="192"/>
      <c r="AW7" s="192"/>
      <c r="AX7" s="192"/>
      <c r="AY7" s="192"/>
      <c r="AZ7" s="192"/>
      <c r="BA7" s="192"/>
      <c r="BB7" s="192"/>
      <c r="BC7" s="192"/>
      <c r="BD7" s="192"/>
      <c r="BE7" s="192"/>
      <c r="BF7" s="192"/>
      <c r="BG7" s="192"/>
      <c r="BH7" s="192"/>
      <c r="BI7" s="192"/>
      <c r="BJ7" s="192"/>
      <c r="BK7" s="192"/>
      <c r="BL7" s="192"/>
      <c r="BM7" s="192"/>
      <c r="BN7" s="192"/>
      <c r="BO7" s="192"/>
      <c r="BP7" s="192"/>
      <c r="BQ7" s="192"/>
      <c r="BR7" s="192"/>
      <c r="BS7" s="192"/>
      <c r="BT7" s="192"/>
      <c r="BU7" s="192"/>
      <c r="BV7" s="192"/>
      <c r="BW7" s="192"/>
      <c r="BX7" s="192"/>
      <c r="BY7" s="192"/>
      <c r="BZ7" s="192"/>
      <c r="CA7" s="192"/>
      <c r="CB7" s="192"/>
      <c r="CC7" s="192"/>
      <c r="CD7" s="192"/>
      <c r="CE7" s="192"/>
      <c r="CF7" s="192"/>
      <c r="CG7" s="192"/>
      <c r="CH7" s="192"/>
      <c r="CI7" s="192"/>
      <c r="CJ7" s="192"/>
      <c r="CK7" s="192"/>
      <c r="CL7" s="192"/>
      <c r="CM7" s="192"/>
      <c r="CN7" s="192"/>
      <c r="CO7" s="192"/>
      <c r="CP7" s="192"/>
      <c r="CQ7" s="192"/>
      <c r="CR7" s="192"/>
      <c r="CS7" s="192"/>
      <c r="CT7" s="192"/>
      <c r="CU7" s="192"/>
      <c r="CV7" s="192"/>
      <c r="CW7" s="192"/>
      <c r="CX7" s="192"/>
      <c r="CY7" s="192"/>
      <c r="CZ7" s="192"/>
      <c r="DA7" s="192"/>
      <c r="DB7" s="192"/>
      <c r="DC7" s="192"/>
      <c r="DD7" s="192"/>
      <c r="DE7" s="192"/>
      <c r="DF7" s="192"/>
      <c r="DG7" s="192"/>
      <c r="DH7" s="192"/>
      <c r="DI7" s="192"/>
      <c r="DJ7" s="192"/>
      <c r="DK7" s="192"/>
      <c r="DL7" s="192"/>
      <c r="DM7" s="192"/>
      <c r="DN7" s="192"/>
      <c r="DO7" s="192"/>
      <c r="DP7" s="192"/>
      <c r="DQ7" s="192"/>
      <c r="DR7" s="192"/>
      <c r="DS7" s="192"/>
      <c r="DT7" s="192"/>
      <c r="DU7" s="192"/>
      <c r="DV7" s="192"/>
      <c r="DW7" s="192"/>
      <c r="DX7" s="192"/>
      <c r="DY7" s="192"/>
      <c r="DZ7" s="192"/>
      <c r="EA7" s="192"/>
      <c r="EB7" s="192"/>
      <c r="EC7" s="192"/>
      <c r="ED7" s="192"/>
      <c r="EE7" s="192"/>
      <c r="EF7" s="192"/>
      <c r="EG7" s="192"/>
      <c r="EH7" s="192"/>
      <c r="EI7" s="192"/>
      <c r="EJ7" s="192"/>
      <c r="EK7" s="192"/>
      <c r="EL7" s="192"/>
      <c r="EM7" s="192"/>
      <c r="EN7" s="192"/>
      <c r="EO7" s="192"/>
      <c r="EP7" s="192"/>
      <c r="EQ7" s="192"/>
      <c r="ER7" s="192"/>
      <c r="ES7" s="192"/>
      <c r="ET7" s="192"/>
      <c r="EU7" s="192"/>
      <c r="EV7" s="192"/>
      <c r="EW7" s="192"/>
      <c r="EX7" s="192"/>
      <c r="EY7" s="192"/>
      <c r="EZ7" s="192"/>
      <c r="FA7" s="192"/>
      <c r="FB7" s="192"/>
      <c r="FC7" s="192"/>
      <c r="FD7" s="192"/>
      <c r="FE7" s="192"/>
      <c r="FF7" s="192"/>
      <c r="FG7" s="192"/>
      <c r="FH7" s="192"/>
      <c r="FI7" s="192"/>
      <c r="FJ7" s="192"/>
      <c r="FK7" s="192"/>
      <c r="FL7" s="192"/>
      <c r="FM7" s="192"/>
      <c r="FN7" s="192"/>
      <c r="FO7" s="192"/>
      <c r="FP7" s="192"/>
      <c r="FQ7" s="192"/>
      <c r="FR7" s="192"/>
      <c r="FS7" s="192"/>
      <c r="FT7" s="192"/>
      <c r="FU7" s="192"/>
      <c r="FV7" s="192"/>
      <c r="FW7" s="192"/>
      <c r="FX7" s="192"/>
      <c r="FY7" s="192"/>
      <c r="FZ7" s="192"/>
      <c r="GA7" s="192"/>
      <c r="GB7" s="192"/>
      <c r="GC7" s="192"/>
      <c r="GD7" s="192"/>
      <c r="GE7" s="192"/>
      <c r="GF7" s="192"/>
      <c r="GG7" s="192"/>
      <c r="GH7" s="192"/>
      <c r="GI7" s="192"/>
      <c r="GJ7" s="192"/>
      <c r="GK7" s="192"/>
      <c r="GL7" s="192"/>
      <c r="GM7" s="192"/>
      <c r="GN7" s="192"/>
      <c r="GO7" s="192"/>
      <c r="GP7" s="192"/>
      <c r="GQ7" s="192"/>
      <c r="GR7" s="192"/>
      <c r="GS7" s="192"/>
      <c r="GT7" s="192"/>
      <c r="GU7" s="192"/>
      <c r="GV7" s="192"/>
      <c r="GW7" s="192"/>
      <c r="GX7" s="192"/>
      <c r="GY7" s="192"/>
      <c r="GZ7" s="192"/>
      <c r="HA7" s="192"/>
      <c r="HB7" s="192"/>
      <c r="HC7" s="192"/>
      <c r="HD7" s="192"/>
      <c r="HE7" s="192"/>
      <c r="HF7" s="192"/>
      <c r="HG7" s="192"/>
      <c r="HH7" s="192"/>
      <c r="HI7" s="192"/>
      <c r="HJ7" s="192"/>
      <c r="HK7" s="192"/>
      <c r="HL7" s="192"/>
      <c r="HM7" s="192"/>
      <c r="HN7" s="192"/>
      <c r="HO7" s="192"/>
      <c r="HP7" s="192"/>
      <c r="HQ7" s="192"/>
      <c r="HR7" s="192"/>
      <c r="HS7" s="192"/>
      <c r="HT7" s="192"/>
      <c r="HU7" s="192"/>
      <c r="HV7" s="192"/>
      <c r="HW7" s="192"/>
      <c r="HX7" s="192"/>
      <c r="HY7" s="192"/>
      <c r="HZ7" s="192"/>
      <c r="IA7" s="192"/>
      <c r="IB7" s="192"/>
      <c r="IC7" s="192"/>
      <c r="ID7" s="192"/>
      <c r="IE7" s="192"/>
      <c r="IF7" s="192"/>
      <c r="IG7" s="192"/>
      <c r="IH7" s="192"/>
      <c r="II7" s="192"/>
      <c r="IJ7" s="192"/>
      <c r="IK7" s="192"/>
      <c r="IL7" s="192"/>
      <c r="IM7" s="192"/>
      <c r="IN7" s="192"/>
      <c r="IO7" s="192"/>
      <c r="IP7" s="192"/>
      <c r="IQ7" s="192"/>
      <c r="IR7" s="192"/>
      <c r="IS7" s="192"/>
      <c r="IT7" s="192"/>
      <c r="IU7" s="192"/>
      <c r="IV7" s="192"/>
    </row>
    <row r="8" spans="1:256" s="656" customFormat="1" ht="16.5" thickBot="1">
      <c r="A8" s="183"/>
      <c r="B8" s="183"/>
      <c r="C8" s="183"/>
      <c r="D8" s="183"/>
      <c r="E8" s="184"/>
      <c r="F8" s="183"/>
      <c r="G8" s="183"/>
      <c r="H8" s="185"/>
      <c r="I8" s="185"/>
      <c r="J8" s="185"/>
      <c r="K8" s="185"/>
      <c r="L8" s="185"/>
      <c r="M8" s="183"/>
      <c r="N8" s="183"/>
      <c r="O8" s="183"/>
      <c r="P8" s="183"/>
      <c r="Q8" s="183"/>
      <c r="R8" s="183"/>
      <c r="S8" s="183"/>
      <c r="T8" s="183"/>
      <c r="U8" s="183"/>
      <c r="V8" s="183"/>
      <c r="W8" s="183"/>
      <c r="X8" s="183"/>
      <c r="Y8" s="183"/>
      <c r="Z8" s="183"/>
      <c r="AA8" s="183"/>
      <c r="AB8" s="183"/>
      <c r="AC8" s="183"/>
      <c r="AD8" s="183"/>
      <c r="AE8" s="183"/>
      <c r="AF8" s="183"/>
      <c r="AG8" s="183"/>
      <c r="AH8" s="183"/>
      <c r="AI8" s="183"/>
      <c r="AJ8" s="183"/>
      <c r="AK8" s="183"/>
      <c r="AL8" s="183"/>
      <c r="AM8" s="183"/>
      <c r="AN8" s="183"/>
      <c r="AO8" s="183"/>
      <c r="AP8" s="183"/>
      <c r="AQ8" s="183"/>
      <c r="AR8" s="183"/>
      <c r="AS8" s="183"/>
      <c r="AT8" s="183"/>
      <c r="AU8" s="183"/>
      <c r="AV8" s="183"/>
      <c r="AW8" s="183"/>
      <c r="AX8" s="183"/>
      <c r="AY8" s="183"/>
      <c r="AZ8" s="183"/>
      <c r="BA8" s="183"/>
      <c r="BB8" s="183"/>
      <c r="BC8" s="183"/>
      <c r="BD8" s="183"/>
      <c r="BE8" s="183"/>
      <c r="BF8" s="183"/>
      <c r="BG8" s="183"/>
      <c r="BH8" s="183"/>
      <c r="BI8" s="183"/>
      <c r="BJ8" s="183"/>
      <c r="BK8" s="183"/>
      <c r="BL8" s="183"/>
      <c r="BM8" s="183"/>
      <c r="BN8" s="183"/>
      <c r="BO8" s="183"/>
      <c r="BP8" s="183"/>
      <c r="BQ8" s="183"/>
      <c r="BR8" s="183"/>
      <c r="BS8" s="183"/>
      <c r="BT8" s="183"/>
      <c r="BU8" s="183"/>
      <c r="BV8" s="183"/>
      <c r="BW8" s="183"/>
      <c r="BX8" s="183"/>
      <c r="BY8" s="183"/>
      <c r="BZ8" s="183"/>
      <c r="CA8" s="183"/>
      <c r="CB8" s="183"/>
      <c r="CC8" s="183"/>
      <c r="CD8" s="183"/>
      <c r="CE8" s="183"/>
      <c r="CF8" s="183"/>
      <c r="CG8" s="183"/>
      <c r="CH8" s="183"/>
      <c r="CI8" s="183"/>
      <c r="CJ8" s="183"/>
      <c r="CK8" s="183"/>
      <c r="CL8" s="183"/>
      <c r="CM8" s="183"/>
      <c r="CN8" s="183"/>
      <c r="CO8" s="183"/>
      <c r="CP8" s="183"/>
      <c r="CQ8" s="183"/>
      <c r="CR8" s="183"/>
      <c r="CS8" s="183"/>
      <c r="CT8" s="183"/>
      <c r="CU8" s="183"/>
      <c r="CV8" s="183"/>
      <c r="CW8" s="183"/>
      <c r="CX8" s="183"/>
      <c r="CY8" s="183"/>
      <c r="CZ8" s="183"/>
      <c r="DA8" s="183"/>
      <c r="DB8" s="183"/>
      <c r="DC8" s="183"/>
      <c r="DD8" s="183"/>
      <c r="DE8" s="183"/>
      <c r="DF8" s="183"/>
      <c r="DG8" s="183"/>
      <c r="DH8" s="183"/>
      <c r="DI8" s="183"/>
      <c r="DJ8" s="183"/>
      <c r="DK8" s="183"/>
      <c r="DL8" s="183"/>
      <c r="DM8" s="183"/>
      <c r="DN8" s="183"/>
      <c r="DO8" s="183"/>
      <c r="DP8" s="183"/>
      <c r="DQ8" s="183"/>
      <c r="DR8" s="183"/>
      <c r="DS8" s="183"/>
      <c r="DT8" s="183"/>
      <c r="DU8" s="183"/>
      <c r="DV8" s="183"/>
      <c r="DW8" s="183"/>
      <c r="DX8" s="183"/>
      <c r="DY8" s="183"/>
      <c r="DZ8" s="183"/>
      <c r="EA8" s="183"/>
      <c r="EB8" s="183"/>
      <c r="EC8" s="183"/>
      <c r="ED8" s="183"/>
      <c r="EE8" s="183"/>
      <c r="EF8" s="183"/>
      <c r="EG8" s="183"/>
      <c r="EH8" s="183"/>
      <c r="EI8" s="183"/>
      <c r="EJ8" s="183"/>
      <c r="EK8" s="183"/>
      <c r="EL8" s="183"/>
      <c r="EM8" s="183"/>
      <c r="EN8" s="183"/>
      <c r="EO8" s="183"/>
      <c r="EP8" s="183"/>
      <c r="EQ8" s="183"/>
      <c r="ER8" s="183"/>
      <c r="ES8" s="183"/>
      <c r="ET8" s="183"/>
      <c r="EU8" s="183"/>
      <c r="EV8" s="183"/>
      <c r="EW8" s="183"/>
      <c r="EX8" s="183"/>
      <c r="EY8" s="183"/>
      <c r="EZ8" s="183"/>
      <c r="FA8" s="183"/>
      <c r="FB8" s="183"/>
      <c r="FC8" s="183"/>
      <c r="FD8" s="183"/>
      <c r="FE8" s="183"/>
      <c r="FF8" s="183"/>
      <c r="FG8" s="183"/>
      <c r="FH8" s="183"/>
      <c r="FI8" s="183"/>
      <c r="FJ8" s="183"/>
      <c r="FK8" s="183"/>
      <c r="FL8" s="183"/>
      <c r="FM8" s="183"/>
      <c r="FN8" s="183"/>
      <c r="FO8" s="183"/>
      <c r="FP8" s="183"/>
      <c r="FQ8" s="183"/>
      <c r="FR8" s="183"/>
      <c r="FS8" s="183"/>
      <c r="FT8" s="183"/>
      <c r="FU8" s="183"/>
      <c r="FV8" s="183"/>
      <c r="FW8" s="183"/>
      <c r="FX8" s="183"/>
      <c r="FY8" s="183"/>
      <c r="FZ8" s="183"/>
      <c r="GA8" s="183"/>
      <c r="GB8" s="183"/>
      <c r="GC8" s="183"/>
      <c r="GD8" s="183"/>
      <c r="GE8" s="183"/>
      <c r="GF8" s="183"/>
      <c r="GG8" s="183"/>
      <c r="GH8" s="183"/>
      <c r="GI8" s="183"/>
      <c r="GJ8" s="183"/>
      <c r="GK8" s="183"/>
      <c r="GL8" s="183"/>
      <c r="GM8" s="183"/>
      <c r="GN8" s="183"/>
      <c r="GO8" s="183"/>
      <c r="GP8" s="183"/>
      <c r="GQ8" s="183"/>
      <c r="GR8" s="183"/>
      <c r="GS8" s="183"/>
      <c r="GT8" s="183"/>
      <c r="GU8" s="183"/>
      <c r="GV8" s="183"/>
      <c r="GW8" s="183"/>
      <c r="GX8" s="183"/>
      <c r="GY8" s="183"/>
      <c r="GZ8" s="183"/>
      <c r="HA8" s="183"/>
      <c r="HB8" s="183"/>
      <c r="HC8" s="183"/>
      <c r="HD8" s="183"/>
      <c r="HE8" s="183"/>
      <c r="HF8" s="183"/>
      <c r="HG8" s="183"/>
      <c r="HH8" s="183"/>
      <c r="HI8" s="183"/>
      <c r="HJ8" s="183"/>
      <c r="HK8" s="183"/>
      <c r="HL8" s="183"/>
      <c r="HM8" s="183"/>
      <c r="HN8" s="183"/>
      <c r="HO8" s="183"/>
      <c r="HP8" s="183"/>
      <c r="HQ8" s="183"/>
      <c r="HR8" s="183"/>
      <c r="HS8" s="183"/>
      <c r="HT8" s="183"/>
      <c r="HU8" s="183"/>
      <c r="HV8" s="183"/>
      <c r="HW8" s="183"/>
      <c r="HX8" s="183"/>
      <c r="HY8" s="183"/>
      <c r="HZ8" s="183"/>
      <c r="IA8" s="183"/>
      <c r="IB8" s="183"/>
      <c r="IC8" s="183"/>
      <c r="ID8" s="183"/>
      <c r="IE8" s="183"/>
      <c r="IF8" s="183"/>
      <c r="IG8" s="183"/>
      <c r="IH8" s="183"/>
      <c r="II8" s="183"/>
      <c r="IJ8" s="183"/>
      <c r="IK8" s="183"/>
      <c r="IL8" s="183"/>
      <c r="IM8" s="183"/>
      <c r="IN8" s="183"/>
      <c r="IO8" s="183"/>
      <c r="IP8" s="183"/>
      <c r="IQ8" s="183"/>
      <c r="IR8" s="183"/>
      <c r="IS8" s="183"/>
      <c r="IT8" s="183"/>
      <c r="IU8" s="183"/>
      <c r="IV8" s="183"/>
    </row>
    <row r="9" spans="1:256" s="656" customFormat="1" ht="15.75">
      <c r="A9" s="1350"/>
      <c r="B9" s="1350"/>
      <c r="C9" s="1350"/>
      <c r="D9" s="1350"/>
      <c r="E9" s="1350"/>
      <c r="F9" s="183"/>
      <c r="G9" s="195" t="s">
        <v>160</v>
      </c>
      <c r="H9" s="222">
        <f>+I7</f>
        <v>859209</v>
      </c>
      <c r="I9" s="185"/>
      <c r="J9" s="185"/>
      <c r="K9" s="185"/>
      <c r="L9" s="185"/>
      <c r="M9" s="183"/>
      <c r="N9" s="183"/>
      <c r="O9" s="183"/>
      <c r="P9" s="183"/>
      <c r="Q9" s="183"/>
      <c r="R9" s="183"/>
      <c r="S9" s="183"/>
      <c r="T9" s="183"/>
      <c r="U9" s="183"/>
      <c r="V9" s="183"/>
      <c r="W9" s="183"/>
      <c r="X9" s="183"/>
      <c r="Y9" s="183"/>
      <c r="Z9" s="183"/>
      <c r="AA9" s="183"/>
      <c r="AB9" s="183"/>
      <c r="AC9" s="183"/>
      <c r="AD9" s="183"/>
      <c r="AE9" s="183"/>
      <c r="AF9" s="183"/>
      <c r="AG9" s="183"/>
      <c r="AH9" s="183"/>
      <c r="AI9" s="183"/>
      <c r="AJ9" s="183"/>
      <c r="AK9" s="183"/>
      <c r="AL9" s="183"/>
      <c r="AM9" s="183"/>
      <c r="AN9" s="183"/>
      <c r="AO9" s="183"/>
      <c r="AP9" s="183"/>
      <c r="AQ9" s="183"/>
      <c r="AR9" s="183"/>
      <c r="AS9" s="183"/>
      <c r="AT9" s="183"/>
      <c r="AU9" s="183"/>
      <c r="AV9" s="183"/>
      <c r="AW9" s="183"/>
      <c r="AX9" s="183"/>
      <c r="AY9" s="183"/>
      <c r="AZ9" s="183"/>
      <c r="BA9" s="183"/>
      <c r="BB9" s="183"/>
      <c r="BC9" s="183"/>
      <c r="BD9" s="183"/>
      <c r="BE9" s="183"/>
      <c r="BF9" s="183"/>
      <c r="BG9" s="183"/>
      <c r="BH9" s="183"/>
      <c r="BI9" s="183"/>
      <c r="BJ9" s="183"/>
      <c r="BK9" s="183"/>
      <c r="BL9" s="183"/>
      <c r="BM9" s="183"/>
      <c r="BN9" s="183"/>
      <c r="BO9" s="183"/>
      <c r="BP9" s="183"/>
      <c r="BQ9" s="183"/>
      <c r="BR9" s="183"/>
      <c r="BS9" s="183"/>
      <c r="BT9" s="183"/>
      <c r="BU9" s="183"/>
      <c r="BV9" s="183"/>
      <c r="BW9" s="183"/>
      <c r="BX9" s="183"/>
      <c r="BY9" s="183"/>
      <c r="BZ9" s="183"/>
      <c r="CA9" s="183"/>
      <c r="CB9" s="183"/>
      <c r="CC9" s="183"/>
      <c r="CD9" s="183"/>
      <c r="CE9" s="183"/>
      <c r="CF9" s="183"/>
      <c r="CG9" s="183"/>
      <c r="CH9" s="183"/>
      <c r="CI9" s="183"/>
      <c r="CJ9" s="183"/>
      <c r="CK9" s="183"/>
      <c r="CL9" s="183"/>
      <c r="CM9" s="183"/>
      <c r="CN9" s="183"/>
      <c r="CO9" s="183"/>
      <c r="CP9" s="183"/>
      <c r="CQ9" s="183"/>
      <c r="CR9" s="183"/>
      <c r="CS9" s="183"/>
      <c r="CT9" s="183"/>
      <c r="CU9" s="183"/>
      <c r="CV9" s="183"/>
      <c r="CW9" s="183"/>
      <c r="CX9" s="183"/>
      <c r="CY9" s="183"/>
      <c r="CZ9" s="183"/>
      <c r="DA9" s="183"/>
      <c r="DB9" s="183"/>
      <c r="DC9" s="183"/>
      <c r="DD9" s="183"/>
      <c r="DE9" s="183"/>
      <c r="DF9" s="183"/>
      <c r="DG9" s="183"/>
      <c r="DH9" s="183"/>
      <c r="DI9" s="183"/>
      <c r="DJ9" s="183"/>
      <c r="DK9" s="183"/>
      <c r="DL9" s="183"/>
      <c r="DM9" s="183"/>
      <c r="DN9" s="183"/>
      <c r="DO9" s="183"/>
      <c r="DP9" s="183"/>
      <c r="DQ9" s="183"/>
      <c r="DR9" s="183"/>
      <c r="DS9" s="183"/>
      <c r="DT9" s="183"/>
      <c r="DU9" s="183"/>
      <c r="DV9" s="183"/>
      <c r="DW9" s="183"/>
      <c r="DX9" s="183"/>
      <c r="DY9" s="183"/>
      <c r="DZ9" s="183"/>
      <c r="EA9" s="183"/>
      <c r="EB9" s="183"/>
      <c r="EC9" s="183"/>
      <c r="ED9" s="183"/>
      <c r="EE9" s="183"/>
      <c r="EF9" s="183"/>
      <c r="EG9" s="183"/>
      <c r="EH9" s="183"/>
      <c r="EI9" s="183"/>
      <c r="EJ9" s="183"/>
      <c r="EK9" s="183"/>
      <c r="EL9" s="183"/>
      <c r="EM9" s="183"/>
      <c r="EN9" s="183"/>
      <c r="EO9" s="183"/>
      <c r="EP9" s="183"/>
      <c r="EQ9" s="183"/>
      <c r="ER9" s="183"/>
      <c r="ES9" s="183"/>
      <c r="ET9" s="183"/>
      <c r="EU9" s="183"/>
      <c r="EV9" s="183"/>
      <c r="EW9" s="183"/>
      <c r="EX9" s="183"/>
      <c r="EY9" s="183"/>
      <c r="EZ9" s="183"/>
      <c r="FA9" s="183"/>
      <c r="FB9" s="183"/>
      <c r="FC9" s="183"/>
      <c r="FD9" s="183"/>
      <c r="FE9" s="183"/>
      <c r="FF9" s="183"/>
      <c r="FG9" s="183"/>
      <c r="FH9" s="183"/>
      <c r="FI9" s="183"/>
      <c r="FJ9" s="183"/>
      <c r="FK9" s="183"/>
      <c r="FL9" s="183"/>
      <c r="FM9" s="183"/>
      <c r="FN9" s="183"/>
      <c r="FO9" s="183"/>
      <c r="FP9" s="183"/>
      <c r="FQ9" s="183"/>
      <c r="FR9" s="183"/>
      <c r="FS9" s="183"/>
      <c r="FT9" s="183"/>
      <c r="FU9" s="183"/>
      <c r="FV9" s="183"/>
      <c r="FW9" s="183"/>
      <c r="FX9" s="183"/>
      <c r="FY9" s="183"/>
      <c r="FZ9" s="183"/>
      <c r="GA9" s="183"/>
      <c r="GB9" s="183"/>
      <c r="GC9" s="183"/>
      <c r="GD9" s="183"/>
      <c r="GE9" s="183"/>
      <c r="GF9" s="183"/>
      <c r="GG9" s="183"/>
      <c r="GH9" s="183"/>
      <c r="GI9" s="183"/>
      <c r="GJ9" s="183"/>
      <c r="GK9" s="183"/>
      <c r="GL9" s="183"/>
      <c r="GM9" s="183"/>
      <c r="GN9" s="183"/>
      <c r="GO9" s="183"/>
      <c r="GP9" s="183"/>
      <c r="GQ9" s="183"/>
      <c r="GR9" s="183"/>
      <c r="GS9" s="183"/>
      <c r="GT9" s="183"/>
      <c r="GU9" s="183"/>
      <c r="GV9" s="183"/>
      <c r="GW9" s="183"/>
      <c r="GX9" s="183"/>
      <c r="GY9" s="183"/>
      <c r="GZ9" s="183"/>
      <c r="HA9" s="183"/>
      <c r="HB9" s="183"/>
      <c r="HC9" s="183"/>
      <c r="HD9" s="183"/>
      <c r="HE9" s="183"/>
      <c r="HF9" s="183"/>
      <c r="HG9" s="183"/>
      <c r="HH9" s="183"/>
      <c r="HI9" s="183"/>
      <c r="HJ9" s="183"/>
      <c r="HK9" s="183"/>
      <c r="HL9" s="183"/>
      <c r="HM9" s="183"/>
      <c r="HN9" s="183"/>
      <c r="HO9" s="183"/>
      <c r="HP9" s="183"/>
      <c r="HQ9" s="183"/>
      <c r="HR9" s="183"/>
      <c r="HS9" s="183"/>
      <c r="HT9" s="183"/>
      <c r="HU9" s="183"/>
      <c r="HV9" s="183"/>
      <c r="HW9" s="183"/>
      <c r="HX9" s="183"/>
      <c r="HY9" s="183"/>
      <c r="HZ9" s="183"/>
      <c r="IA9" s="183"/>
      <c r="IB9" s="183"/>
      <c r="IC9" s="183"/>
      <c r="ID9" s="183"/>
      <c r="IE9" s="183"/>
      <c r="IF9" s="183"/>
      <c r="IG9" s="183"/>
      <c r="IH9" s="183"/>
      <c r="II9" s="183"/>
      <c r="IJ9" s="183"/>
      <c r="IK9" s="183"/>
      <c r="IL9" s="183"/>
      <c r="IM9" s="183"/>
      <c r="IN9" s="183"/>
      <c r="IO9" s="183"/>
      <c r="IP9" s="183"/>
      <c r="IQ9" s="183"/>
      <c r="IR9" s="183"/>
      <c r="IS9" s="183"/>
      <c r="IT9" s="183"/>
      <c r="IU9" s="183"/>
      <c r="IV9" s="183"/>
    </row>
    <row r="10" spans="1:256" s="656" customFormat="1" ht="15.75">
      <c r="A10" s="1350"/>
      <c r="B10" s="1350"/>
      <c r="C10" s="1350"/>
      <c r="D10" s="1350"/>
      <c r="E10" s="1350"/>
      <c r="F10" s="183"/>
      <c r="G10" s="196" t="s">
        <v>161</v>
      </c>
      <c r="H10" s="223">
        <v>0</v>
      </c>
      <c r="I10" s="185"/>
      <c r="J10" s="185"/>
      <c r="K10" s="185"/>
      <c r="L10" s="185"/>
      <c r="M10" s="183"/>
      <c r="N10" s="183"/>
      <c r="O10" s="183"/>
      <c r="P10" s="183"/>
      <c r="Q10" s="183"/>
      <c r="R10" s="183"/>
      <c r="S10" s="183"/>
      <c r="T10" s="183"/>
      <c r="U10" s="183"/>
      <c r="V10" s="183"/>
      <c r="W10" s="183"/>
      <c r="X10" s="183"/>
      <c r="Y10" s="183"/>
      <c r="Z10" s="183"/>
      <c r="AA10" s="183"/>
      <c r="AB10" s="183"/>
      <c r="AC10" s="183"/>
      <c r="AD10" s="183"/>
      <c r="AE10" s="183"/>
      <c r="AF10" s="183"/>
      <c r="AG10" s="183"/>
      <c r="AH10" s="183"/>
      <c r="AI10" s="183"/>
      <c r="AJ10" s="183"/>
      <c r="AK10" s="183"/>
      <c r="AL10" s="183"/>
      <c r="AM10" s="183"/>
      <c r="AN10" s="183"/>
      <c r="AO10" s="183"/>
      <c r="AP10" s="183"/>
      <c r="AQ10" s="183"/>
      <c r="AR10" s="183"/>
      <c r="AS10" s="183"/>
      <c r="AT10" s="183"/>
      <c r="AU10" s="183"/>
      <c r="AV10" s="183"/>
      <c r="AW10" s="183"/>
      <c r="AX10" s="183"/>
      <c r="AY10" s="183"/>
      <c r="AZ10" s="183"/>
      <c r="BA10" s="183"/>
      <c r="BB10" s="183"/>
      <c r="BC10" s="183"/>
      <c r="BD10" s="183"/>
      <c r="BE10" s="183"/>
      <c r="BF10" s="183"/>
      <c r="BG10" s="183"/>
      <c r="BH10" s="183"/>
      <c r="BI10" s="183"/>
      <c r="BJ10" s="183"/>
      <c r="BK10" s="183"/>
      <c r="BL10" s="183"/>
      <c r="BM10" s="183"/>
      <c r="BN10" s="183"/>
      <c r="BO10" s="183"/>
      <c r="BP10" s="183"/>
      <c r="BQ10" s="183"/>
      <c r="BR10" s="183"/>
      <c r="BS10" s="183"/>
      <c r="BT10" s="183"/>
      <c r="BU10" s="183"/>
      <c r="BV10" s="183"/>
      <c r="BW10" s="183"/>
      <c r="BX10" s="183"/>
      <c r="BY10" s="183"/>
      <c r="BZ10" s="183"/>
      <c r="CA10" s="183"/>
      <c r="CB10" s="183"/>
      <c r="CC10" s="183"/>
      <c r="CD10" s="183"/>
      <c r="CE10" s="183"/>
      <c r="CF10" s="183"/>
      <c r="CG10" s="183"/>
      <c r="CH10" s="183"/>
      <c r="CI10" s="183"/>
      <c r="CJ10" s="183"/>
      <c r="CK10" s="183"/>
      <c r="CL10" s="183"/>
      <c r="CM10" s="183"/>
      <c r="CN10" s="183"/>
      <c r="CO10" s="183"/>
      <c r="CP10" s="183"/>
      <c r="CQ10" s="183"/>
      <c r="CR10" s="183"/>
      <c r="CS10" s="183"/>
      <c r="CT10" s="183"/>
      <c r="CU10" s="183"/>
      <c r="CV10" s="183"/>
      <c r="CW10" s="183"/>
      <c r="CX10" s="183"/>
      <c r="CY10" s="183"/>
      <c r="CZ10" s="183"/>
      <c r="DA10" s="183"/>
      <c r="DB10" s="183"/>
      <c r="DC10" s="183"/>
      <c r="DD10" s="183"/>
      <c r="DE10" s="183"/>
      <c r="DF10" s="183"/>
      <c r="DG10" s="183"/>
      <c r="DH10" s="183"/>
      <c r="DI10" s="183"/>
      <c r="DJ10" s="183"/>
      <c r="DK10" s="183"/>
      <c r="DL10" s="183"/>
      <c r="DM10" s="183"/>
      <c r="DN10" s="183"/>
      <c r="DO10" s="183"/>
      <c r="DP10" s="183"/>
      <c r="DQ10" s="183"/>
      <c r="DR10" s="183"/>
      <c r="DS10" s="183"/>
      <c r="DT10" s="183"/>
      <c r="DU10" s="183"/>
      <c r="DV10" s="183"/>
      <c r="DW10" s="183"/>
      <c r="DX10" s="183"/>
      <c r="DY10" s="183"/>
      <c r="DZ10" s="183"/>
      <c r="EA10" s="183"/>
      <c r="EB10" s="183"/>
      <c r="EC10" s="183"/>
      <c r="ED10" s="183"/>
      <c r="EE10" s="183"/>
      <c r="EF10" s="183"/>
      <c r="EG10" s="183"/>
      <c r="EH10" s="183"/>
      <c r="EI10" s="183"/>
      <c r="EJ10" s="183"/>
      <c r="EK10" s="183"/>
      <c r="EL10" s="183"/>
      <c r="EM10" s="183"/>
      <c r="EN10" s="183"/>
      <c r="EO10" s="183"/>
      <c r="EP10" s="183"/>
      <c r="EQ10" s="183"/>
      <c r="ER10" s="183"/>
      <c r="ES10" s="183"/>
      <c r="ET10" s="183"/>
      <c r="EU10" s="183"/>
      <c r="EV10" s="183"/>
      <c r="EW10" s="183"/>
      <c r="EX10" s="183"/>
      <c r="EY10" s="183"/>
      <c r="EZ10" s="183"/>
      <c r="FA10" s="183"/>
      <c r="FB10" s="183"/>
      <c r="FC10" s="183"/>
      <c r="FD10" s="183"/>
      <c r="FE10" s="183"/>
      <c r="FF10" s="183"/>
      <c r="FG10" s="183"/>
      <c r="FH10" s="183"/>
      <c r="FI10" s="183"/>
      <c r="FJ10" s="183"/>
      <c r="FK10" s="183"/>
      <c r="FL10" s="183"/>
      <c r="FM10" s="183"/>
      <c r="FN10" s="183"/>
      <c r="FO10" s="183"/>
      <c r="FP10" s="183"/>
      <c r="FQ10" s="183"/>
      <c r="FR10" s="183"/>
      <c r="FS10" s="183"/>
      <c r="FT10" s="183"/>
      <c r="FU10" s="183"/>
      <c r="FV10" s="183"/>
      <c r="FW10" s="183"/>
      <c r="FX10" s="183"/>
      <c r="FY10" s="183"/>
      <c r="FZ10" s="183"/>
      <c r="GA10" s="183"/>
      <c r="GB10" s="183"/>
      <c r="GC10" s="183"/>
      <c r="GD10" s="183"/>
      <c r="GE10" s="183"/>
      <c r="GF10" s="183"/>
      <c r="GG10" s="183"/>
      <c r="GH10" s="183"/>
      <c r="GI10" s="183"/>
      <c r="GJ10" s="183"/>
      <c r="GK10" s="183"/>
      <c r="GL10" s="183"/>
      <c r="GM10" s="183"/>
      <c r="GN10" s="183"/>
      <c r="GO10" s="183"/>
      <c r="GP10" s="183"/>
      <c r="GQ10" s="183"/>
      <c r="GR10" s="183"/>
      <c r="GS10" s="183"/>
      <c r="GT10" s="183"/>
      <c r="GU10" s="183"/>
      <c r="GV10" s="183"/>
      <c r="GW10" s="183"/>
      <c r="GX10" s="183"/>
      <c r="GY10" s="183"/>
      <c r="GZ10" s="183"/>
      <c r="HA10" s="183"/>
      <c r="HB10" s="183"/>
      <c r="HC10" s="183"/>
      <c r="HD10" s="183"/>
      <c r="HE10" s="183"/>
      <c r="HF10" s="183"/>
      <c r="HG10" s="183"/>
      <c r="HH10" s="183"/>
      <c r="HI10" s="183"/>
      <c r="HJ10" s="183"/>
      <c r="HK10" s="183"/>
      <c r="HL10" s="183"/>
      <c r="HM10" s="183"/>
      <c r="HN10" s="183"/>
      <c r="HO10" s="183"/>
      <c r="HP10" s="183"/>
      <c r="HQ10" s="183"/>
      <c r="HR10" s="183"/>
      <c r="HS10" s="183"/>
      <c r="HT10" s="183"/>
      <c r="HU10" s="183"/>
      <c r="HV10" s="183"/>
      <c r="HW10" s="183"/>
      <c r="HX10" s="183"/>
      <c r="HY10" s="183"/>
      <c r="HZ10" s="183"/>
      <c r="IA10" s="183"/>
      <c r="IB10" s="183"/>
      <c r="IC10" s="183"/>
      <c r="ID10" s="183"/>
      <c r="IE10" s="183"/>
      <c r="IF10" s="183"/>
      <c r="IG10" s="183"/>
      <c r="IH10" s="183"/>
      <c r="II10" s="183"/>
      <c r="IJ10" s="183"/>
      <c r="IK10" s="183"/>
      <c r="IL10" s="183"/>
      <c r="IM10" s="183"/>
      <c r="IN10" s="183"/>
      <c r="IO10" s="183"/>
      <c r="IP10" s="183"/>
      <c r="IQ10" s="183"/>
      <c r="IR10" s="183"/>
      <c r="IS10" s="183"/>
      <c r="IT10" s="183"/>
      <c r="IU10" s="183"/>
      <c r="IV10" s="183"/>
    </row>
    <row r="11" spans="1:256" s="656" customFormat="1" ht="15.75">
      <c r="A11" s="1350"/>
      <c r="B11" s="1350"/>
      <c r="C11" s="1350"/>
      <c r="D11" s="1350"/>
      <c r="E11" s="1350"/>
      <c r="F11" s="183"/>
      <c r="G11" s="196" t="s">
        <v>162</v>
      </c>
      <c r="H11" s="223">
        <f>+H9+H10</f>
        <v>859209</v>
      </c>
      <c r="I11" s="185"/>
      <c r="J11" s="185"/>
      <c r="K11" s="185"/>
      <c r="L11" s="185"/>
      <c r="M11" s="183"/>
      <c r="N11" s="183"/>
      <c r="O11" s="183"/>
      <c r="P11" s="183"/>
      <c r="Q11" s="183"/>
      <c r="R11" s="183"/>
      <c r="S11" s="183"/>
      <c r="T11" s="183"/>
      <c r="U11" s="183"/>
      <c r="V11" s="183"/>
      <c r="W11" s="183"/>
      <c r="X11" s="183"/>
      <c r="Y11" s="183"/>
      <c r="Z11" s="183"/>
      <c r="AA11" s="183"/>
      <c r="AB11" s="183"/>
      <c r="AC11" s="183"/>
      <c r="AD11" s="183"/>
      <c r="AE11" s="183"/>
      <c r="AF11" s="183"/>
      <c r="AG11" s="183"/>
      <c r="AH11" s="183"/>
      <c r="AI11" s="183"/>
      <c r="AJ11" s="183"/>
      <c r="AK11" s="183"/>
      <c r="AL11" s="183"/>
      <c r="AM11" s="183"/>
      <c r="AN11" s="183"/>
      <c r="AO11" s="183"/>
      <c r="AP11" s="183"/>
      <c r="AQ11" s="183"/>
      <c r="AR11" s="183"/>
      <c r="AS11" s="183"/>
      <c r="AT11" s="183"/>
      <c r="AU11" s="183"/>
      <c r="AV11" s="183"/>
      <c r="AW11" s="183"/>
      <c r="AX11" s="183"/>
      <c r="AY11" s="183"/>
      <c r="AZ11" s="183"/>
      <c r="BA11" s="183"/>
      <c r="BB11" s="183"/>
      <c r="BC11" s="183"/>
      <c r="BD11" s="183"/>
      <c r="BE11" s="183"/>
      <c r="BF11" s="183"/>
      <c r="BG11" s="183"/>
      <c r="BH11" s="183"/>
      <c r="BI11" s="183"/>
      <c r="BJ11" s="183"/>
      <c r="BK11" s="183"/>
      <c r="BL11" s="183"/>
      <c r="BM11" s="183"/>
      <c r="BN11" s="183"/>
      <c r="BO11" s="183"/>
      <c r="BP11" s="183"/>
      <c r="BQ11" s="183"/>
      <c r="BR11" s="183"/>
      <c r="BS11" s="183"/>
      <c r="BT11" s="183"/>
      <c r="BU11" s="183"/>
      <c r="BV11" s="183"/>
      <c r="BW11" s="183"/>
      <c r="BX11" s="183"/>
      <c r="BY11" s="183"/>
      <c r="BZ11" s="183"/>
      <c r="CA11" s="183"/>
      <c r="CB11" s="183"/>
      <c r="CC11" s="183"/>
      <c r="CD11" s="183"/>
      <c r="CE11" s="183"/>
      <c r="CF11" s="183"/>
      <c r="CG11" s="183"/>
      <c r="CH11" s="183"/>
      <c r="CI11" s="183"/>
      <c r="CJ11" s="183"/>
      <c r="CK11" s="183"/>
      <c r="CL11" s="183"/>
      <c r="CM11" s="183"/>
      <c r="CN11" s="183"/>
      <c r="CO11" s="183"/>
      <c r="CP11" s="183"/>
      <c r="CQ11" s="183"/>
      <c r="CR11" s="183"/>
      <c r="CS11" s="183"/>
      <c r="CT11" s="183"/>
      <c r="CU11" s="183"/>
      <c r="CV11" s="183"/>
      <c r="CW11" s="183"/>
      <c r="CX11" s="183"/>
      <c r="CY11" s="183"/>
      <c r="CZ11" s="183"/>
      <c r="DA11" s="183"/>
      <c r="DB11" s="183"/>
      <c r="DC11" s="183"/>
      <c r="DD11" s="183"/>
      <c r="DE11" s="183"/>
      <c r="DF11" s="183"/>
      <c r="DG11" s="183"/>
      <c r="DH11" s="183"/>
      <c r="DI11" s="183"/>
      <c r="DJ11" s="183"/>
      <c r="DK11" s="183"/>
      <c r="DL11" s="183"/>
      <c r="DM11" s="183"/>
      <c r="DN11" s="183"/>
      <c r="DO11" s="183"/>
      <c r="DP11" s="183"/>
      <c r="DQ11" s="183"/>
      <c r="DR11" s="183"/>
      <c r="DS11" s="183"/>
      <c r="DT11" s="183"/>
      <c r="DU11" s="183"/>
      <c r="DV11" s="183"/>
      <c r="DW11" s="183"/>
      <c r="DX11" s="183"/>
      <c r="DY11" s="183"/>
      <c r="DZ11" s="183"/>
      <c r="EA11" s="183"/>
      <c r="EB11" s="183"/>
      <c r="EC11" s="183"/>
      <c r="ED11" s="183"/>
      <c r="EE11" s="183"/>
      <c r="EF11" s="183"/>
      <c r="EG11" s="183"/>
      <c r="EH11" s="183"/>
      <c r="EI11" s="183"/>
      <c r="EJ11" s="183"/>
      <c r="EK11" s="183"/>
      <c r="EL11" s="183"/>
      <c r="EM11" s="183"/>
      <c r="EN11" s="183"/>
      <c r="EO11" s="183"/>
      <c r="EP11" s="183"/>
      <c r="EQ11" s="183"/>
      <c r="ER11" s="183"/>
      <c r="ES11" s="183"/>
      <c r="ET11" s="183"/>
      <c r="EU11" s="183"/>
      <c r="EV11" s="183"/>
      <c r="EW11" s="183"/>
      <c r="EX11" s="183"/>
      <c r="EY11" s="183"/>
      <c r="EZ11" s="183"/>
      <c r="FA11" s="183"/>
      <c r="FB11" s="183"/>
      <c r="FC11" s="183"/>
      <c r="FD11" s="183"/>
      <c r="FE11" s="183"/>
      <c r="FF11" s="183"/>
      <c r="FG11" s="183"/>
      <c r="FH11" s="183"/>
      <c r="FI11" s="183"/>
      <c r="FJ11" s="183"/>
      <c r="FK11" s="183"/>
      <c r="FL11" s="183"/>
      <c r="FM11" s="183"/>
      <c r="FN11" s="183"/>
      <c r="FO11" s="183"/>
      <c r="FP11" s="183"/>
      <c r="FQ11" s="183"/>
      <c r="FR11" s="183"/>
      <c r="FS11" s="183"/>
      <c r="FT11" s="183"/>
      <c r="FU11" s="183"/>
      <c r="FV11" s="183"/>
      <c r="FW11" s="183"/>
      <c r="FX11" s="183"/>
      <c r="FY11" s="183"/>
      <c r="FZ11" s="183"/>
      <c r="GA11" s="183"/>
      <c r="GB11" s="183"/>
      <c r="GC11" s="183"/>
      <c r="GD11" s="183"/>
      <c r="GE11" s="183"/>
      <c r="GF11" s="183"/>
      <c r="GG11" s="183"/>
      <c r="GH11" s="183"/>
      <c r="GI11" s="183"/>
      <c r="GJ11" s="183"/>
      <c r="GK11" s="183"/>
      <c r="GL11" s="183"/>
      <c r="GM11" s="183"/>
      <c r="GN11" s="183"/>
      <c r="GO11" s="183"/>
      <c r="GP11" s="183"/>
      <c r="GQ11" s="183"/>
      <c r="GR11" s="183"/>
      <c r="GS11" s="183"/>
      <c r="GT11" s="183"/>
      <c r="GU11" s="183"/>
      <c r="GV11" s="183"/>
      <c r="GW11" s="183"/>
      <c r="GX11" s="183"/>
      <c r="GY11" s="183"/>
      <c r="GZ11" s="183"/>
      <c r="HA11" s="183"/>
      <c r="HB11" s="183"/>
      <c r="HC11" s="183"/>
      <c r="HD11" s="183"/>
      <c r="HE11" s="183"/>
      <c r="HF11" s="183"/>
      <c r="HG11" s="183"/>
      <c r="HH11" s="183"/>
      <c r="HI11" s="183"/>
      <c r="HJ11" s="183"/>
      <c r="HK11" s="183"/>
      <c r="HL11" s="183"/>
      <c r="HM11" s="183"/>
      <c r="HN11" s="183"/>
      <c r="HO11" s="183"/>
      <c r="HP11" s="183"/>
      <c r="HQ11" s="183"/>
      <c r="HR11" s="183"/>
      <c r="HS11" s="183"/>
      <c r="HT11" s="183"/>
      <c r="HU11" s="183"/>
      <c r="HV11" s="183"/>
      <c r="HW11" s="183"/>
      <c r="HX11" s="183"/>
      <c r="HY11" s="183"/>
      <c r="HZ11" s="183"/>
      <c r="IA11" s="183"/>
      <c r="IB11" s="183"/>
      <c r="IC11" s="183"/>
      <c r="ID11" s="183"/>
      <c r="IE11" s="183"/>
      <c r="IF11" s="183"/>
      <c r="IG11" s="183"/>
      <c r="IH11" s="183"/>
      <c r="II11" s="183"/>
      <c r="IJ11" s="183"/>
      <c r="IK11" s="183"/>
      <c r="IL11" s="183"/>
      <c r="IM11" s="183"/>
      <c r="IN11" s="183"/>
      <c r="IO11" s="183"/>
      <c r="IP11" s="183"/>
      <c r="IQ11" s="183"/>
      <c r="IR11" s="183"/>
      <c r="IS11" s="183"/>
      <c r="IT11" s="183"/>
      <c r="IU11" s="183"/>
      <c r="IV11" s="183"/>
    </row>
    <row r="12" spans="1:256" s="656" customFormat="1" ht="15.75">
      <c r="A12" s="183"/>
      <c r="B12" s="183"/>
      <c r="C12" s="183"/>
      <c r="D12" s="183"/>
      <c r="E12" s="184"/>
      <c r="F12" s="183"/>
      <c r="G12" s="196" t="s">
        <v>163</v>
      </c>
      <c r="H12" s="223">
        <f>+J7</f>
        <v>163250</v>
      </c>
      <c r="I12" s="185"/>
      <c r="J12" s="185"/>
      <c r="K12" s="185"/>
      <c r="L12" s="185"/>
      <c r="M12" s="183"/>
      <c r="N12" s="183"/>
      <c r="O12" s="183"/>
      <c r="P12" s="183"/>
      <c r="Q12" s="183"/>
      <c r="R12" s="183"/>
      <c r="S12" s="183"/>
      <c r="T12" s="183"/>
      <c r="U12" s="183"/>
      <c r="V12" s="183"/>
      <c r="W12" s="183"/>
      <c r="X12" s="183"/>
      <c r="Y12" s="183"/>
      <c r="Z12" s="183"/>
      <c r="AA12" s="183"/>
      <c r="AB12" s="183"/>
      <c r="AC12" s="183"/>
      <c r="AD12" s="183"/>
      <c r="AE12" s="183"/>
      <c r="AF12" s="183"/>
      <c r="AG12" s="183"/>
      <c r="AH12" s="183"/>
      <c r="AI12" s="183"/>
      <c r="AJ12" s="183"/>
      <c r="AK12" s="183"/>
      <c r="AL12" s="183"/>
      <c r="AM12" s="183"/>
      <c r="AN12" s="183"/>
      <c r="AO12" s="183"/>
      <c r="AP12" s="183"/>
      <c r="AQ12" s="183"/>
      <c r="AR12" s="183"/>
      <c r="AS12" s="183"/>
      <c r="AT12" s="183"/>
      <c r="AU12" s="183"/>
      <c r="AV12" s="183"/>
      <c r="AW12" s="183"/>
      <c r="AX12" s="183"/>
      <c r="AY12" s="183"/>
      <c r="AZ12" s="183"/>
      <c r="BA12" s="183"/>
      <c r="BB12" s="183"/>
      <c r="BC12" s="183"/>
      <c r="BD12" s="183"/>
      <c r="BE12" s="183"/>
      <c r="BF12" s="183"/>
      <c r="BG12" s="183"/>
      <c r="BH12" s="183"/>
      <c r="BI12" s="183"/>
      <c r="BJ12" s="183"/>
      <c r="BK12" s="183"/>
      <c r="BL12" s="183"/>
      <c r="BM12" s="183"/>
      <c r="BN12" s="183"/>
      <c r="BO12" s="183"/>
      <c r="BP12" s="183"/>
      <c r="BQ12" s="183"/>
      <c r="BR12" s="183"/>
      <c r="BS12" s="183"/>
      <c r="BT12" s="183"/>
      <c r="BU12" s="183"/>
      <c r="BV12" s="183"/>
      <c r="BW12" s="183"/>
      <c r="BX12" s="183"/>
      <c r="BY12" s="183"/>
      <c r="BZ12" s="183"/>
      <c r="CA12" s="183"/>
      <c r="CB12" s="183"/>
      <c r="CC12" s="183"/>
      <c r="CD12" s="183"/>
      <c r="CE12" s="183"/>
      <c r="CF12" s="183"/>
      <c r="CG12" s="183"/>
      <c r="CH12" s="183"/>
      <c r="CI12" s="183"/>
      <c r="CJ12" s="183"/>
      <c r="CK12" s="183"/>
      <c r="CL12" s="183"/>
      <c r="CM12" s="183"/>
      <c r="CN12" s="183"/>
      <c r="CO12" s="183"/>
      <c r="CP12" s="183"/>
      <c r="CQ12" s="183"/>
      <c r="CR12" s="183"/>
      <c r="CS12" s="183"/>
      <c r="CT12" s="183"/>
      <c r="CU12" s="183"/>
      <c r="CV12" s="183"/>
      <c r="CW12" s="183"/>
      <c r="CX12" s="183"/>
      <c r="CY12" s="183"/>
      <c r="CZ12" s="183"/>
      <c r="DA12" s="183"/>
      <c r="DB12" s="183"/>
      <c r="DC12" s="183"/>
      <c r="DD12" s="183"/>
      <c r="DE12" s="183"/>
      <c r="DF12" s="183"/>
      <c r="DG12" s="183"/>
      <c r="DH12" s="183"/>
      <c r="DI12" s="183"/>
      <c r="DJ12" s="183"/>
      <c r="DK12" s="183"/>
      <c r="DL12" s="183"/>
      <c r="DM12" s="183"/>
      <c r="DN12" s="183"/>
      <c r="DO12" s="183"/>
      <c r="DP12" s="183"/>
      <c r="DQ12" s="183"/>
      <c r="DR12" s="183"/>
      <c r="DS12" s="183"/>
      <c r="DT12" s="183"/>
      <c r="DU12" s="183"/>
      <c r="DV12" s="183"/>
      <c r="DW12" s="183"/>
      <c r="DX12" s="183"/>
      <c r="DY12" s="183"/>
      <c r="DZ12" s="183"/>
      <c r="EA12" s="183"/>
      <c r="EB12" s="183"/>
      <c r="EC12" s="183"/>
      <c r="ED12" s="183"/>
      <c r="EE12" s="183"/>
      <c r="EF12" s="183"/>
      <c r="EG12" s="183"/>
      <c r="EH12" s="183"/>
      <c r="EI12" s="183"/>
      <c r="EJ12" s="183"/>
      <c r="EK12" s="183"/>
      <c r="EL12" s="183"/>
      <c r="EM12" s="183"/>
      <c r="EN12" s="183"/>
      <c r="EO12" s="183"/>
      <c r="EP12" s="183"/>
      <c r="EQ12" s="183"/>
      <c r="ER12" s="183"/>
      <c r="ES12" s="183"/>
      <c r="ET12" s="183"/>
      <c r="EU12" s="183"/>
      <c r="EV12" s="183"/>
      <c r="EW12" s="183"/>
      <c r="EX12" s="183"/>
      <c r="EY12" s="183"/>
      <c r="EZ12" s="183"/>
      <c r="FA12" s="183"/>
      <c r="FB12" s="183"/>
      <c r="FC12" s="183"/>
      <c r="FD12" s="183"/>
      <c r="FE12" s="183"/>
      <c r="FF12" s="183"/>
      <c r="FG12" s="183"/>
      <c r="FH12" s="183"/>
      <c r="FI12" s="183"/>
      <c r="FJ12" s="183"/>
      <c r="FK12" s="183"/>
      <c r="FL12" s="183"/>
      <c r="FM12" s="183"/>
      <c r="FN12" s="183"/>
      <c r="FO12" s="183"/>
      <c r="FP12" s="183"/>
      <c r="FQ12" s="183"/>
      <c r="FR12" s="183"/>
      <c r="FS12" s="183"/>
      <c r="FT12" s="183"/>
      <c r="FU12" s="183"/>
      <c r="FV12" s="183"/>
      <c r="FW12" s="183"/>
      <c r="FX12" s="183"/>
      <c r="FY12" s="183"/>
      <c r="FZ12" s="183"/>
      <c r="GA12" s="183"/>
      <c r="GB12" s="183"/>
      <c r="GC12" s="183"/>
      <c r="GD12" s="183"/>
      <c r="GE12" s="183"/>
      <c r="GF12" s="183"/>
      <c r="GG12" s="183"/>
      <c r="GH12" s="183"/>
      <c r="GI12" s="183"/>
      <c r="GJ12" s="183"/>
      <c r="GK12" s="183"/>
      <c r="GL12" s="183"/>
      <c r="GM12" s="183"/>
      <c r="GN12" s="183"/>
      <c r="GO12" s="183"/>
      <c r="GP12" s="183"/>
      <c r="GQ12" s="183"/>
      <c r="GR12" s="183"/>
      <c r="GS12" s="183"/>
      <c r="GT12" s="183"/>
      <c r="GU12" s="183"/>
      <c r="GV12" s="183"/>
      <c r="GW12" s="183"/>
      <c r="GX12" s="183"/>
      <c r="GY12" s="183"/>
      <c r="GZ12" s="183"/>
      <c r="HA12" s="183"/>
      <c r="HB12" s="183"/>
      <c r="HC12" s="183"/>
      <c r="HD12" s="183"/>
      <c r="HE12" s="183"/>
      <c r="HF12" s="183"/>
      <c r="HG12" s="183"/>
      <c r="HH12" s="183"/>
      <c r="HI12" s="183"/>
      <c r="HJ12" s="183"/>
      <c r="HK12" s="183"/>
      <c r="HL12" s="183"/>
      <c r="HM12" s="183"/>
      <c r="HN12" s="183"/>
      <c r="HO12" s="183"/>
      <c r="HP12" s="183"/>
      <c r="HQ12" s="183"/>
      <c r="HR12" s="183"/>
      <c r="HS12" s="183"/>
      <c r="HT12" s="183"/>
      <c r="HU12" s="183"/>
      <c r="HV12" s="183"/>
      <c r="HW12" s="183"/>
      <c r="HX12" s="183"/>
      <c r="HY12" s="183"/>
      <c r="HZ12" s="183"/>
      <c r="IA12" s="183"/>
      <c r="IB12" s="183"/>
      <c r="IC12" s="183"/>
      <c r="ID12" s="183"/>
      <c r="IE12" s="183"/>
      <c r="IF12" s="183"/>
      <c r="IG12" s="183"/>
      <c r="IH12" s="183"/>
      <c r="II12" s="183"/>
      <c r="IJ12" s="183"/>
      <c r="IK12" s="183"/>
      <c r="IL12" s="183"/>
      <c r="IM12" s="183"/>
      <c r="IN12" s="183"/>
      <c r="IO12" s="183"/>
      <c r="IP12" s="183"/>
      <c r="IQ12" s="183"/>
      <c r="IR12" s="183"/>
      <c r="IS12" s="183"/>
      <c r="IT12" s="183"/>
      <c r="IU12" s="183"/>
      <c r="IV12" s="183"/>
    </row>
    <row r="13" spans="1:256" s="656" customFormat="1" ht="15.75">
      <c r="A13" s="183"/>
      <c r="B13" s="183"/>
      <c r="C13" s="183"/>
      <c r="D13" s="183"/>
      <c r="E13" s="184"/>
      <c r="F13" s="183"/>
      <c r="G13" s="196" t="s">
        <v>164</v>
      </c>
      <c r="H13" s="223">
        <f>+K7</f>
        <v>0</v>
      </c>
      <c r="I13" s="185"/>
      <c r="J13" s="185"/>
      <c r="K13" s="185"/>
      <c r="L13" s="185"/>
      <c r="M13" s="183"/>
      <c r="N13" s="183"/>
      <c r="O13" s="183"/>
      <c r="P13" s="183"/>
      <c r="Q13" s="183"/>
      <c r="R13" s="183"/>
      <c r="S13" s="183"/>
      <c r="T13" s="183"/>
      <c r="U13" s="183"/>
      <c r="V13" s="183"/>
      <c r="W13" s="183"/>
      <c r="X13" s="183"/>
      <c r="Y13" s="183"/>
      <c r="Z13" s="183"/>
      <c r="AA13" s="183"/>
      <c r="AB13" s="183"/>
      <c r="AC13" s="183"/>
      <c r="AD13" s="183"/>
      <c r="AE13" s="183"/>
      <c r="AF13" s="183"/>
      <c r="AG13" s="183"/>
      <c r="AH13" s="183"/>
      <c r="AI13" s="183"/>
      <c r="AJ13" s="183"/>
      <c r="AK13" s="183"/>
      <c r="AL13" s="183"/>
      <c r="AM13" s="183"/>
      <c r="AN13" s="183"/>
      <c r="AO13" s="183"/>
      <c r="AP13" s="183"/>
      <c r="AQ13" s="183"/>
      <c r="AR13" s="183"/>
      <c r="AS13" s="183"/>
      <c r="AT13" s="183"/>
      <c r="AU13" s="183"/>
      <c r="AV13" s="183"/>
      <c r="AW13" s="183"/>
      <c r="AX13" s="183"/>
      <c r="AY13" s="183"/>
      <c r="AZ13" s="183"/>
      <c r="BA13" s="183"/>
      <c r="BB13" s="183"/>
      <c r="BC13" s="183"/>
      <c r="BD13" s="183"/>
      <c r="BE13" s="183"/>
      <c r="BF13" s="183"/>
      <c r="BG13" s="183"/>
      <c r="BH13" s="183"/>
      <c r="BI13" s="183"/>
      <c r="BJ13" s="183"/>
      <c r="BK13" s="183"/>
      <c r="BL13" s="183"/>
      <c r="BM13" s="183"/>
      <c r="BN13" s="183"/>
      <c r="BO13" s="183"/>
      <c r="BP13" s="183"/>
      <c r="BQ13" s="183"/>
      <c r="BR13" s="183"/>
      <c r="BS13" s="183"/>
      <c r="BT13" s="183"/>
      <c r="BU13" s="183"/>
      <c r="BV13" s="183"/>
      <c r="BW13" s="183"/>
      <c r="BX13" s="183"/>
      <c r="BY13" s="183"/>
      <c r="BZ13" s="183"/>
      <c r="CA13" s="183"/>
      <c r="CB13" s="183"/>
      <c r="CC13" s="183"/>
      <c r="CD13" s="183"/>
      <c r="CE13" s="183"/>
      <c r="CF13" s="183"/>
      <c r="CG13" s="183"/>
      <c r="CH13" s="183"/>
      <c r="CI13" s="183"/>
      <c r="CJ13" s="183"/>
      <c r="CK13" s="183"/>
      <c r="CL13" s="183"/>
      <c r="CM13" s="183"/>
      <c r="CN13" s="183"/>
      <c r="CO13" s="183"/>
      <c r="CP13" s="183"/>
      <c r="CQ13" s="183"/>
      <c r="CR13" s="183"/>
      <c r="CS13" s="183"/>
      <c r="CT13" s="183"/>
      <c r="CU13" s="183"/>
      <c r="CV13" s="183"/>
      <c r="CW13" s="183"/>
      <c r="CX13" s="183"/>
      <c r="CY13" s="183"/>
      <c r="CZ13" s="183"/>
      <c r="DA13" s="183"/>
      <c r="DB13" s="183"/>
      <c r="DC13" s="183"/>
      <c r="DD13" s="183"/>
      <c r="DE13" s="183"/>
      <c r="DF13" s="183"/>
      <c r="DG13" s="183"/>
      <c r="DH13" s="183"/>
      <c r="DI13" s="183"/>
      <c r="DJ13" s="183"/>
      <c r="DK13" s="183"/>
      <c r="DL13" s="183"/>
      <c r="DM13" s="183"/>
      <c r="DN13" s="183"/>
      <c r="DO13" s="183"/>
      <c r="DP13" s="183"/>
      <c r="DQ13" s="183"/>
      <c r="DR13" s="183"/>
      <c r="DS13" s="183"/>
      <c r="DT13" s="183"/>
      <c r="DU13" s="183"/>
      <c r="DV13" s="183"/>
      <c r="DW13" s="183"/>
      <c r="DX13" s="183"/>
      <c r="DY13" s="183"/>
      <c r="DZ13" s="183"/>
      <c r="EA13" s="183"/>
      <c r="EB13" s="183"/>
      <c r="EC13" s="183"/>
      <c r="ED13" s="183"/>
      <c r="EE13" s="183"/>
      <c r="EF13" s="183"/>
      <c r="EG13" s="183"/>
      <c r="EH13" s="183"/>
      <c r="EI13" s="183"/>
      <c r="EJ13" s="183"/>
      <c r="EK13" s="183"/>
      <c r="EL13" s="183"/>
      <c r="EM13" s="183"/>
      <c r="EN13" s="183"/>
      <c r="EO13" s="183"/>
      <c r="EP13" s="183"/>
      <c r="EQ13" s="183"/>
      <c r="ER13" s="183"/>
      <c r="ES13" s="183"/>
      <c r="ET13" s="183"/>
      <c r="EU13" s="183"/>
      <c r="EV13" s="183"/>
      <c r="EW13" s="183"/>
      <c r="EX13" s="183"/>
      <c r="EY13" s="183"/>
      <c r="EZ13" s="183"/>
      <c r="FA13" s="183"/>
      <c r="FB13" s="183"/>
      <c r="FC13" s="183"/>
      <c r="FD13" s="183"/>
      <c r="FE13" s="183"/>
      <c r="FF13" s="183"/>
      <c r="FG13" s="183"/>
      <c r="FH13" s="183"/>
      <c r="FI13" s="183"/>
      <c r="FJ13" s="183"/>
      <c r="FK13" s="183"/>
      <c r="FL13" s="183"/>
      <c r="FM13" s="183"/>
      <c r="FN13" s="183"/>
      <c r="FO13" s="183"/>
      <c r="FP13" s="183"/>
      <c r="FQ13" s="183"/>
      <c r="FR13" s="183"/>
      <c r="FS13" s="183"/>
      <c r="FT13" s="183"/>
      <c r="FU13" s="183"/>
      <c r="FV13" s="183"/>
      <c r="FW13" s="183"/>
      <c r="FX13" s="183"/>
      <c r="FY13" s="183"/>
      <c r="FZ13" s="183"/>
      <c r="GA13" s="183"/>
      <c r="GB13" s="183"/>
      <c r="GC13" s="183"/>
      <c r="GD13" s="183"/>
      <c r="GE13" s="183"/>
      <c r="GF13" s="183"/>
      <c r="GG13" s="183"/>
      <c r="GH13" s="183"/>
      <c r="GI13" s="183"/>
      <c r="GJ13" s="183"/>
      <c r="GK13" s="183"/>
      <c r="GL13" s="183"/>
      <c r="GM13" s="183"/>
      <c r="GN13" s="183"/>
      <c r="GO13" s="183"/>
      <c r="GP13" s="183"/>
      <c r="GQ13" s="183"/>
      <c r="GR13" s="183"/>
      <c r="GS13" s="183"/>
      <c r="GT13" s="183"/>
      <c r="GU13" s="183"/>
      <c r="GV13" s="183"/>
      <c r="GW13" s="183"/>
      <c r="GX13" s="183"/>
      <c r="GY13" s="183"/>
      <c r="GZ13" s="183"/>
      <c r="HA13" s="183"/>
      <c r="HB13" s="183"/>
      <c r="HC13" s="183"/>
      <c r="HD13" s="183"/>
      <c r="HE13" s="183"/>
      <c r="HF13" s="183"/>
      <c r="HG13" s="183"/>
      <c r="HH13" s="183"/>
      <c r="HI13" s="183"/>
      <c r="HJ13" s="183"/>
      <c r="HK13" s="183"/>
      <c r="HL13" s="183"/>
      <c r="HM13" s="183"/>
      <c r="HN13" s="183"/>
      <c r="HO13" s="183"/>
      <c r="HP13" s="183"/>
      <c r="HQ13" s="183"/>
      <c r="HR13" s="183"/>
      <c r="HS13" s="183"/>
      <c r="HT13" s="183"/>
      <c r="HU13" s="183"/>
      <c r="HV13" s="183"/>
      <c r="HW13" s="183"/>
      <c r="HX13" s="183"/>
      <c r="HY13" s="183"/>
      <c r="HZ13" s="183"/>
      <c r="IA13" s="183"/>
      <c r="IB13" s="183"/>
      <c r="IC13" s="183"/>
      <c r="ID13" s="183"/>
      <c r="IE13" s="183"/>
      <c r="IF13" s="183"/>
      <c r="IG13" s="183"/>
      <c r="IH13" s="183"/>
      <c r="II13" s="183"/>
      <c r="IJ13" s="183"/>
      <c r="IK13" s="183"/>
      <c r="IL13" s="183"/>
      <c r="IM13" s="183"/>
      <c r="IN13" s="183"/>
      <c r="IO13" s="183"/>
      <c r="IP13" s="183"/>
      <c r="IQ13" s="183"/>
      <c r="IR13" s="183"/>
      <c r="IS13" s="183"/>
      <c r="IT13" s="183"/>
      <c r="IU13" s="183"/>
      <c r="IV13" s="183"/>
    </row>
    <row r="14" spans="1:256" ht="16.5" thickBot="1">
      <c r="G14" s="197" t="s">
        <v>165</v>
      </c>
      <c r="H14" s="718">
        <f>+H12+H13</f>
        <v>163250</v>
      </c>
    </row>
    <row r="20" spans="1:256" ht="15.75" customHeight="1" thickBot="1">
      <c r="A20" s="198"/>
      <c r="B20" s="199"/>
      <c r="C20" s="200"/>
      <c r="D20" s="200"/>
      <c r="E20" s="201"/>
      <c r="F20" s="202"/>
      <c r="G20" s="198"/>
      <c r="H20" s="199"/>
      <c r="I20" s="200"/>
      <c r="J20" s="203"/>
      <c r="K20" s="201"/>
      <c r="L20" s="202"/>
      <c r="M20" s="202"/>
      <c r="N20" s="202"/>
      <c r="O20" s="202"/>
      <c r="P20" s="202"/>
      <c r="Q20" s="202"/>
      <c r="R20" s="202"/>
      <c r="S20" s="202"/>
      <c r="T20" s="202"/>
      <c r="U20" s="202"/>
      <c r="V20" s="202"/>
      <c r="W20" s="202"/>
      <c r="X20" s="202"/>
      <c r="Y20" s="202"/>
      <c r="Z20" s="202"/>
      <c r="AA20" s="202"/>
      <c r="AB20" s="202"/>
      <c r="AC20" s="202"/>
      <c r="AD20" s="202"/>
      <c r="AE20" s="202"/>
      <c r="AF20" s="202"/>
      <c r="AG20" s="202"/>
      <c r="AH20" s="202"/>
      <c r="AI20" s="202"/>
      <c r="AJ20" s="202"/>
      <c r="AK20" s="202"/>
      <c r="AL20" s="202"/>
      <c r="AM20" s="202"/>
      <c r="AN20" s="202"/>
      <c r="AO20" s="202"/>
      <c r="AP20" s="202"/>
      <c r="AQ20" s="202"/>
      <c r="AR20" s="202"/>
      <c r="AS20" s="202"/>
      <c r="AT20" s="202"/>
      <c r="AU20" s="202"/>
      <c r="AV20" s="202"/>
      <c r="AW20" s="202"/>
      <c r="AX20" s="202"/>
      <c r="AY20" s="202"/>
      <c r="AZ20" s="202"/>
      <c r="BA20" s="202"/>
      <c r="BB20" s="202"/>
      <c r="BC20" s="202"/>
      <c r="BD20" s="202"/>
      <c r="BE20" s="202"/>
      <c r="BF20" s="202"/>
      <c r="BG20" s="202"/>
      <c r="BH20" s="202"/>
      <c r="BI20" s="202"/>
      <c r="BJ20" s="202"/>
      <c r="BK20" s="202"/>
      <c r="BL20" s="202"/>
      <c r="BM20" s="202"/>
      <c r="BN20" s="202"/>
      <c r="BO20" s="202"/>
      <c r="BP20" s="202"/>
      <c r="BQ20" s="202"/>
      <c r="BR20" s="202"/>
      <c r="BS20" s="202"/>
      <c r="BT20" s="202"/>
      <c r="BU20" s="202"/>
      <c r="BV20" s="202"/>
      <c r="BW20" s="202"/>
      <c r="BX20" s="202"/>
      <c r="BY20" s="202"/>
      <c r="BZ20" s="202"/>
      <c r="CA20" s="202"/>
      <c r="CB20" s="202"/>
      <c r="CC20" s="202"/>
      <c r="CD20" s="202"/>
      <c r="CE20" s="202"/>
      <c r="CF20" s="202"/>
      <c r="CG20" s="202"/>
      <c r="CH20" s="202"/>
      <c r="CI20" s="202"/>
      <c r="CJ20" s="202"/>
      <c r="CK20" s="202"/>
      <c r="CL20" s="202"/>
      <c r="CM20" s="202"/>
      <c r="CN20" s="202"/>
      <c r="CO20" s="202"/>
      <c r="CP20" s="202"/>
      <c r="CQ20" s="202"/>
      <c r="CR20" s="202"/>
      <c r="CS20" s="202"/>
      <c r="CT20" s="202"/>
      <c r="CU20" s="202"/>
      <c r="CV20" s="202"/>
      <c r="CW20" s="202"/>
      <c r="CX20" s="202"/>
      <c r="CY20" s="202"/>
      <c r="CZ20" s="202"/>
      <c r="DA20" s="202"/>
      <c r="DB20" s="202"/>
      <c r="DC20" s="202"/>
      <c r="DD20" s="202"/>
      <c r="DE20" s="202"/>
      <c r="DF20" s="202"/>
      <c r="DG20" s="202"/>
      <c r="DH20" s="202"/>
      <c r="DI20" s="202"/>
      <c r="DJ20" s="202"/>
      <c r="DK20" s="202"/>
      <c r="DL20" s="202"/>
      <c r="DM20" s="202"/>
      <c r="DN20" s="202"/>
      <c r="DO20" s="202"/>
      <c r="DP20" s="202"/>
      <c r="DQ20" s="202"/>
      <c r="DR20" s="202"/>
      <c r="DS20" s="202"/>
      <c r="DT20" s="202"/>
      <c r="DU20" s="202"/>
      <c r="DV20" s="202"/>
      <c r="DW20" s="202"/>
      <c r="DX20" s="202"/>
      <c r="DY20" s="202"/>
      <c r="DZ20" s="202"/>
      <c r="EA20" s="202"/>
      <c r="EB20" s="202"/>
      <c r="EC20" s="202"/>
      <c r="ED20" s="202"/>
      <c r="EE20" s="202"/>
      <c r="EF20" s="202"/>
      <c r="EG20" s="202"/>
      <c r="EH20" s="202"/>
      <c r="EI20" s="202"/>
      <c r="EJ20" s="202"/>
      <c r="EK20" s="202"/>
      <c r="EL20" s="202"/>
      <c r="EM20" s="202"/>
      <c r="EN20" s="202"/>
      <c r="EO20" s="202"/>
      <c r="EP20" s="202"/>
      <c r="EQ20" s="202"/>
      <c r="ER20" s="202"/>
      <c r="ES20" s="202"/>
      <c r="ET20" s="202"/>
      <c r="EU20" s="202"/>
      <c r="EV20" s="202"/>
      <c r="EW20" s="202"/>
      <c r="EX20" s="202"/>
      <c r="EY20" s="202"/>
      <c r="EZ20" s="202"/>
      <c r="FA20" s="202"/>
      <c r="FB20" s="202"/>
      <c r="FC20" s="202"/>
      <c r="FD20" s="202"/>
      <c r="FE20" s="202"/>
      <c r="FF20" s="202"/>
      <c r="FG20" s="202"/>
      <c r="FH20" s="202"/>
      <c r="FI20" s="202"/>
      <c r="FJ20" s="202"/>
      <c r="FK20" s="202"/>
      <c r="FL20" s="202"/>
      <c r="FM20" s="202"/>
      <c r="FN20" s="202"/>
      <c r="FO20" s="202"/>
      <c r="FP20" s="202"/>
      <c r="FQ20" s="202"/>
      <c r="FR20" s="202"/>
      <c r="FS20" s="202"/>
      <c r="FT20" s="202"/>
      <c r="FU20" s="202"/>
      <c r="FV20" s="202"/>
      <c r="FW20" s="202"/>
      <c r="FX20" s="202"/>
      <c r="FY20" s="202"/>
      <c r="FZ20" s="202"/>
      <c r="GA20" s="202"/>
      <c r="GB20" s="202"/>
      <c r="GC20" s="202"/>
      <c r="GD20" s="202"/>
      <c r="GE20" s="202"/>
      <c r="GF20" s="202"/>
      <c r="GG20" s="202"/>
      <c r="GH20" s="202"/>
      <c r="GI20" s="202"/>
      <c r="GJ20" s="202"/>
      <c r="GK20" s="202"/>
      <c r="GL20" s="202"/>
      <c r="GM20" s="202"/>
      <c r="GN20" s="202"/>
      <c r="GO20" s="202"/>
      <c r="GP20" s="202"/>
      <c r="GQ20" s="202"/>
      <c r="GR20" s="202"/>
      <c r="GS20" s="202"/>
      <c r="GT20" s="202"/>
      <c r="GU20" s="202"/>
      <c r="GV20" s="202"/>
      <c r="GW20" s="202"/>
      <c r="GX20" s="202"/>
      <c r="GY20" s="202"/>
      <c r="GZ20" s="202"/>
      <c r="HA20" s="202"/>
      <c r="HB20" s="202"/>
      <c r="HC20" s="202"/>
      <c r="HD20" s="202"/>
      <c r="HE20" s="202"/>
      <c r="HF20" s="202"/>
      <c r="HG20" s="202"/>
      <c r="HH20" s="202"/>
      <c r="HI20" s="202"/>
      <c r="HJ20" s="202"/>
      <c r="HK20" s="202"/>
      <c r="HL20" s="202"/>
      <c r="HM20" s="202"/>
      <c r="HN20" s="202"/>
      <c r="HO20" s="202"/>
      <c r="HP20" s="202"/>
      <c r="HQ20" s="202"/>
      <c r="HR20" s="202"/>
      <c r="HS20" s="202"/>
      <c r="HT20" s="202"/>
      <c r="HU20" s="202"/>
      <c r="HV20" s="202"/>
      <c r="HW20" s="202"/>
      <c r="HX20" s="202"/>
      <c r="HY20" s="202"/>
      <c r="HZ20" s="202"/>
      <c r="IA20" s="202"/>
      <c r="IB20" s="202"/>
      <c r="IC20" s="202"/>
      <c r="ID20" s="202"/>
      <c r="IE20" s="202"/>
      <c r="IF20" s="202"/>
      <c r="IG20" s="202"/>
      <c r="IH20" s="202"/>
      <c r="II20" s="202"/>
      <c r="IJ20" s="202"/>
      <c r="IK20" s="202"/>
      <c r="IL20" s="202"/>
      <c r="IM20" s="202"/>
      <c r="IN20" s="202"/>
      <c r="IO20" s="202"/>
      <c r="IP20" s="202"/>
      <c r="IQ20" s="202"/>
      <c r="IR20" s="202"/>
      <c r="IS20" s="202"/>
      <c r="IT20" s="202"/>
      <c r="IU20" s="202"/>
      <c r="IV20" s="202"/>
    </row>
    <row r="21" spans="1:256" ht="15.75" customHeight="1">
      <c r="A21" s="708" t="s">
        <v>751</v>
      </c>
      <c r="B21" s="523"/>
      <c r="C21" s="523"/>
      <c r="D21" s="523"/>
      <c r="E21" s="523"/>
      <c r="F21" s="202"/>
      <c r="G21" s="1351" t="s">
        <v>874</v>
      </c>
      <c r="H21" s="1351"/>
      <c r="I21" s="1351"/>
      <c r="J21" s="1351"/>
      <c r="K21" s="1351"/>
      <c r="L21" s="202"/>
      <c r="M21" s="202"/>
      <c r="N21" s="202"/>
      <c r="O21" s="202"/>
      <c r="P21" s="202"/>
      <c r="Q21" s="202"/>
      <c r="R21" s="202"/>
      <c r="S21" s="202"/>
      <c r="T21" s="202"/>
      <c r="U21" s="202"/>
      <c r="V21" s="202"/>
      <c r="W21" s="202"/>
      <c r="X21" s="202"/>
      <c r="Y21" s="202"/>
      <c r="Z21" s="202"/>
      <c r="AA21" s="202"/>
      <c r="AB21" s="202"/>
      <c r="AC21" s="202"/>
      <c r="AD21" s="202"/>
      <c r="AE21" s="202"/>
      <c r="AF21" s="202"/>
      <c r="AG21" s="202"/>
      <c r="AH21" s="202"/>
      <c r="AI21" s="202"/>
      <c r="AJ21" s="202"/>
      <c r="AK21" s="202"/>
      <c r="AL21" s="202"/>
      <c r="AM21" s="202"/>
      <c r="AN21" s="202"/>
      <c r="AO21" s="202"/>
      <c r="AP21" s="202"/>
      <c r="AQ21" s="202"/>
      <c r="AR21" s="202"/>
      <c r="AS21" s="202"/>
      <c r="AT21" s="202"/>
      <c r="AU21" s="202"/>
      <c r="AV21" s="202"/>
      <c r="AW21" s="202"/>
      <c r="AX21" s="202"/>
      <c r="AY21" s="202"/>
      <c r="AZ21" s="202"/>
      <c r="BA21" s="202"/>
      <c r="BB21" s="202"/>
      <c r="BC21" s="202"/>
      <c r="BD21" s="202"/>
      <c r="BE21" s="202"/>
      <c r="BF21" s="202"/>
      <c r="BG21" s="202"/>
      <c r="BH21" s="202"/>
      <c r="BI21" s="202"/>
      <c r="BJ21" s="202"/>
      <c r="BK21" s="202"/>
      <c r="BL21" s="202"/>
      <c r="BM21" s="202"/>
      <c r="BN21" s="202"/>
      <c r="BO21" s="202"/>
      <c r="BP21" s="202"/>
      <c r="BQ21" s="202"/>
      <c r="BR21" s="202"/>
      <c r="BS21" s="202"/>
      <c r="BT21" s="202"/>
      <c r="BU21" s="202"/>
      <c r="BV21" s="202"/>
      <c r="BW21" s="202"/>
      <c r="BX21" s="202"/>
      <c r="BY21" s="202"/>
      <c r="BZ21" s="202"/>
      <c r="CA21" s="202"/>
      <c r="CB21" s="202"/>
      <c r="CC21" s="202"/>
      <c r="CD21" s="202"/>
      <c r="CE21" s="202"/>
      <c r="CF21" s="202"/>
      <c r="CG21" s="202"/>
      <c r="CH21" s="202"/>
      <c r="CI21" s="202"/>
      <c r="CJ21" s="202"/>
      <c r="CK21" s="202"/>
      <c r="CL21" s="202"/>
      <c r="CM21" s="202"/>
      <c r="CN21" s="202"/>
      <c r="CO21" s="202"/>
      <c r="CP21" s="202"/>
      <c r="CQ21" s="202"/>
      <c r="CR21" s="202"/>
      <c r="CS21" s="202"/>
      <c r="CT21" s="202"/>
      <c r="CU21" s="202"/>
      <c r="CV21" s="202"/>
      <c r="CW21" s="202"/>
      <c r="CX21" s="202"/>
      <c r="CY21" s="202"/>
      <c r="CZ21" s="202"/>
      <c r="DA21" s="202"/>
      <c r="DB21" s="202"/>
      <c r="DC21" s="202"/>
      <c r="DD21" s="202"/>
      <c r="DE21" s="202"/>
      <c r="DF21" s="202"/>
      <c r="DG21" s="202"/>
      <c r="DH21" s="202"/>
      <c r="DI21" s="202"/>
      <c r="DJ21" s="202"/>
      <c r="DK21" s="202"/>
      <c r="DL21" s="202"/>
      <c r="DM21" s="202"/>
      <c r="DN21" s="202"/>
      <c r="DO21" s="202"/>
      <c r="DP21" s="202"/>
      <c r="DQ21" s="202"/>
      <c r="DR21" s="202"/>
      <c r="DS21" s="202"/>
      <c r="DT21" s="202"/>
      <c r="DU21" s="202"/>
      <c r="DV21" s="202"/>
      <c r="DW21" s="202"/>
      <c r="DX21" s="202"/>
      <c r="DY21" s="202"/>
      <c r="DZ21" s="202"/>
      <c r="EA21" s="202"/>
      <c r="EB21" s="202"/>
      <c r="EC21" s="202"/>
      <c r="ED21" s="202"/>
      <c r="EE21" s="202"/>
      <c r="EF21" s="202"/>
      <c r="EG21" s="202"/>
      <c r="EH21" s="202"/>
      <c r="EI21" s="202"/>
      <c r="EJ21" s="202"/>
      <c r="EK21" s="202"/>
      <c r="EL21" s="202"/>
      <c r="EM21" s="202"/>
      <c r="EN21" s="202"/>
      <c r="EO21" s="202"/>
      <c r="EP21" s="202"/>
      <c r="EQ21" s="202"/>
      <c r="ER21" s="202"/>
      <c r="ES21" s="202"/>
      <c r="ET21" s="202"/>
      <c r="EU21" s="202"/>
      <c r="EV21" s="202"/>
      <c r="EW21" s="202"/>
      <c r="EX21" s="202"/>
      <c r="EY21" s="202"/>
      <c r="EZ21" s="202"/>
      <c r="FA21" s="202"/>
      <c r="FB21" s="202"/>
      <c r="FC21" s="202"/>
      <c r="FD21" s="202"/>
      <c r="FE21" s="202"/>
      <c r="FF21" s="202"/>
      <c r="FG21" s="202"/>
      <c r="FH21" s="202"/>
      <c r="FI21" s="202"/>
      <c r="FJ21" s="202"/>
      <c r="FK21" s="202"/>
      <c r="FL21" s="202"/>
      <c r="FM21" s="202"/>
      <c r="FN21" s="202"/>
      <c r="FO21" s="202"/>
      <c r="FP21" s="202"/>
      <c r="FQ21" s="202"/>
      <c r="FR21" s="202"/>
      <c r="FS21" s="202"/>
      <c r="FT21" s="202"/>
      <c r="FU21" s="202"/>
      <c r="FV21" s="202"/>
      <c r="FW21" s="202"/>
      <c r="FX21" s="202"/>
      <c r="FY21" s="202"/>
      <c r="FZ21" s="202"/>
      <c r="GA21" s="202"/>
      <c r="GB21" s="202"/>
      <c r="GC21" s="202"/>
      <c r="GD21" s="202"/>
      <c r="GE21" s="202"/>
      <c r="GF21" s="202"/>
      <c r="GG21" s="202"/>
      <c r="GH21" s="202"/>
      <c r="GI21" s="202"/>
      <c r="GJ21" s="202"/>
      <c r="GK21" s="202"/>
      <c r="GL21" s="202"/>
      <c r="GM21" s="202"/>
      <c r="GN21" s="202"/>
      <c r="GO21" s="202"/>
      <c r="GP21" s="202"/>
      <c r="GQ21" s="202"/>
      <c r="GR21" s="202"/>
      <c r="GS21" s="202"/>
      <c r="GT21" s="202"/>
      <c r="GU21" s="202"/>
      <c r="GV21" s="202"/>
      <c r="GW21" s="202"/>
      <c r="GX21" s="202"/>
      <c r="GY21" s="202"/>
      <c r="GZ21" s="202"/>
      <c r="HA21" s="202"/>
      <c r="HB21" s="202"/>
      <c r="HC21" s="202"/>
      <c r="HD21" s="202"/>
      <c r="HE21" s="202"/>
      <c r="HF21" s="202"/>
      <c r="HG21" s="202"/>
      <c r="HH21" s="202"/>
      <c r="HI21" s="202"/>
      <c r="HJ21" s="202"/>
      <c r="HK21" s="202"/>
      <c r="HL21" s="202"/>
      <c r="HM21" s="202"/>
      <c r="HN21" s="202"/>
      <c r="HO21" s="202"/>
      <c r="HP21" s="202"/>
      <c r="HQ21" s="202"/>
      <c r="HR21" s="202"/>
      <c r="HS21" s="202"/>
      <c r="HT21" s="202"/>
      <c r="HU21" s="202"/>
      <c r="HV21" s="202"/>
      <c r="HW21" s="202"/>
      <c r="HX21" s="202"/>
      <c r="HY21" s="202"/>
      <c r="HZ21" s="202"/>
      <c r="IA21" s="202"/>
      <c r="IB21" s="202"/>
      <c r="IC21" s="202"/>
      <c r="ID21" s="202"/>
      <c r="IE21" s="202"/>
      <c r="IF21" s="202"/>
      <c r="IG21" s="202"/>
      <c r="IH21" s="202"/>
      <c r="II21" s="202"/>
      <c r="IJ21" s="202"/>
      <c r="IK21" s="202"/>
      <c r="IL21" s="202"/>
      <c r="IM21" s="202"/>
      <c r="IN21" s="202"/>
      <c r="IO21" s="202"/>
      <c r="IP21" s="202"/>
      <c r="IQ21" s="202"/>
      <c r="IR21" s="202"/>
      <c r="IS21" s="202"/>
      <c r="IT21" s="202"/>
      <c r="IU21" s="202"/>
      <c r="IV21" s="202"/>
    </row>
    <row r="22" spans="1:256">
      <c r="A22" s="220" t="s">
        <v>752</v>
      </c>
      <c r="B22" s="1127"/>
      <c r="C22" s="1127"/>
      <c r="D22" s="1127"/>
      <c r="E22" s="1127"/>
      <c r="F22" s="202"/>
      <c r="G22" s="204" t="s">
        <v>875</v>
      </c>
      <c r="H22" s="205"/>
      <c r="I22" s="206"/>
      <c r="J22" s="206"/>
      <c r="K22" s="206"/>
      <c r="L22" s="202"/>
      <c r="M22" s="202"/>
      <c r="N22" s="202"/>
      <c r="O22" s="202"/>
      <c r="P22" s="202"/>
      <c r="Q22" s="202"/>
      <c r="R22" s="202"/>
      <c r="S22" s="202"/>
      <c r="T22" s="202"/>
      <c r="U22" s="202"/>
      <c r="V22" s="202"/>
      <c r="W22" s="202"/>
      <c r="X22" s="202"/>
      <c r="Y22" s="202"/>
      <c r="Z22" s="202"/>
      <c r="AA22" s="202"/>
      <c r="AB22" s="202"/>
      <c r="AC22" s="202"/>
      <c r="AD22" s="202"/>
      <c r="AE22" s="202"/>
      <c r="AF22" s="202"/>
      <c r="AG22" s="202"/>
      <c r="AH22" s="202"/>
      <c r="AI22" s="202"/>
      <c r="AJ22" s="202"/>
      <c r="AK22" s="202"/>
      <c r="AL22" s="202"/>
      <c r="AM22" s="202"/>
      <c r="AN22" s="202"/>
      <c r="AO22" s="202"/>
      <c r="AP22" s="202"/>
      <c r="AQ22" s="202"/>
      <c r="AR22" s="202"/>
      <c r="AS22" s="202"/>
      <c r="AT22" s="202"/>
      <c r="AU22" s="202"/>
      <c r="AV22" s="202"/>
      <c r="AW22" s="202"/>
      <c r="AX22" s="202"/>
      <c r="AY22" s="202"/>
      <c r="AZ22" s="202"/>
      <c r="BA22" s="202"/>
      <c r="BB22" s="202"/>
      <c r="BC22" s="202"/>
      <c r="BD22" s="202"/>
      <c r="BE22" s="202"/>
      <c r="BF22" s="202"/>
      <c r="BG22" s="202"/>
      <c r="BH22" s="202"/>
      <c r="BI22" s="202"/>
      <c r="BJ22" s="202"/>
      <c r="BK22" s="202"/>
      <c r="BL22" s="202"/>
      <c r="BM22" s="202"/>
      <c r="BN22" s="202"/>
      <c r="BO22" s="202"/>
      <c r="BP22" s="202"/>
      <c r="BQ22" s="202"/>
      <c r="BR22" s="202"/>
      <c r="BS22" s="202"/>
      <c r="BT22" s="202"/>
      <c r="BU22" s="202"/>
      <c r="BV22" s="202"/>
      <c r="BW22" s="202"/>
      <c r="BX22" s="202"/>
      <c r="BY22" s="202"/>
      <c r="BZ22" s="202"/>
      <c r="CA22" s="202"/>
      <c r="CB22" s="202"/>
      <c r="CC22" s="202"/>
      <c r="CD22" s="202"/>
      <c r="CE22" s="202"/>
      <c r="CF22" s="202"/>
      <c r="CG22" s="202"/>
      <c r="CH22" s="202"/>
      <c r="CI22" s="202"/>
      <c r="CJ22" s="202"/>
      <c r="CK22" s="202"/>
      <c r="CL22" s="202"/>
      <c r="CM22" s="202"/>
      <c r="CN22" s="202"/>
      <c r="CO22" s="202"/>
      <c r="CP22" s="202"/>
      <c r="CQ22" s="202"/>
      <c r="CR22" s="202"/>
      <c r="CS22" s="202"/>
      <c r="CT22" s="202"/>
      <c r="CU22" s="202"/>
      <c r="CV22" s="202"/>
      <c r="CW22" s="202"/>
      <c r="CX22" s="202"/>
      <c r="CY22" s="202"/>
      <c r="CZ22" s="202"/>
      <c r="DA22" s="202"/>
      <c r="DB22" s="202"/>
      <c r="DC22" s="202"/>
      <c r="DD22" s="202"/>
      <c r="DE22" s="202"/>
      <c r="DF22" s="202"/>
      <c r="DG22" s="202"/>
      <c r="DH22" s="202"/>
      <c r="DI22" s="202"/>
      <c r="DJ22" s="202"/>
      <c r="DK22" s="202"/>
      <c r="DL22" s="202"/>
      <c r="DM22" s="202"/>
      <c r="DN22" s="202"/>
      <c r="DO22" s="202"/>
      <c r="DP22" s="202"/>
      <c r="DQ22" s="202"/>
      <c r="DR22" s="202"/>
      <c r="DS22" s="202"/>
      <c r="DT22" s="202"/>
      <c r="DU22" s="202"/>
      <c r="DV22" s="202"/>
      <c r="DW22" s="202"/>
      <c r="DX22" s="202"/>
      <c r="DY22" s="202"/>
      <c r="DZ22" s="202"/>
      <c r="EA22" s="202"/>
      <c r="EB22" s="202"/>
      <c r="EC22" s="202"/>
      <c r="ED22" s="202"/>
      <c r="EE22" s="202"/>
      <c r="EF22" s="202"/>
      <c r="EG22" s="202"/>
      <c r="EH22" s="202"/>
      <c r="EI22" s="202"/>
      <c r="EJ22" s="202"/>
      <c r="EK22" s="202"/>
      <c r="EL22" s="202"/>
      <c r="EM22" s="202"/>
      <c r="EN22" s="202"/>
      <c r="EO22" s="202"/>
      <c r="EP22" s="202"/>
      <c r="EQ22" s="202"/>
      <c r="ER22" s="202"/>
      <c r="ES22" s="202"/>
      <c r="ET22" s="202"/>
      <c r="EU22" s="202"/>
      <c r="EV22" s="202"/>
      <c r="EW22" s="202"/>
      <c r="EX22" s="202"/>
      <c r="EY22" s="202"/>
      <c r="EZ22" s="202"/>
      <c r="FA22" s="202"/>
      <c r="FB22" s="202"/>
      <c r="FC22" s="202"/>
      <c r="FD22" s="202"/>
      <c r="FE22" s="202"/>
      <c r="FF22" s="202"/>
      <c r="FG22" s="202"/>
      <c r="FH22" s="202"/>
      <c r="FI22" s="202"/>
      <c r="FJ22" s="202"/>
      <c r="FK22" s="202"/>
      <c r="FL22" s="202"/>
      <c r="FM22" s="202"/>
      <c r="FN22" s="202"/>
      <c r="FO22" s="202"/>
      <c r="FP22" s="202"/>
      <c r="FQ22" s="202"/>
      <c r="FR22" s="202"/>
      <c r="FS22" s="202"/>
      <c r="FT22" s="202"/>
      <c r="FU22" s="202"/>
      <c r="FV22" s="202"/>
      <c r="FW22" s="202"/>
      <c r="FX22" s="202"/>
      <c r="FY22" s="202"/>
      <c r="FZ22" s="202"/>
      <c r="GA22" s="202"/>
      <c r="GB22" s="202"/>
      <c r="GC22" s="202"/>
      <c r="GD22" s="202"/>
      <c r="GE22" s="202"/>
      <c r="GF22" s="202"/>
      <c r="GG22" s="202"/>
      <c r="GH22" s="202"/>
      <c r="GI22" s="202"/>
      <c r="GJ22" s="202"/>
      <c r="GK22" s="202"/>
      <c r="GL22" s="202"/>
      <c r="GM22" s="202"/>
      <c r="GN22" s="202"/>
      <c r="GO22" s="202"/>
      <c r="GP22" s="202"/>
      <c r="GQ22" s="202"/>
      <c r="GR22" s="202"/>
      <c r="GS22" s="202"/>
      <c r="GT22" s="202"/>
      <c r="GU22" s="202"/>
      <c r="GV22" s="202"/>
      <c r="GW22" s="202"/>
      <c r="GX22" s="202"/>
      <c r="GY22" s="202"/>
      <c r="GZ22" s="202"/>
      <c r="HA22" s="202"/>
      <c r="HB22" s="202"/>
      <c r="HC22" s="202"/>
      <c r="HD22" s="202"/>
      <c r="HE22" s="202"/>
      <c r="HF22" s="202"/>
      <c r="HG22" s="202"/>
      <c r="HH22" s="202"/>
      <c r="HI22" s="202"/>
      <c r="HJ22" s="202"/>
      <c r="HK22" s="202"/>
      <c r="HL22" s="202"/>
      <c r="HM22" s="202"/>
      <c r="HN22" s="202"/>
      <c r="HO22" s="202"/>
      <c r="HP22" s="202"/>
      <c r="HQ22" s="202"/>
      <c r="HR22" s="202"/>
      <c r="HS22" s="202"/>
      <c r="HT22" s="202"/>
      <c r="HU22" s="202"/>
      <c r="HV22" s="202"/>
      <c r="HW22" s="202"/>
      <c r="HX22" s="202"/>
      <c r="HY22" s="202"/>
      <c r="HZ22" s="202"/>
      <c r="IA22" s="202"/>
      <c r="IB22" s="202"/>
      <c r="IC22" s="202"/>
      <c r="ID22" s="202"/>
      <c r="IE22" s="202"/>
      <c r="IF22" s="202"/>
      <c r="IG22" s="202"/>
      <c r="IH22" s="202"/>
      <c r="II22" s="202"/>
      <c r="IJ22" s="202"/>
      <c r="IK22" s="202"/>
      <c r="IL22" s="202"/>
      <c r="IM22" s="202"/>
      <c r="IN22" s="202"/>
      <c r="IO22" s="202"/>
      <c r="IP22" s="202"/>
      <c r="IQ22" s="202"/>
      <c r="IR22" s="202"/>
      <c r="IS22" s="202"/>
      <c r="IT22" s="202"/>
      <c r="IU22" s="202"/>
      <c r="IV22" s="202"/>
    </row>
    <row r="23" spans="1:256">
      <c r="A23" s="220" t="s">
        <v>47</v>
      </c>
      <c r="B23" s="1127"/>
      <c r="C23" s="1127"/>
      <c r="D23" s="1127"/>
      <c r="E23" s="1127"/>
      <c r="F23" s="202"/>
      <c r="G23" s="204" t="s">
        <v>47</v>
      </c>
      <c r="H23" s="207"/>
      <c r="I23" s="206"/>
      <c r="J23" s="206"/>
      <c r="K23" s="206"/>
      <c r="L23" s="202"/>
      <c r="M23" s="202"/>
      <c r="N23" s="202"/>
      <c r="O23" s="202"/>
      <c r="P23" s="202"/>
      <c r="Q23" s="202"/>
      <c r="R23" s="202"/>
      <c r="S23" s="202"/>
      <c r="T23" s="202"/>
      <c r="U23" s="202"/>
      <c r="V23" s="202"/>
      <c r="W23" s="202"/>
      <c r="X23" s="202"/>
      <c r="Y23" s="202"/>
      <c r="Z23" s="202"/>
      <c r="AA23" s="202"/>
      <c r="AB23" s="202"/>
      <c r="AC23" s="202"/>
      <c r="AD23" s="202"/>
      <c r="AE23" s="202"/>
      <c r="AF23" s="202"/>
      <c r="AG23" s="202"/>
      <c r="AH23" s="202"/>
      <c r="AI23" s="202"/>
      <c r="AJ23" s="202"/>
      <c r="AK23" s="202"/>
      <c r="AL23" s="202"/>
      <c r="AM23" s="202"/>
      <c r="AN23" s="202"/>
      <c r="AO23" s="202"/>
      <c r="AP23" s="202"/>
      <c r="AQ23" s="202"/>
      <c r="AR23" s="202"/>
      <c r="AS23" s="202"/>
      <c r="AT23" s="202"/>
      <c r="AU23" s="202"/>
      <c r="AV23" s="202"/>
      <c r="AW23" s="202"/>
      <c r="AX23" s="202"/>
      <c r="AY23" s="202"/>
      <c r="AZ23" s="202"/>
      <c r="BA23" s="202"/>
      <c r="BB23" s="202"/>
      <c r="BC23" s="202"/>
      <c r="BD23" s="202"/>
      <c r="BE23" s="202"/>
      <c r="BF23" s="202"/>
      <c r="BG23" s="202"/>
      <c r="BH23" s="202"/>
      <c r="BI23" s="202"/>
      <c r="BJ23" s="202"/>
      <c r="BK23" s="202"/>
      <c r="BL23" s="202"/>
      <c r="BM23" s="202"/>
      <c r="BN23" s="202"/>
      <c r="BO23" s="202"/>
      <c r="BP23" s="202"/>
      <c r="BQ23" s="202"/>
      <c r="BR23" s="202"/>
      <c r="BS23" s="202"/>
      <c r="BT23" s="202"/>
      <c r="BU23" s="202"/>
      <c r="BV23" s="202"/>
      <c r="BW23" s="202"/>
      <c r="BX23" s="202"/>
      <c r="BY23" s="202"/>
      <c r="BZ23" s="202"/>
      <c r="CA23" s="202"/>
      <c r="CB23" s="202"/>
      <c r="CC23" s="202"/>
      <c r="CD23" s="202"/>
      <c r="CE23" s="202"/>
      <c r="CF23" s="202"/>
      <c r="CG23" s="202"/>
      <c r="CH23" s="202"/>
      <c r="CI23" s="202"/>
      <c r="CJ23" s="202"/>
      <c r="CK23" s="202"/>
      <c r="CL23" s="202"/>
      <c r="CM23" s="202"/>
      <c r="CN23" s="202"/>
      <c r="CO23" s="202"/>
      <c r="CP23" s="202"/>
      <c r="CQ23" s="202"/>
      <c r="CR23" s="202"/>
      <c r="CS23" s="202"/>
      <c r="CT23" s="202"/>
      <c r="CU23" s="202"/>
      <c r="CV23" s="202"/>
      <c r="CW23" s="202"/>
      <c r="CX23" s="202"/>
      <c r="CY23" s="202"/>
      <c r="CZ23" s="202"/>
      <c r="DA23" s="202"/>
      <c r="DB23" s="202"/>
      <c r="DC23" s="202"/>
      <c r="DD23" s="202"/>
      <c r="DE23" s="202"/>
      <c r="DF23" s="202"/>
      <c r="DG23" s="202"/>
      <c r="DH23" s="202"/>
      <c r="DI23" s="202"/>
      <c r="DJ23" s="202"/>
      <c r="DK23" s="202"/>
      <c r="DL23" s="202"/>
      <c r="DM23" s="202"/>
      <c r="DN23" s="202"/>
      <c r="DO23" s="202"/>
      <c r="DP23" s="202"/>
      <c r="DQ23" s="202"/>
      <c r="DR23" s="202"/>
      <c r="DS23" s="202"/>
      <c r="DT23" s="202"/>
      <c r="DU23" s="202"/>
      <c r="DV23" s="202"/>
      <c r="DW23" s="202"/>
      <c r="DX23" s="202"/>
      <c r="DY23" s="202"/>
      <c r="DZ23" s="202"/>
      <c r="EA23" s="202"/>
      <c r="EB23" s="202"/>
      <c r="EC23" s="202"/>
      <c r="ED23" s="202"/>
      <c r="EE23" s="202"/>
      <c r="EF23" s="202"/>
      <c r="EG23" s="202"/>
      <c r="EH23" s="202"/>
      <c r="EI23" s="202"/>
      <c r="EJ23" s="202"/>
      <c r="EK23" s="202"/>
      <c r="EL23" s="202"/>
      <c r="EM23" s="202"/>
      <c r="EN23" s="202"/>
      <c r="EO23" s="202"/>
      <c r="EP23" s="202"/>
      <c r="EQ23" s="202"/>
      <c r="ER23" s="202"/>
      <c r="ES23" s="202"/>
      <c r="ET23" s="202"/>
      <c r="EU23" s="202"/>
      <c r="EV23" s="202"/>
      <c r="EW23" s="202"/>
      <c r="EX23" s="202"/>
      <c r="EY23" s="202"/>
      <c r="EZ23" s="202"/>
      <c r="FA23" s="202"/>
      <c r="FB23" s="202"/>
      <c r="FC23" s="202"/>
      <c r="FD23" s="202"/>
      <c r="FE23" s="202"/>
      <c r="FF23" s="202"/>
      <c r="FG23" s="202"/>
      <c r="FH23" s="202"/>
      <c r="FI23" s="202"/>
      <c r="FJ23" s="202"/>
      <c r="FK23" s="202"/>
      <c r="FL23" s="202"/>
      <c r="FM23" s="202"/>
      <c r="FN23" s="202"/>
      <c r="FO23" s="202"/>
      <c r="FP23" s="202"/>
      <c r="FQ23" s="202"/>
      <c r="FR23" s="202"/>
      <c r="FS23" s="202"/>
      <c r="FT23" s="202"/>
      <c r="FU23" s="202"/>
      <c r="FV23" s="202"/>
      <c r="FW23" s="202"/>
      <c r="FX23" s="202"/>
      <c r="FY23" s="202"/>
      <c r="FZ23" s="202"/>
      <c r="GA23" s="202"/>
      <c r="GB23" s="202"/>
      <c r="GC23" s="202"/>
      <c r="GD23" s="202"/>
      <c r="GE23" s="202"/>
      <c r="GF23" s="202"/>
      <c r="GG23" s="202"/>
      <c r="GH23" s="202"/>
      <c r="GI23" s="202"/>
      <c r="GJ23" s="202"/>
      <c r="GK23" s="202"/>
      <c r="GL23" s="202"/>
      <c r="GM23" s="202"/>
      <c r="GN23" s="202"/>
      <c r="GO23" s="202"/>
      <c r="GP23" s="202"/>
      <c r="GQ23" s="202"/>
      <c r="GR23" s="202"/>
      <c r="GS23" s="202"/>
      <c r="GT23" s="202"/>
      <c r="GU23" s="202"/>
      <c r="GV23" s="202"/>
      <c r="GW23" s="202"/>
      <c r="GX23" s="202"/>
      <c r="GY23" s="202"/>
      <c r="GZ23" s="202"/>
      <c r="HA23" s="202"/>
      <c r="HB23" s="202"/>
      <c r="HC23" s="202"/>
      <c r="HD23" s="202"/>
      <c r="HE23" s="202"/>
      <c r="HF23" s="202"/>
      <c r="HG23" s="202"/>
      <c r="HH23" s="202"/>
      <c r="HI23" s="202"/>
      <c r="HJ23" s="202"/>
      <c r="HK23" s="202"/>
      <c r="HL23" s="202"/>
      <c r="HM23" s="202"/>
      <c r="HN23" s="202"/>
      <c r="HO23" s="202"/>
      <c r="HP23" s="202"/>
      <c r="HQ23" s="202"/>
      <c r="HR23" s="202"/>
      <c r="HS23" s="202"/>
      <c r="HT23" s="202"/>
      <c r="HU23" s="202"/>
      <c r="HV23" s="202"/>
      <c r="HW23" s="202"/>
      <c r="HX23" s="202"/>
      <c r="HY23" s="202"/>
      <c r="HZ23" s="202"/>
      <c r="IA23" s="202"/>
      <c r="IB23" s="202"/>
      <c r="IC23" s="202"/>
      <c r="ID23" s="202"/>
      <c r="IE23" s="202"/>
      <c r="IF23" s="202"/>
      <c r="IG23" s="202"/>
      <c r="IH23" s="202"/>
      <c r="II23" s="202"/>
      <c r="IJ23" s="202"/>
      <c r="IK23" s="202"/>
      <c r="IL23" s="202"/>
      <c r="IM23" s="202"/>
      <c r="IN23" s="202"/>
      <c r="IO23" s="202"/>
      <c r="IP23" s="202"/>
      <c r="IQ23" s="202"/>
      <c r="IR23" s="202"/>
      <c r="IS23" s="202"/>
      <c r="IT23" s="202"/>
      <c r="IU23" s="202"/>
      <c r="IV23" s="202"/>
    </row>
    <row r="24" spans="1:256" ht="15.75">
      <c r="A24" s="220" t="s">
        <v>753</v>
      </c>
      <c r="B24" s="1127"/>
      <c r="C24" s="1127"/>
      <c r="D24" s="1127"/>
      <c r="E24" s="1127"/>
      <c r="F24" s="202"/>
      <c r="G24" s="204" t="s">
        <v>166</v>
      </c>
      <c r="H24" s="208"/>
      <c r="I24" s="206"/>
      <c r="J24" s="206"/>
      <c r="K24" s="206"/>
      <c r="L24" s="202"/>
      <c r="M24" s="202"/>
      <c r="N24" s="202"/>
      <c r="O24" s="202"/>
      <c r="P24" s="202"/>
      <c r="Q24" s="202"/>
      <c r="R24" s="202"/>
      <c r="S24" s="202"/>
      <c r="T24" s="202"/>
      <c r="U24" s="202"/>
      <c r="V24" s="202"/>
      <c r="W24" s="202"/>
      <c r="X24" s="202"/>
      <c r="Y24" s="202"/>
      <c r="Z24" s="202"/>
      <c r="AA24" s="202"/>
      <c r="AB24" s="202"/>
      <c r="AC24" s="202"/>
      <c r="AD24" s="202"/>
      <c r="AE24" s="202"/>
      <c r="AF24" s="202"/>
      <c r="AG24" s="202"/>
      <c r="AH24" s="202"/>
      <c r="AI24" s="202"/>
      <c r="AJ24" s="202"/>
      <c r="AK24" s="202"/>
      <c r="AL24" s="202"/>
      <c r="AM24" s="202"/>
      <c r="AN24" s="202"/>
      <c r="AO24" s="202"/>
      <c r="AP24" s="202"/>
      <c r="AQ24" s="202"/>
      <c r="AR24" s="202"/>
      <c r="AS24" s="202"/>
      <c r="AT24" s="202"/>
      <c r="AU24" s="202"/>
      <c r="AV24" s="202"/>
      <c r="AW24" s="202"/>
      <c r="AX24" s="202"/>
      <c r="AY24" s="202"/>
      <c r="AZ24" s="202"/>
      <c r="BA24" s="202"/>
      <c r="BB24" s="202"/>
      <c r="BC24" s="202"/>
      <c r="BD24" s="202"/>
      <c r="BE24" s="202"/>
      <c r="BF24" s="202"/>
      <c r="BG24" s="202"/>
      <c r="BH24" s="202"/>
      <c r="BI24" s="202"/>
      <c r="BJ24" s="202"/>
      <c r="BK24" s="202"/>
      <c r="BL24" s="202"/>
      <c r="BM24" s="202"/>
      <c r="BN24" s="202"/>
      <c r="BO24" s="202"/>
      <c r="BP24" s="202"/>
      <c r="BQ24" s="202"/>
      <c r="BR24" s="202"/>
      <c r="BS24" s="202"/>
      <c r="BT24" s="202"/>
      <c r="BU24" s="202"/>
      <c r="BV24" s="202"/>
      <c r="BW24" s="202"/>
      <c r="BX24" s="202"/>
      <c r="BY24" s="202"/>
      <c r="BZ24" s="202"/>
      <c r="CA24" s="202"/>
      <c r="CB24" s="202"/>
      <c r="CC24" s="202"/>
      <c r="CD24" s="202"/>
      <c r="CE24" s="202"/>
      <c r="CF24" s="202"/>
      <c r="CG24" s="202"/>
      <c r="CH24" s="202"/>
      <c r="CI24" s="202"/>
      <c r="CJ24" s="202"/>
      <c r="CK24" s="202"/>
      <c r="CL24" s="202"/>
      <c r="CM24" s="202"/>
      <c r="CN24" s="202"/>
      <c r="CO24" s="202"/>
      <c r="CP24" s="202"/>
      <c r="CQ24" s="202"/>
      <c r="CR24" s="202"/>
      <c r="CS24" s="202"/>
      <c r="CT24" s="202"/>
      <c r="CU24" s="202"/>
      <c r="CV24" s="202"/>
      <c r="CW24" s="202"/>
      <c r="CX24" s="202"/>
      <c r="CY24" s="202"/>
      <c r="CZ24" s="202"/>
      <c r="DA24" s="202"/>
      <c r="DB24" s="202"/>
      <c r="DC24" s="202"/>
      <c r="DD24" s="202"/>
      <c r="DE24" s="202"/>
      <c r="DF24" s="202"/>
      <c r="DG24" s="202"/>
      <c r="DH24" s="202"/>
      <c r="DI24" s="202"/>
      <c r="DJ24" s="202"/>
      <c r="DK24" s="202"/>
      <c r="DL24" s="202"/>
      <c r="DM24" s="202"/>
      <c r="DN24" s="202"/>
      <c r="DO24" s="202"/>
      <c r="DP24" s="202"/>
      <c r="DQ24" s="202"/>
      <c r="DR24" s="202"/>
      <c r="DS24" s="202"/>
      <c r="DT24" s="202"/>
      <c r="DU24" s="202"/>
      <c r="DV24" s="202"/>
      <c r="DW24" s="202"/>
      <c r="DX24" s="202"/>
      <c r="DY24" s="202"/>
      <c r="DZ24" s="202"/>
      <c r="EA24" s="202"/>
      <c r="EB24" s="202"/>
      <c r="EC24" s="202"/>
      <c r="ED24" s="202"/>
      <c r="EE24" s="202"/>
      <c r="EF24" s="202"/>
      <c r="EG24" s="202"/>
      <c r="EH24" s="202"/>
      <c r="EI24" s="202"/>
      <c r="EJ24" s="202"/>
      <c r="EK24" s="202"/>
      <c r="EL24" s="202"/>
      <c r="EM24" s="202"/>
      <c r="EN24" s="202"/>
      <c r="EO24" s="202"/>
      <c r="EP24" s="202"/>
      <c r="EQ24" s="202"/>
      <c r="ER24" s="202"/>
      <c r="ES24" s="202"/>
      <c r="ET24" s="202"/>
      <c r="EU24" s="202"/>
      <c r="EV24" s="202"/>
      <c r="EW24" s="202"/>
      <c r="EX24" s="202"/>
      <c r="EY24" s="202"/>
      <c r="EZ24" s="202"/>
      <c r="FA24" s="202"/>
      <c r="FB24" s="202"/>
      <c r="FC24" s="202"/>
      <c r="FD24" s="202"/>
      <c r="FE24" s="202"/>
      <c r="FF24" s="202"/>
      <c r="FG24" s="202"/>
      <c r="FH24" s="202"/>
      <c r="FI24" s="202"/>
      <c r="FJ24" s="202"/>
      <c r="FK24" s="202"/>
      <c r="FL24" s="202"/>
      <c r="FM24" s="202"/>
      <c r="FN24" s="202"/>
      <c r="FO24" s="202"/>
      <c r="FP24" s="202"/>
      <c r="FQ24" s="202"/>
      <c r="FR24" s="202"/>
      <c r="FS24" s="202"/>
      <c r="FT24" s="202"/>
      <c r="FU24" s="202"/>
      <c r="FV24" s="202"/>
      <c r="FW24" s="202"/>
      <c r="FX24" s="202"/>
      <c r="FY24" s="202"/>
      <c r="FZ24" s="202"/>
      <c r="GA24" s="202"/>
      <c r="GB24" s="202"/>
      <c r="GC24" s="202"/>
      <c r="GD24" s="202"/>
      <c r="GE24" s="202"/>
      <c r="GF24" s="202"/>
      <c r="GG24" s="202"/>
      <c r="GH24" s="202"/>
      <c r="GI24" s="202"/>
      <c r="GJ24" s="202"/>
      <c r="GK24" s="202"/>
      <c r="GL24" s="202"/>
      <c r="GM24" s="202"/>
      <c r="GN24" s="202"/>
      <c r="GO24" s="202"/>
      <c r="GP24" s="202"/>
      <c r="GQ24" s="202"/>
      <c r="GR24" s="202"/>
      <c r="GS24" s="202"/>
      <c r="GT24" s="202"/>
      <c r="GU24" s="202"/>
      <c r="GV24" s="202"/>
      <c r="GW24" s="202"/>
      <c r="GX24" s="202"/>
      <c r="GY24" s="202"/>
      <c r="GZ24" s="202"/>
      <c r="HA24" s="202"/>
      <c r="HB24" s="202"/>
      <c r="HC24" s="202"/>
      <c r="HD24" s="202"/>
      <c r="HE24" s="202"/>
      <c r="HF24" s="202"/>
      <c r="HG24" s="202"/>
      <c r="HH24" s="202"/>
      <c r="HI24" s="202"/>
      <c r="HJ24" s="202"/>
      <c r="HK24" s="202"/>
      <c r="HL24" s="202"/>
      <c r="HM24" s="202"/>
      <c r="HN24" s="202"/>
      <c r="HO24" s="202"/>
      <c r="HP24" s="202"/>
      <c r="HQ24" s="202"/>
      <c r="HR24" s="202"/>
      <c r="HS24" s="202"/>
      <c r="HT24" s="202"/>
      <c r="HU24" s="202"/>
      <c r="HV24" s="202"/>
      <c r="HW24" s="202"/>
      <c r="HX24" s="202"/>
      <c r="HY24" s="202"/>
      <c r="HZ24" s="202"/>
      <c r="IA24" s="202"/>
      <c r="IB24" s="202"/>
      <c r="IC24" s="202"/>
      <c r="ID24" s="202"/>
      <c r="IE24" s="202"/>
      <c r="IF24" s="202"/>
      <c r="IG24" s="202"/>
      <c r="IH24" s="202"/>
      <c r="II24" s="202"/>
      <c r="IJ24" s="202"/>
      <c r="IK24" s="202"/>
      <c r="IL24" s="202"/>
      <c r="IM24" s="202"/>
      <c r="IN24" s="202"/>
      <c r="IO24" s="202"/>
      <c r="IP24" s="202"/>
      <c r="IQ24" s="202"/>
      <c r="IR24" s="202"/>
      <c r="IS24" s="202"/>
      <c r="IT24" s="202"/>
      <c r="IU24" s="202"/>
      <c r="IV24" s="202"/>
    </row>
    <row r="30" spans="1:256" ht="15.75" customHeight="1" thickBot="1">
      <c r="A30" s="209"/>
      <c r="B30" s="209"/>
      <c r="C30" s="209"/>
      <c r="D30" s="209"/>
      <c r="E30" s="210"/>
      <c r="F30" s="211"/>
      <c r="G30" s="719"/>
      <c r="H30" s="720"/>
      <c r="I30" s="721"/>
      <c r="J30" s="212"/>
      <c r="K30" s="212"/>
      <c r="L30" s="211"/>
      <c r="M30" s="211"/>
      <c r="N30" s="211"/>
      <c r="O30" s="211"/>
      <c r="P30" s="211"/>
      <c r="Q30" s="211"/>
      <c r="R30" s="211"/>
      <c r="S30" s="211"/>
      <c r="T30" s="211"/>
      <c r="U30" s="211"/>
      <c r="V30" s="211"/>
      <c r="W30" s="211"/>
      <c r="X30" s="211"/>
      <c r="Y30" s="211"/>
      <c r="Z30" s="211"/>
      <c r="AA30" s="211"/>
      <c r="AB30" s="211"/>
      <c r="AC30" s="211"/>
      <c r="AD30" s="211"/>
      <c r="AE30" s="211"/>
      <c r="AF30" s="211"/>
      <c r="AG30" s="211"/>
      <c r="AH30" s="211"/>
      <c r="AI30" s="211"/>
      <c r="AJ30" s="211"/>
      <c r="AK30" s="211"/>
      <c r="AL30" s="211"/>
      <c r="AM30" s="211"/>
      <c r="AN30" s="211"/>
      <c r="AO30" s="211"/>
      <c r="AP30" s="211"/>
      <c r="AQ30" s="211"/>
      <c r="AR30" s="211"/>
      <c r="AS30" s="211"/>
      <c r="AT30" s="211"/>
      <c r="AU30" s="211"/>
      <c r="AV30" s="211"/>
      <c r="AW30" s="211"/>
      <c r="AX30" s="211"/>
      <c r="AY30" s="211"/>
      <c r="AZ30" s="211"/>
      <c r="BA30" s="211"/>
      <c r="BB30" s="211"/>
      <c r="BC30" s="211"/>
      <c r="BD30" s="211"/>
      <c r="BE30" s="211"/>
      <c r="BF30" s="211"/>
      <c r="BG30" s="211"/>
      <c r="BH30" s="211"/>
      <c r="BI30" s="211"/>
      <c r="BJ30" s="211"/>
      <c r="BK30" s="211"/>
      <c r="BL30" s="211"/>
      <c r="BM30" s="211"/>
      <c r="BN30" s="211"/>
      <c r="BO30" s="211"/>
      <c r="BP30" s="211"/>
      <c r="BQ30" s="211"/>
      <c r="BR30" s="211"/>
      <c r="BS30" s="211"/>
      <c r="BT30" s="211"/>
      <c r="BU30" s="211"/>
      <c r="BV30" s="211"/>
      <c r="BW30" s="211"/>
      <c r="BX30" s="211"/>
      <c r="BY30" s="211"/>
      <c r="BZ30" s="211"/>
      <c r="CA30" s="211"/>
      <c r="CB30" s="211"/>
      <c r="CC30" s="211"/>
      <c r="CD30" s="211"/>
      <c r="CE30" s="211"/>
      <c r="CF30" s="211"/>
      <c r="CG30" s="211"/>
      <c r="CH30" s="211"/>
      <c r="CI30" s="211"/>
      <c r="CJ30" s="211"/>
      <c r="CK30" s="211"/>
      <c r="CL30" s="211"/>
      <c r="CM30" s="211"/>
      <c r="CN30" s="211"/>
      <c r="CO30" s="211"/>
      <c r="CP30" s="211"/>
      <c r="CQ30" s="211"/>
      <c r="CR30" s="211"/>
      <c r="CS30" s="211"/>
      <c r="CT30" s="211"/>
      <c r="CU30" s="211"/>
      <c r="CV30" s="211"/>
      <c r="CW30" s="211"/>
      <c r="CX30" s="211"/>
      <c r="CY30" s="211"/>
      <c r="CZ30" s="211"/>
      <c r="DA30" s="211"/>
      <c r="DB30" s="211"/>
      <c r="DC30" s="211"/>
      <c r="DD30" s="211"/>
      <c r="DE30" s="211"/>
      <c r="DF30" s="211"/>
      <c r="DG30" s="211"/>
      <c r="DH30" s="211"/>
      <c r="DI30" s="211"/>
      <c r="DJ30" s="211"/>
      <c r="DK30" s="211"/>
      <c r="DL30" s="211"/>
      <c r="DM30" s="211"/>
      <c r="DN30" s="211"/>
      <c r="DO30" s="211"/>
      <c r="DP30" s="211"/>
      <c r="DQ30" s="211"/>
      <c r="DR30" s="211"/>
      <c r="DS30" s="211"/>
      <c r="DT30" s="211"/>
      <c r="DU30" s="211"/>
      <c r="DV30" s="211"/>
      <c r="DW30" s="211"/>
      <c r="DX30" s="211"/>
      <c r="DY30" s="211"/>
      <c r="DZ30" s="211"/>
      <c r="EA30" s="211"/>
      <c r="EB30" s="211"/>
      <c r="EC30" s="211"/>
      <c r="ED30" s="211"/>
      <c r="EE30" s="211"/>
      <c r="EF30" s="211"/>
      <c r="EG30" s="211"/>
      <c r="EH30" s="211"/>
      <c r="EI30" s="211"/>
      <c r="EJ30" s="211"/>
      <c r="EK30" s="211"/>
      <c r="EL30" s="211"/>
      <c r="EM30" s="211"/>
      <c r="EN30" s="211"/>
      <c r="EO30" s="211"/>
      <c r="EP30" s="211"/>
      <c r="EQ30" s="211"/>
      <c r="ER30" s="211"/>
      <c r="ES30" s="211"/>
      <c r="ET30" s="211"/>
      <c r="EU30" s="211"/>
      <c r="EV30" s="211"/>
      <c r="EW30" s="211"/>
      <c r="EX30" s="211"/>
      <c r="EY30" s="211"/>
      <c r="EZ30" s="211"/>
      <c r="FA30" s="211"/>
      <c r="FB30" s="211"/>
      <c r="FC30" s="211"/>
      <c r="FD30" s="211"/>
      <c r="FE30" s="211"/>
      <c r="FF30" s="211"/>
      <c r="FG30" s="211"/>
      <c r="FH30" s="211"/>
      <c r="FI30" s="211"/>
      <c r="FJ30" s="211"/>
      <c r="FK30" s="211"/>
      <c r="FL30" s="211"/>
      <c r="FM30" s="211"/>
      <c r="FN30" s="211"/>
      <c r="FO30" s="211"/>
      <c r="FP30" s="211"/>
      <c r="FQ30" s="211"/>
      <c r="FR30" s="211"/>
      <c r="FS30" s="211"/>
      <c r="FT30" s="211"/>
      <c r="FU30" s="211"/>
      <c r="FV30" s="211"/>
      <c r="FW30" s="211"/>
      <c r="FX30" s="211"/>
      <c r="FY30" s="211"/>
      <c r="FZ30" s="211"/>
      <c r="GA30" s="211"/>
      <c r="GB30" s="211"/>
      <c r="GC30" s="211"/>
      <c r="GD30" s="211"/>
      <c r="GE30" s="211"/>
      <c r="GF30" s="211"/>
      <c r="GG30" s="211"/>
      <c r="GH30" s="211"/>
      <c r="GI30" s="211"/>
      <c r="GJ30" s="211"/>
      <c r="GK30" s="211"/>
      <c r="GL30" s="211"/>
      <c r="GM30" s="211"/>
      <c r="GN30" s="211"/>
      <c r="GO30" s="211"/>
      <c r="GP30" s="211"/>
      <c r="GQ30" s="211"/>
      <c r="GR30" s="211"/>
      <c r="GS30" s="211"/>
      <c r="GT30" s="211"/>
      <c r="GU30" s="211"/>
      <c r="GV30" s="211"/>
      <c r="GW30" s="211"/>
      <c r="GX30" s="211"/>
      <c r="GY30" s="211"/>
      <c r="GZ30" s="211"/>
      <c r="HA30" s="211"/>
      <c r="HB30" s="211"/>
      <c r="HC30" s="211"/>
      <c r="HD30" s="211"/>
      <c r="HE30" s="211"/>
      <c r="HF30" s="211"/>
      <c r="HG30" s="211"/>
      <c r="HH30" s="211"/>
      <c r="HI30" s="211"/>
      <c r="HJ30" s="211"/>
      <c r="HK30" s="211"/>
      <c r="HL30" s="211"/>
      <c r="HM30" s="211"/>
      <c r="HN30" s="211"/>
      <c r="HO30" s="211"/>
      <c r="HP30" s="211"/>
      <c r="HQ30" s="211"/>
      <c r="HR30" s="211"/>
      <c r="HS30" s="211"/>
      <c r="HT30" s="211"/>
      <c r="HU30" s="211"/>
      <c r="HV30" s="211"/>
      <c r="HW30" s="211"/>
      <c r="HX30" s="211"/>
      <c r="HY30" s="211"/>
      <c r="HZ30" s="211"/>
      <c r="IA30" s="211"/>
      <c r="IB30" s="211"/>
      <c r="IC30" s="211"/>
      <c r="ID30" s="211"/>
      <c r="IE30" s="211"/>
      <c r="IF30" s="211"/>
      <c r="IG30" s="211"/>
      <c r="IH30" s="211"/>
      <c r="II30" s="211"/>
      <c r="IJ30" s="211"/>
      <c r="IK30" s="211"/>
      <c r="IL30" s="211"/>
      <c r="IM30" s="211"/>
      <c r="IN30" s="211"/>
      <c r="IO30" s="211"/>
      <c r="IP30" s="211"/>
      <c r="IQ30" s="211"/>
      <c r="IR30" s="211"/>
      <c r="IS30" s="211"/>
      <c r="IT30" s="211"/>
      <c r="IU30" s="211"/>
      <c r="IV30" s="211"/>
    </row>
    <row r="31" spans="1:256" ht="15.75">
      <c r="A31" s="1351" t="s">
        <v>135</v>
      </c>
      <c r="B31" s="1351"/>
      <c r="C31" s="1351"/>
      <c r="D31" s="1351"/>
      <c r="E31" s="1351"/>
      <c r="F31" s="202"/>
      <c r="G31" s="1351" t="s">
        <v>517</v>
      </c>
      <c r="H31" s="1351"/>
      <c r="I31" s="1351"/>
      <c r="J31" s="1351"/>
      <c r="K31" s="212"/>
      <c r="L31" s="211"/>
      <c r="M31" s="211"/>
      <c r="N31" s="211"/>
      <c r="O31" s="211"/>
      <c r="P31" s="211"/>
      <c r="Q31" s="211"/>
      <c r="R31" s="211"/>
      <c r="S31" s="211"/>
      <c r="T31" s="211"/>
      <c r="U31" s="211"/>
      <c r="V31" s="211"/>
      <c r="W31" s="211"/>
      <c r="X31" s="211"/>
      <c r="Y31" s="211"/>
      <c r="Z31" s="211"/>
      <c r="AA31" s="211"/>
      <c r="AB31" s="211"/>
      <c r="AC31" s="211"/>
      <c r="AD31" s="211"/>
      <c r="AE31" s="211"/>
      <c r="AF31" s="211"/>
      <c r="AG31" s="211"/>
      <c r="AH31" s="211"/>
      <c r="AI31" s="211"/>
      <c r="AJ31" s="211"/>
      <c r="AK31" s="211"/>
      <c r="AL31" s="211"/>
      <c r="AM31" s="211"/>
      <c r="AN31" s="211"/>
      <c r="AO31" s="211"/>
      <c r="AP31" s="211"/>
      <c r="AQ31" s="211"/>
      <c r="AR31" s="211"/>
      <c r="AS31" s="211"/>
      <c r="AT31" s="211"/>
      <c r="AU31" s="211"/>
      <c r="AV31" s="211"/>
      <c r="AW31" s="211"/>
      <c r="AX31" s="211"/>
      <c r="AY31" s="211"/>
      <c r="AZ31" s="211"/>
      <c r="BA31" s="211"/>
      <c r="BB31" s="211"/>
      <c r="BC31" s="211"/>
      <c r="BD31" s="211"/>
      <c r="BE31" s="211"/>
      <c r="BF31" s="211"/>
      <c r="BG31" s="211"/>
      <c r="BH31" s="211"/>
      <c r="BI31" s="211"/>
      <c r="BJ31" s="211"/>
      <c r="BK31" s="211"/>
      <c r="BL31" s="211"/>
      <c r="BM31" s="211"/>
      <c r="BN31" s="211"/>
      <c r="BO31" s="211"/>
      <c r="BP31" s="211"/>
      <c r="BQ31" s="211"/>
      <c r="BR31" s="211"/>
      <c r="BS31" s="211"/>
      <c r="BT31" s="211"/>
      <c r="BU31" s="211"/>
      <c r="BV31" s="211"/>
      <c r="BW31" s="211"/>
      <c r="BX31" s="211"/>
      <c r="BY31" s="211"/>
      <c r="BZ31" s="211"/>
      <c r="CA31" s="211"/>
      <c r="CB31" s="211"/>
      <c r="CC31" s="211"/>
      <c r="CD31" s="211"/>
      <c r="CE31" s="211"/>
      <c r="CF31" s="211"/>
      <c r="CG31" s="211"/>
      <c r="CH31" s="211"/>
      <c r="CI31" s="211"/>
      <c r="CJ31" s="211"/>
      <c r="CK31" s="211"/>
      <c r="CL31" s="211"/>
      <c r="CM31" s="211"/>
      <c r="CN31" s="211"/>
      <c r="CO31" s="211"/>
      <c r="CP31" s="211"/>
      <c r="CQ31" s="211"/>
      <c r="CR31" s="211"/>
      <c r="CS31" s="211"/>
      <c r="CT31" s="211"/>
      <c r="CU31" s="211"/>
      <c r="CV31" s="211"/>
      <c r="CW31" s="211"/>
      <c r="CX31" s="211"/>
      <c r="CY31" s="211"/>
      <c r="CZ31" s="211"/>
      <c r="DA31" s="211"/>
      <c r="DB31" s="211"/>
      <c r="DC31" s="211"/>
      <c r="DD31" s="211"/>
      <c r="DE31" s="211"/>
      <c r="DF31" s="211"/>
      <c r="DG31" s="211"/>
      <c r="DH31" s="211"/>
      <c r="DI31" s="211"/>
      <c r="DJ31" s="211"/>
      <c r="DK31" s="211"/>
      <c r="DL31" s="211"/>
      <c r="DM31" s="211"/>
      <c r="DN31" s="211"/>
      <c r="DO31" s="211"/>
      <c r="DP31" s="211"/>
      <c r="DQ31" s="211"/>
      <c r="DR31" s="211"/>
      <c r="DS31" s="211"/>
      <c r="DT31" s="211"/>
      <c r="DU31" s="211"/>
      <c r="DV31" s="211"/>
      <c r="DW31" s="211"/>
      <c r="DX31" s="211"/>
      <c r="DY31" s="211"/>
      <c r="DZ31" s="211"/>
      <c r="EA31" s="211"/>
      <c r="EB31" s="211"/>
      <c r="EC31" s="211"/>
      <c r="ED31" s="211"/>
      <c r="EE31" s="211"/>
      <c r="EF31" s="211"/>
      <c r="EG31" s="211"/>
      <c r="EH31" s="211"/>
      <c r="EI31" s="211"/>
      <c r="EJ31" s="211"/>
      <c r="EK31" s="211"/>
      <c r="EL31" s="211"/>
      <c r="EM31" s="211"/>
      <c r="EN31" s="211"/>
      <c r="EO31" s="211"/>
      <c r="EP31" s="211"/>
      <c r="EQ31" s="211"/>
      <c r="ER31" s="211"/>
      <c r="ES31" s="211"/>
      <c r="ET31" s="211"/>
      <c r="EU31" s="211"/>
      <c r="EV31" s="211"/>
      <c r="EW31" s="211"/>
      <c r="EX31" s="211"/>
      <c r="EY31" s="211"/>
      <c r="EZ31" s="211"/>
      <c r="FA31" s="211"/>
      <c r="FB31" s="211"/>
      <c r="FC31" s="211"/>
      <c r="FD31" s="211"/>
      <c r="FE31" s="211"/>
      <c r="FF31" s="211"/>
      <c r="FG31" s="211"/>
      <c r="FH31" s="211"/>
      <c r="FI31" s="211"/>
      <c r="FJ31" s="211"/>
      <c r="FK31" s="211"/>
      <c r="FL31" s="211"/>
      <c r="FM31" s="211"/>
      <c r="FN31" s="211"/>
      <c r="FO31" s="211"/>
      <c r="FP31" s="211"/>
      <c r="FQ31" s="211"/>
      <c r="FR31" s="211"/>
      <c r="FS31" s="211"/>
      <c r="FT31" s="211"/>
      <c r="FU31" s="211"/>
      <c r="FV31" s="211"/>
      <c r="FW31" s="211"/>
      <c r="FX31" s="211"/>
      <c r="FY31" s="211"/>
      <c r="FZ31" s="211"/>
      <c r="GA31" s="211"/>
      <c r="GB31" s="211"/>
      <c r="GC31" s="211"/>
      <c r="GD31" s="211"/>
      <c r="GE31" s="211"/>
      <c r="GF31" s="211"/>
      <c r="GG31" s="211"/>
      <c r="GH31" s="211"/>
      <c r="GI31" s="211"/>
      <c r="GJ31" s="211"/>
      <c r="GK31" s="211"/>
      <c r="GL31" s="211"/>
      <c r="GM31" s="211"/>
      <c r="GN31" s="211"/>
      <c r="GO31" s="211"/>
      <c r="GP31" s="211"/>
      <c r="GQ31" s="211"/>
      <c r="GR31" s="211"/>
      <c r="GS31" s="211"/>
      <c r="GT31" s="211"/>
      <c r="GU31" s="211"/>
      <c r="GV31" s="211"/>
      <c r="GW31" s="211"/>
      <c r="GX31" s="211"/>
      <c r="GY31" s="211"/>
      <c r="GZ31" s="211"/>
      <c r="HA31" s="211"/>
      <c r="HB31" s="211"/>
      <c r="HC31" s="211"/>
      <c r="HD31" s="211"/>
      <c r="HE31" s="211"/>
      <c r="HF31" s="211"/>
      <c r="HG31" s="211"/>
      <c r="HH31" s="211"/>
      <c r="HI31" s="211"/>
      <c r="HJ31" s="211"/>
      <c r="HK31" s="211"/>
      <c r="HL31" s="211"/>
      <c r="HM31" s="211"/>
      <c r="HN31" s="211"/>
      <c r="HO31" s="211"/>
      <c r="HP31" s="211"/>
      <c r="HQ31" s="211"/>
      <c r="HR31" s="211"/>
      <c r="HS31" s="211"/>
      <c r="HT31" s="211"/>
      <c r="HU31" s="211"/>
      <c r="HV31" s="211"/>
      <c r="HW31" s="211"/>
      <c r="HX31" s="211"/>
      <c r="HY31" s="211"/>
      <c r="HZ31" s="211"/>
      <c r="IA31" s="211"/>
      <c r="IB31" s="211"/>
      <c r="IC31" s="211"/>
      <c r="ID31" s="211"/>
      <c r="IE31" s="211"/>
      <c r="IF31" s="211"/>
      <c r="IG31" s="211"/>
      <c r="IH31" s="211"/>
      <c r="II31" s="211"/>
      <c r="IJ31" s="211"/>
      <c r="IK31" s="211"/>
      <c r="IL31" s="211"/>
      <c r="IM31" s="211"/>
      <c r="IN31" s="211"/>
      <c r="IO31" s="211"/>
      <c r="IP31" s="211"/>
      <c r="IQ31" s="211"/>
      <c r="IR31" s="211"/>
      <c r="IS31" s="211"/>
      <c r="IT31" s="211"/>
      <c r="IU31" s="211"/>
      <c r="IV31" s="211"/>
    </row>
    <row r="32" spans="1:256" ht="15.75" customHeight="1">
      <c r="A32" s="204" t="s">
        <v>145</v>
      </c>
      <c r="B32" s="1127"/>
      <c r="C32" s="1127"/>
      <c r="D32" s="1127"/>
      <c r="E32" s="1127"/>
      <c r="F32" s="218"/>
      <c r="G32" s="1218" t="s">
        <v>519</v>
      </c>
      <c r="H32" s="1218"/>
      <c r="I32" s="1218"/>
      <c r="J32" s="204"/>
      <c r="K32" s="212"/>
      <c r="L32" s="211"/>
      <c r="M32" s="211"/>
      <c r="N32" s="211"/>
      <c r="O32" s="211"/>
      <c r="P32" s="211"/>
      <c r="Q32" s="211"/>
      <c r="R32" s="211"/>
      <c r="S32" s="211"/>
      <c r="T32" s="211"/>
      <c r="U32" s="211"/>
      <c r="V32" s="211"/>
      <c r="W32" s="211"/>
      <c r="X32" s="211"/>
      <c r="Y32" s="211"/>
      <c r="Z32" s="211"/>
      <c r="AA32" s="211"/>
      <c r="AB32" s="211"/>
      <c r="AC32" s="211"/>
      <c r="AD32" s="211"/>
      <c r="AE32" s="211"/>
      <c r="AF32" s="211"/>
      <c r="AG32" s="211"/>
      <c r="AH32" s="213"/>
      <c r="AI32" s="213"/>
      <c r="AJ32" s="213"/>
      <c r="AK32" s="213"/>
      <c r="AL32" s="213"/>
      <c r="AM32" s="213"/>
      <c r="AN32" s="213"/>
      <c r="AO32" s="213"/>
      <c r="AP32" s="213"/>
      <c r="AQ32" s="213"/>
      <c r="AR32" s="213"/>
      <c r="AS32" s="213"/>
      <c r="AT32" s="213"/>
      <c r="AU32" s="213"/>
      <c r="AV32" s="213"/>
      <c r="AW32" s="213"/>
      <c r="AX32" s="213"/>
      <c r="AY32" s="213"/>
      <c r="AZ32" s="213"/>
      <c r="BA32" s="213"/>
      <c r="BB32" s="213"/>
      <c r="BC32" s="213"/>
      <c r="BD32" s="213"/>
      <c r="BE32" s="213"/>
      <c r="BF32" s="213"/>
      <c r="BG32" s="213"/>
      <c r="BH32" s="213"/>
      <c r="BI32" s="213"/>
      <c r="BJ32" s="213"/>
      <c r="BK32" s="213"/>
      <c r="BL32" s="213"/>
      <c r="BM32" s="213"/>
      <c r="BN32" s="213"/>
      <c r="BO32" s="213"/>
      <c r="BP32" s="213"/>
      <c r="BQ32" s="213"/>
      <c r="BR32" s="213"/>
      <c r="BS32" s="213"/>
      <c r="BT32" s="213"/>
      <c r="BU32" s="213"/>
      <c r="BV32" s="213"/>
      <c r="BW32" s="213"/>
      <c r="BX32" s="213"/>
      <c r="BY32" s="213"/>
      <c r="BZ32" s="213"/>
      <c r="CA32" s="213"/>
      <c r="CB32" s="213"/>
      <c r="CC32" s="213"/>
      <c r="CD32" s="213"/>
      <c r="CE32" s="213"/>
      <c r="CF32" s="213"/>
      <c r="CG32" s="213"/>
      <c r="CH32" s="213"/>
      <c r="CI32" s="213"/>
      <c r="CJ32" s="213"/>
      <c r="CK32" s="213"/>
      <c r="CL32" s="213"/>
      <c r="CM32" s="213"/>
      <c r="CN32" s="213"/>
      <c r="CO32" s="213"/>
      <c r="CP32" s="213"/>
      <c r="CQ32" s="213"/>
      <c r="CR32" s="213"/>
      <c r="CS32" s="213"/>
      <c r="CT32" s="213"/>
      <c r="CU32" s="213"/>
      <c r="CV32" s="213"/>
      <c r="CW32" s="213"/>
      <c r="CX32" s="213"/>
      <c r="CY32" s="213"/>
      <c r="CZ32" s="213"/>
      <c r="DA32" s="213"/>
      <c r="DB32" s="213"/>
      <c r="DC32" s="213"/>
      <c r="DD32" s="213"/>
      <c r="DE32" s="213"/>
      <c r="DF32" s="213"/>
      <c r="DG32" s="213"/>
      <c r="DH32" s="213"/>
      <c r="DI32" s="213"/>
      <c r="DJ32" s="213"/>
      <c r="DK32" s="213"/>
      <c r="DL32" s="213"/>
      <c r="DM32" s="213"/>
      <c r="DN32" s="213"/>
      <c r="DO32" s="213"/>
      <c r="DP32" s="213"/>
      <c r="DQ32" s="213"/>
      <c r="DR32" s="213"/>
      <c r="DS32" s="213"/>
      <c r="DT32" s="213"/>
      <c r="DU32" s="213"/>
      <c r="DV32" s="213"/>
      <c r="DW32" s="213"/>
      <c r="DX32" s="213"/>
      <c r="DY32" s="213"/>
      <c r="DZ32" s="213"/>
      <c r="EA32" s="213"/>
      <c r="EB32" s="213"/>
      <c r="EC32" s="213"/>
      <c r="ED32" s="213"/>
      <c r="EE32" s="213"/>
      <c r="EF32" s="213"/>
      <c r="EG32" s="213"/>
      <c r="EH32" s="213"/>
      <c r="EI32" s="213"/>
      <c r="EJ32" s="213"/>
      <c r="EK32" s="213"/>
      <c r="EL32" s="213"/>
      <c r="EM32" s="213"/>
      <c r="EN32" s="213"/>
      <c r="EO32" s="213"/>
      <c r="EP32" s="213"/>
      <c r="EQ32" s="213"/>
      <c r="ER32" s="213"/>
      <c r="ES32" s="213"/>
      <c r="ET32" s="213"/>
      <c r="EU32" s="213"/>
      <c r="EV32" s="213"/>
      <c r="EW32" s="213"/>
      <c r="EX32" s="213"/>
      <c r="EY32" s="213"/>
      <c r="EZ32" s="213"/>
      <c r="FA32" s="213"/>
      <c r="FB32" s="213"/>
      <c r="FC32" s="213"/>
      <c r="FD32" s="213"/>
      <c r="FE32" s="213"/>
      <c r="FF32" s="213"/>
      <c r="FG32" s="213"/>
      <c r="FH32" s="213"/>
      <c r="FI32" s="213"/>
      <c r="FJ32" s="213"/>
      <c r="FK32" s="213"/>
      <c r="FL32" s="213"/>
      <c r="FM32" s="213"/>
      <c r="FN32" s="213"/>
      <c r="FO32" s="213"/>
      <c r="FP32" s="213"/>
      <c r="FQ32" s="213"/>
      <c r="FR32" s="213"/>
      <c r="FS32" s="213"/>
      <c r="FT32" s="213"/>
      <c r="FU32" s="213"/>
      <c r="FV32" s="213"/>
      <c r="FW32" s="213"/>
      <c r="FX32" s="213"/>
      <c r="FY32" s="213"/>
      <c r="FZ32" s="213"/>
      <c r="GA32" s="213"/>
      <c r="GB32" s="213"/>
      <c r="GC32" s="213"/>
      <c r="GD32" s="213"/>
      <c r="GE32" s="213"/>
      <c r="GF32" s="213"/>
      <c r="GG32" s="213"/>
      <c r="GH32" s="213"/>
      <c r="GI32" s="213"/>
      <c r="GJ32" s="213"/>
      <c r="GK32" s="213"/>
      <c r="GL32" s="213"/>
      <c r="GM32" s="213"/>
      <c r="GN32" s="213"/>
      <c r="GO32" s="213"/>
      <c r="GP32" s="213"/>
      <c r="GQ32" s="213"/>
      <c r="GR32" s="213"/>
      <c r="GS32" s="213"/>
      <c r="GT32" s="213"/>
      <c r="GU32" s="213"/>
      <c r="GV32" s="213"/>
      <c r="GW32" s="213"/>
      <c r="GX32" s="213"/>
      <c r="GY32" s="213"/>
      <c r="GZ32" s="213"/>
      <c r="HA32" s="213"/>
      <c r="HB32" s="213"/>
      <c r="HC32" s="213"/>
      <c r="HD32" s="213"/>
      <c r="HE32" s="213"/>
      <c r="HF32" s="213"/>
      <c r="HG32" s="213"/>
      <c r="HH32" s="213"/>
      <c r="HI32" s="213"/>
      <c r="HJ32" s="213"/>
      <c r="HK32" s="213"/>
      <c r="HL32" s="213"/>
      <c r="HM32" s="213"/>
      <c r="HN32" s="213"/>
      <c r="HO32" s="213"/>
      <c r="HP32" s="213"/>
      <c r="HQ32" s="213"/>
      <c r="HR32" s="213"/>
      <c r="HS32" s="213"/>
      <c r="HT32" s="213"/>
      <c r="HU32" s="213"/>
      <c r="HV32" s="213"/>
      <c r="HW32" s="213"/>
      <c r="HX32" s="213"/>
      <c r="HY32" s="213"/>
      <c r="HZ32" s="213"/>
      <c r="IA32" s="213"/>
      <c r="IB32" s="213"/>
      <c r="IC32" s="213"/>
      <c r="ID32" s="213"/>
      <c r="IE32" s="213"/>
      <c r="IF32" s="213"/>
      <c r="IG32" s="213"/>
      <c r="IH32" s="213"/>
      <c r="II32" s="213"/>
      <c r="IJ32" s="213"/>
      <c r="IK32" s="213"/>
      <c r="IL32" s="213"/>
      <c r="IM32" s="213"/>
      <c r="IN32" s="213"/>
      <c r="IO32" s="213"/>
      <c r="IP32" s="213"/>
      <c r="IQ32" s="213"/>
      <c r="IR32" s="213"/>
      <c r="IS32" s="213"/>
      <c r="IT32" s="213"/>
      <c r="IU32" s="213"/>
      <c r="IV32" s="213"/>
    </row>
    <row r="33" spans="1:256" ht="15.75">
      <c r="A33" s="1218" t="s">
        <v>48</v>
      </c>
      <c r="B33" s="1218"/>
      <c r="C33" s="1218"/>
      <c r="D33" s="1218"/>
      <c r="E33" s="1127"/>
      <c r="F33" s="219"/>
      <c r="G33" s="1218" t="s">
        <v>48</v>
      </c>
      <c r="H33" s="1218"/>
      <c r="I33" s="1218"/>
      <c r="J33" s="1218"/>
      <c r="K33" s="212"/>
      <c r="L33" s="211"/>
      <c r="M33" s="211"/>
      <c r="N33" s="211"/>
      <c r="O33" s="211"/>
      <c r="P33" s="211"/>
      <c r="Q33" s="211"/>
      <c r="R33" s="211"/>
      <c r="S33" s="211"/>
      <c r="T33" s="211"/>
      <c r="U33" s="211"/>
      <c r="V33" s="211"/>
      <c r="W33" s="211"/>
      <c r="X33" s="211"/>
      <c r="Y33" s="211"/>
      <c r="Z33" s="211"/>
      <c r="AA33" s="211"/>
      <c r="AB33" s="211"/>
      <c r="AC33" s="211"/>
      <c r="AD33" s="211"/>
      <c r="AE33" s="211"/>
      <c r="AF33" s="211"/>
      <c r="AG33" s="211"/>
      <c r="AH33" s="213"/>
      <c r="AI33" s="213"/>
      <c r="AJ33" s="213"/>
      <c r="AK33" s="213"/>
      <c r="AL33" s="213"/>
      <c r="AM33" s="213"/>
      <c r="AN33" s="213"/>
      <c r="AO33" s="213"/>
      <c r="AP33" s="213"/>
      <c r="AQ33" s="213"/>
      <c r="AR33" s="213"/>
      <c r="AS33" s="213"/>
      <c r="AT33" s="213"/>
      <c r="AU33" s="213"/>
      <c r="AV33" s="213"/>
      <c r="AW33" s="213"/>
      <c r="AX33" s="213"/>
      <c r="AY33" s="213"/>
      <c r="AZ33" s="213"/>
      <c r="BA33" s="213"/>
      <c r="BB33" s="213"/>
      <c r="BC33" s="213"/>
      <c r="BD33" s="213"/>
      <c r="BE33" s="213"/>
      <c r="BF33" s="213"/>
      <c r="BG33" s="213"/>
      <c r="BH33" s="213"/>
      <c r="BI33" s="213"/>
      <c r="BJ33" s="213"/>
      <c r="BK33" s="213"/>
      <c r="BL33" s="213"/>
      <c r="BM33" s="213"/>
      <c r="BN33" s="213"/>
      <c r="BO33" s="213"/>
      <c r="BP33" s="213"/>
      <c r="BQ33" s="213"/>
      <c r="BR33" s="213"/>
      <c r="BS33" s="213"/>
      <c r="BT33" s="213"/>
      <c r="BU33" s="213"/>
      <c r="BV33" s="213"/>
      <c r="BW33" s="213"/>
      <c r="BX33" s="213"/>
      <c r="BY33" s="213"/>
      <c r="BZ33" s="213"/>
      <c r="CA33" s="213"/>
      <c r="CB33" s="213"/>
      <c r="CC33" s="213"/>
      <c r="CD33" s="213"/>
      <c r="CE33" s="213"/>
      <c r="CF33" s="213"/>
      <c r="CG33" s="213"/>
      <c r="CH33" s="213"/>
      <c r="CI33" s="213"/>
      <c r="CJ33" s="213"/>
      <c r="CK33" s="213"/>
      <c r="CL33" s="213"/>
      <c r="CM33" s="213"/>
      <c r="CN33" s="213"/>
      <c r="CO33" s="213"/>
      <c r="CP33" s="213"/>
      <c r="CQ33" s="213"/>
      <c r="CR33" s="213"/>
      <c r="CS33" s="213"/>
      <c r="CT33" s="213"/>
      <c r="CU33" s="213"/>
      <c r="CV33" s="213"/>
      <c r="CW33" s="213"/>
      <c r="CX33" s="213"/>
      <c r="CY33" s="213"/>
      <c r="CZ33" s="213"/>
      <c r="DA33" s="213"/>
      <c r="DB33" s="213"/>
      <c r="DC33" s="213"/>
      <c r="DD33" s="213"/>
      <c r="DE33" s="213"/>
      <c r="DF33" s="213"/>
      <c r="DG33" s="213"/>
      <c r="DH33" s="213"/>
      <c r="DI33" s="213"/>
      <c r="DJ33" s="213"/>
      <c r="DK33" s="213"/>
      <c r="DL33" s="213"/>
      <c r="DM33" s="213"/>
      <c r="DN33" s="213"/>
      <c r="DO33" s="213"/>
      <c r="DP33" s="213"/>
      <c r="DQ33" s="213"/>
      <c r="DR33" s="213"/>
      <c r="DS33" s="213"/>
      <c r="DT33" s="213"/>
      <c r="DU33" s="213"/>
      <c r="DV33" s="213"/>
      <c r="DW33" s="213"/>
      <c r="DX33" s="213"/>
      <c r="DY33" s="213"/>
      <c r="DZ33" s="213"/>
      <c r="EA33" s="213"/>
      <c r="EB33" s="213"/>
      <c r="EC33" s="213"/>
      <c r="ED33" s="213"/>
      <c r="EE33" s="213"/>
      <c r="EF33" s="213"/>
      <c r="EG33" s="213"/>
      <c r="EH33" s="213"/>
      <c r="EI33" s="213"/>
      <c r="EJ33" s="213"/>
      <c r="EK33" s="213"/>
      <c r="EL33" s="213"/>
      <c r="EM33" s="213"/>
      <c r="EN33" s="213"/>
      <c r="EO33" s="213"/>
      <c r="EP33" s="213"/>
      <c r="EQ33" s="213"/>
      <c r="ER33" s="213"/>
      <c r="ES33" s="213"/>
      <c r="ET33" s="213"/>
      <c r="EU33" s="213"/>
      <c r="EV33" s="213"/>
      <c r="EW33" s="213"/>
      <c r="EX33" s="213"/>
      <c r="EY33" s="213"/>
      <c r="EZ33" s="213"/>
      <c r="FA33" s="213"/>
      <c r="FB33" s="213"/>
      <c r="FC33" s="213"/>
      <c r="FD33" s="213"/>
      <c r="FE33" s="213"/>
      <c r="FF33" s="213"/>
      <c r="FG33" s="213"/>
      <c r="FH33" s="213"/>
      <c r="FI33" s="213"/>
      <c r="FJ33" s="213"/>
      <c r="FK33" s="213"/>
      <c r="FL33" s="213"/>
      <c r="FM33" s="213"/>
      <c r="FN33" s="213"/>
      <c r="FO33" s="213"/>
      <c r="FP33" s="213"/>
      <c r="FQ33" s="213"/>
      <c r="FR33" s="213"/>
      <c r="FS33" s="213"/>
      <c r="FT33" s="213"/>
      <c r="FU33" s="213"/>
      <c r="FV33" s="213"/>
      <c r="FW33" s="213"/>
      <c r="FX33" s="213"/>
      <c r="FY33" s="213"/>
      <c r="FZ33" s="213"/>
      <c r="GA33" s="213"/>
      <c r="GB33" s="213"/>
      <c r="GC33" s="213"/>
      <c r="GD33" s="213"/>
      <c r="GE33" s="213"/>
      <c r="GF33" s="213"/>
      <c r="GG33" s="213"/>
      <c r="GH33" s="213"/>
      <c r="GI33" s="213"/>
      <c r="GJ33" s="213"/>
      <c r="GK33" s="213"/>
      <c r="GL33" s="213"/>
      <c r="GM33" s="213"/>
      <c r="GN33" s="213"/>
      <c r="GO33" s="213"/>
      <c r="GP33" s="213"/>
      <c r="GQ33" s="213"/>
      <c r="GR33" s="213"/>
      <c r="GS33" s="213"/>
      <c r="GT33" s="213"/>
      <c r="GU33" s="213"/>
      <c r="GV33" s="213"/>
      <c r="GW33" s="213"/>
      <c r="GX33" s="213"/>
      <c r="GY33" s="213"/>
      <c r="GZ33" s="213"/>
      <c r="HA33" s="213"/>
      <c r="HB33" s="213"/>
      <c r="HC33" s="213"/>
      <c r="HD33" s="213"/>
      <c r="HE33" s="213"/>
      <c r="HF33" s="213"/>
      <c r="HG33" s="213"/>
      <c r="HH33" s="213"/>
      <c r="HI33" s="213"/>
      <c r="HJ33" s="213"/>
      <c r="HK33" s="213"/>
      <c r="HL33" s="213"/>
      <c r="HM33" s="213"/>
      <c r="HN33" s="213"/>
      <c r="HO33" s="213"/>
      <c r="HP33" s="213"/>
      <c r="HQ33" s="213"/>
      <c r="HR33" s="213"/>
      <c r="HS33" s="213"/>
      <c r="HT33" s="213"/>
      <c r="HU33" s="213"/>
      <c r="HV33" s="213"/>
      <c r="HW33" s="213"/>
      <c r="HX33" s="213"/>
      <c r="HY33" s="213"/>
      <c r="HZ33" s="213"/>
      <c r="IA33" s="213"/>
      <c r="IB33" s="213"/>
      <c r="IC33" s="213"/>
      <c r="ID33" s="213"/>
      <c r="IE33" s="213"/>
      <c r="IF33" s="213"/>
      <c r="IG33" s="213"/>
      <c r="IH33" s="213"/>
      <c r="II33" s="213"/>
      <c r="IJ33" s="213"/>
      <c r="IK33" s="213"/>
      <c r="IL33" s="213"/>
      <c r="IM33" s="213"/>
      <c r="IN33" s="213"/>
      <c r="IO33" s="213"/>
      <c r="IP33" s="213"/>
      <c r="IQ33" s="213"/>
      <c r="IR33" s="213"/>
      <c r="IS33" s="213"/>
      <c r="IT33" s="213"/>
      <c r="IU33" s="213"/>
      <c r="IV33" s="213"/>
    </row>
    <row r="34" spans="1:256" ht="15.75">
      <c r="A34" s="204"/>
      <c r="B34" s="1127"/>
      <c r="C34" s="1127"/>
      <c r="D34" s="1127"/>
      <c r="E34" s="1127"/>
      <c r="F34" s="219"/>
      <c r="G34" s="1218" t="s">
        <v>518</v>
      </c>
      <c r="H34" s="1218"/>
      <c r="I34" s="1218"/>
      <c r="J34" s="220"/>
      <c r="K34" s="212"/>
      <c r="L34" s="211"/>
      <c r="M34" s="211"/>
      <c r="N34" s="211"/>
      <c r="O34" s="211"/>
      <c r="P34" s="211"/>
      <c r="Q34" s="211"/>
      <c r="R34" s="211"/>
      <c r="S34" s="211"/>
      <c r="T34" s="211"/>
      <c r="U34" s="211"/>
      <c r="V34" s="211"/>
      <c r="W34" s="211"/>
      <c r="X34" s="211"/>
      <c r="Y34" s="211"/>
      <c r="Z34" s="211"/>
      <c r="AA34" s="211"/>
      <c r="AB34" s="211"/>
      <c r="AC34" s="211"/>
      <c r="AD34" s="211"/>
      <c r="AE34" s="211"/>
      <c r="AF34" s="211"/>
      <c r="AG34" s="211"/>
      <c r="AH34" s="213"/>
      <c r="AI34" s="213"/>
      <c r="AJ34" s="213"/>
      <c r="AK34" s="213"/>
      <c r="AL34" s="213"/>
      <c r="AM34" s="213"/>
      <c r="AN34" s="213"/>
      <c r="AO34" s="213"/>
      <c r="AP34" s="213"/>
      <c r="AQ34" s="213"/>
      <c r="AR34" s="213"/>
      <c r="AS34" s="213"/>
      <c r="AT34" s="213"/>
      <c r="AU34" s="213"/>
      <c r="AV34" s="213"/>
      <c r="AW34" s="213"/>
      <c r="AX34" s="213"/>
      <c r="AY34" s="213"/>
      <c r="AZ34" s="213"/>
      <c r="BA34" s="213"/>
      <c r="BB34" s="213"/>
      <c r="BC34" s="213"/>
      <c r="BD34" s="213"/>
      <c r="BE34" s="213"/>
      <c r="BF34" s="213"/>
      <c r="BG34" s="213"/>
      <c r="BH34" s="213"/>
      <c r="BI34" s="213"/>
      <c r="BJ34" s="213"/>
      <c r="BK34" s="213"/>
      <c r="BL34" s="213"/>
      <c r="BM34" s="213"/>
      <c r="BN34" s="213"/>
      <c r="BO34" s="213"/>
      <c r="BP34" s="213"/>
      <c r="BQ34" s="213"/>
      <c r="BR34" s="213"/>
      <c r="BS34" s="213"/>
      <c r="BT34" s="213"/>
      <c r="BU34" s="213"/>
      <c r="BV34" s="213"/>
      <c r="BW34" s="213"/>
      <c r="BX34" s="213"/>
      <c r="BY34" s="213"/>
      <c r="BZ34" s="213"/>
      <c r="CA34" s="213"/>
      <c r="CB34" s="213"/>
      <c r="CC34" s="213"/>
      <c r="CD34" s="213"/>
      <c r="CE34" s="213"/>
      <c r="CF34" s="213"/>
      <c r="CG34" s="213"/>
      <c r="CH34" s="213"/>
      <c r="CI34" s="213"/>
      <c r="CJ34" s="213"/>
      <c r="CK34" s="213"/>
      <c r="CL34" s="213"/>
      <c r="CM34" s="213"/>
      <c r="CN34" s="213"/>
      <c r="CO34" s="213"/>
      <c r="CP34" s="213"/>
      <c r="CQ34" s="213"/>
      <c r="CR34" s="213"/>
      <c r="CS34" s="213"/>
      <c r="CT34" s="213"/>
      <c r="CU34" s="213"/>
      <c r="CV34" s="213"/>
      <c r="CW34" s="213"/>
      <c r="CX34" s="213"/>
      <c r="CY34" s="213"/>
      <c r="CZ34" s="213"/>
      <c r="DA34" s="213"/>
      <c r="DB34" s="213"/>
      <c r="DC34" s="213"/>
      <c r="DD34" s="213"/>
      <c r="DE34" s="213"/>
      <c r="DF34" s="213"/>
      <c r="DG34" s="213"/>
      <c r="DH34" s="213"/>
      <c r="DI34" s="213"/>
      <c r="DJ34" s="213"/>
      <c r="DK34" s="213"/>
      <c r="DL34" s="213"/>
      <c r="DM34" s="213"/>
      <c r="DN34" s="213"/>
      <c r="DO34" s="213"/>
      <c r="DP34" s="213"/>
      <c r="DQ34" s="213"/>
      <c r="DR34" s="213"/>
      <c r="DS34" s="213"/>
      <c r="DT34" s="213"/>
      <c r="DU34" s="213"/>
      <c r="DV34" s="213"/>
      <c r="DW34" s="213"/>
      <c r="DX34" s="213"/>
      <c r="DY34" s="213"/>
      <c r="DZ34" s="213"/>
      <c r="EA34" s="213"/>
      <c r="EB34" s="213"/>
      <c r="EC34" s="213"/>
      <c r="ED34" s="213"/>
      <c r="EE34" s="213"/>
      <c r="EF34" s="213"/>
      <c r="EG34" s="213"/>
      <c r="EH34" s="213"/>
      <c r="EI34" s="213"/>
      <c r="EJ34" s="213"/>
      <c r="EK34" s="213"/>
      <c r="EL34" s="213"/>
      <c r="EM34" s="213"/>
      <c r="EN34" s="213"/>
      <c r="EO34" s="213"/>
      <c r="EP34" s="213"/>
      <c r="EQ34" s="213"/>
      <c r="ER34" s="213"/>
      <c r="ES34" s="213"/>
      <c r="ET34" s="213"/>
      <c r="EU34" s="213"/>
      <c r="EV34" s="213"/>
      <c r="EW34" s="213"/>
      <c r="EX34" s="213"/>
      <c r="EY34" s="213"/>
      <c r="EZ34" s="213"/>
      <c r="FA34" s="213"/>
      <c r="FB34" s="213"/>
      <c r="FC34" s="213"/>
      <c r="FD34" s="213"/>
      <c r="FE34" s="213"/>
      <c r="FF34" s="213"/>
      <c r="FG34" s="213"/>
      <c r="FH34" s="213"/>
      <c r="FI34" s="213"/>
      <c r="FJ34" s="213"/>
      <c r="FK34" s="213"/>
      <c r="FL34" s="213"/>
      <c r="FM34" s="213"/>
      <c r="FN34" s="213"/>
      <c r="FO34" s="213"/>
      <c r="FP34" s="213"/>
      <c r="FQ34" s="213"/>
      <c r="FR34" s="213"/>
      <c r="FS34" s="213"/>
      <c r="FT34" s="213"/>
      <c r="FU34" s="213"/>
      <c r="FV34" s="213"/>
      <c r="FW34" s="213"/>
      <c r="FX34" s="213"/>
      <c r="FY34" s="213"/>
      <c r="FZ34" s="213"/>
      <c r="GA34" s="213"/>
      <c r="GB34" s="213"/>
      <c r="GC34" s="213"/>
      <c r="GD34" s="213"/>
      <c r="GE34" s="213"/>
      <c r="GF34" s="213"/>
      <c r="GG34" s="213"/>
      <c r="GH34" s="213"/>
      <c r="GI34" s="213"/>
      <c r="GJ34" s="213"/>
      <c r="GK34" s="213"/>
      <c r="GL34" s="213"/>
      <c r="GM34" s="213"/>
      <c r="GN34" s="213"/>
      <c r="GO34" s="213"/>
      <c r="GP34" s="213"/>
      <c r="GQ34" s="213"/>
      <c r="GR34" s="213"/>
      <c r="GS34" s="213"/>
      <c r="GT34" s="213"/>
      <c r="GU34" s="213"/>
      <c r="GV34" s="213"/>
      <c r="GW34" s="213"/>
      <c r="GX34" s="213"/>
      <c r="GY34" s="213"/>
      <c r="GZ34" s="213"/>
      <c r="HA34" s="213"/>
      <c r="HB34" s="213"/>
      <c r="HC34" s="213"/>
      <c r="HD34" s="213"/>
      <c r="HE34" s="213"/>
      <c r="HF34" s="213"/>
      <c r="HG34" s="213"/>
      <c r="HH34" s="213"/>
      <c r="HI34" s="213"/>
      <c r="HJ34" s="213"/>
      <c r="HK34" s="213"/>
      <c r="HL34" s="213"/>
      <c r="HM34" s="213"/>
      <c r="HN34" s="213"/>
      <c r="HO34" s="213"/>
      <c r="HP34" s="213"/>
      <c r="HQ34" s="213"/>
      <c r="HR34" s="213"/>
      <c r="HS34" s="213"/>
      <c r="HT34" s="213"/>
      <c r="HU34" s="213"/>
      <c r="HV34" s="213"/>
      <c r="HW34" s="213"/>
      <c r="HX34" s="213"/>
      <c r="HY34" s="213"/>
      <c r="HZ34" s="213"/>
      <c r="IA34" s="213"/>
      <c r="IB34" s="213"/>
      <c r="IC34" s="213"/>
      <c r="ID34" s="213"/>
      <c r="IE34" s="213"/>
      <c r="IF34" s="213"/>
      <c r="IG34" s="213"/>
      <c r="IH34" s="213"/>
      <c r="II34" s="213"/>
      <c r="IJ34" s="213"/>
      <c r="IK34" s="213"/>
      <c r="IL34" s="213"/>
      <c r="IM34" s="213"/>
      <c r="IN34" s="213"/>
      <c r="IO34" s="213"/>
      <c r="IP34" s="213"/>
      <c r="IQ34" s="213"/>
      <c r="IR34" s="213"/>
      <c r="IS34" s="213"/>
      <c r="IT34" s="213"/>
      <c r="IU34" s="213"/>
      <c r="IV34" s="213"/>
    </row>
    <row r="35" spans="1:256">
      <c r="A35" s="214"/>
      <c r="B35" s="214"/>
      <c r="C35" s="215"/>
      <c r="D35" s="216"/>
      <c r="E35" s="214"/>
      <c r="F35" s="210"/>
      <c r="G35" s="217"/>
      <c r="H35" s="214"/>
      <c r="I35" s="213"/>
      <c r="J35" s="213"/>
      <c r="K35" s="213"/>
      <c r="L35" s="212"/>
      <c r="M35" s="211"/>
      <c r="N35" s="211"/>
      <c r="O35" s="211"/>
      <c r="P35" s="211"/>
      <c r="Q35" s="211"/>
      <c r="R35" s="211"/>
      <c r="S35" s="211"/>
      <c r="T35" s="211"/>
      <c r="U35" s="211"/>
      <c r="V35" s="211"/>
      <c r="W35" s="211"/>
      <c r="X35" s="211"/>
      <c r="Y35" s="211"/>
      <c r="Z35" s="211"/>
      <c r="AA35" s="211"/>
      <c r="AB35" s="211"/>
      <c r="AC35" s="211"/>
      <c r="AD35" s="211"/>
      <c r="AE35" s="211"/>
      <c r="AF35" s="211"/>
      <c r="AG35" s="211"/>
      <c r="AH35" s="213"/>
      <c r="AI35" s="213"/>
      <c r="AJ35" s="213"/>
      <c r="AK35" s="213"/>
      <c r="AL35" s="213"/>
      <c r="AM35" s="213"/>
      <c r="AN35" s="213"/>
      <c r="AO35" s="213"/>
      <c r="AP35" s="213"/>
      <c r="AQ35" s="213"/>
      <c r="AR35" s="213"/>
      <c r="AS35" s="213"/>
      <c r="AT35" s="213"/>
      <c r="AU35" s="213"/>
      <c r="AV35" s="213"/>
      <c r="AW35" s="213"/>
      <c r="AX35" s="213"/>
      <c r="AY35" s="213"/>
      <c r="AZ35" s="213"/>
      <c r="BA35" s="213"/>
      <c r="BB35" s="213"/>
      <c r="BC35" s="213"/>
      <c r="BD35" s="213"/>
      <c r="BE35" s="213"/>
      <c r="BF35" s="213"/>
      <c r="BG35" s="213"/>
      <c r="BH35" s="213"/>
      <c r="BI35" s="213"/>
      <c r="BJ35" s="213"/>
      <c r="BK35" s="213"/>
      <c r="BL35" s="213"/>
      <c r="BM35" s="213"/>
      <c r="BN35" s="213"/>
      <c r="BO35" s="213"/>
      <c r="BP35" s="213"/>
      <c r="BQ35" s="213"/>
      <c r="BR35" s="213"/>
      <c r="BS35" s="213"/>
      <c r="BT35" s="213"/>
      <c r="BU35" s="213"/>
      <c r="BV35" s="213"/>
      <c r="BW35" s="213"/>
      <c r="BX35" s="213"/>
      <c r="BY35" s="213"/>
      <c r="BZ35" s="213"/>
      <c r="CA35" s="213"/>
      <c r="CB35" s="213"/>
      <c r="CC35" s="213"/>
      <c r="CD35" s="213"/>
      <c r="CE35" s="213"/>
      <c r="CF35" s="213"/>
      <c r="CG35" s="213"/>
      <c r="CH35" s="213"/>
      <c r="CI35" s="213"/>
      <c r="CJ35" s="213"/>
      <c r="CK35" s="213"/>
      <c r="CL35" s="213"/>
      <c r="CM35" s="213"/>
      <c r="CN35" s="213"/>
      <c r="CO35" s="213"/>
      <c r="CP35" s="213"/>
      <c r="CQ35" s="213"/>
      <c r="CR35" s="213"/>
      <c r="CS35" s="213"/>
      <c r="CT35" s="213"/>
      <c r="CU35" s="213"/>
      <c r="CV35" s="213"/>
      <c r="CW35" s="213"/>
      <c r="CX35" s="213"/>
      <c r="CY35" s="213"/>
      <c r="CZ35" s="213"/>
      <c r="DA35" s="213"/>
      <c r="DB35" s="213"/>
      <c r="DC35" s="213"/>
      <c r="DD35" s="213"/>
      <c r="DE35" s="213"/>
      <c r="DF35" s="213"/>
      <c r="DG35" s="213"/>
      <c r="DH35" s="213"/>
      <c r="DI35" s="213"/>
      <c r="DJ35" s="213"/>
      <c r="DK35" s="213"/>
      <c r="DL35" s="213"/>
      <c r="DM35" s="213"/>
      <c r="DN35" s="213"/>
      <c r="DO35" s="213"/>
      <c r="DP35" s="213"/>
      <c r="DQ35" s="213"/>
      <c r="DR35" s="213"/>
      <c r="DS35" s="213"/>
      <c r="DT35" s="213"/>
      <c r="DU35" s="213"/>
      <c r="DV35" s="213"/>
      <c r="DW35" s="213"/>
      <c r="DX35" s="213"/>
      <c r="DY35" s="213"/>
      <c r="DZ35" s="213"/>
      <c r="EA35" s="213"/>
      <c r="EB35" s="213"/>
      <c r="EC35" s="213"/>
      <c r="ED35" s="213"/>
      <c r="EE35" s="213"/>
      <c r="EF35" s="213"/>
      <c r="EG35" s="213"/>
      <c r="EH35" s="213"/>
      <c r="EI35" s="213"/>
      <c r="EJ35" s="213"/>
      <c r="EK35" s="213"/>
      <c r="EL35" s="213"/>
      <c r="EM35" s="213"/>
      <c r="EN35" s="213"/>
      <c r="EO35" s="213"/>
      <c r="EP35" s="213"/>
      <c r="EQ35" s="213"/>
      <c r="ER35" s="213"/>
      <c r="ES35" s="213"/>
      <c r="ET35" s="213"/>
      <c r="EU35" s="213"/>
      <c r="EV35" s="213"/>
      <c r="EW35" s="213"/>
      <c r="EX35" s="213"/>
      <c r="EY35" s="213"/>
      <c r="EZ35" s="213"/>
      <c r="FA35" s="213"/>
      <c r="FB35" s="213"/>
      <c r="FC35" s="213"/>
      <c r="FD35" s="213"/>
      <c r="FE35" s="213"/>
      <c r="FF35" s="213"/>
      <c r="FG35" s="213"/>
      <c r="FH35" s="213"/>
      <c r="FI35" s="213"/>
      <c r="FJ35" s="213"/>
      <c r="FK35" s="213"/>
      <c r="FL35" s="213"/>
      <c r="FM35" s="213"/>
      <c r="FN35" s="213"/>
      <c r="FO35" s="213"/>
      <c r="FP35" s="213"/>
      <c r="FQ35" s="213"/>
      <c r="FR35" s="213"/>
      <c r="FS35" s="213"/>
      <c r="FT35" s="213"/>
      <c r="FU35" s="213"/>
      <c r="FV35" s="213"/>
      <c r="FW35" s="213"/>
      <c r="FX35" s="213"/>
      <c r="FY35" s="213"/>
      <c r="FZ35" s="213"/>
      <c r="GA35" s="213"/>
      <c r="GB35" s="213"/>
      <c r="GC35" s="213"/>
      <c r="GD35" s="213"/>
      <c r="GE35" s="213"/>
      <c r="GF35" s="213"/>
      <c r="GG35" s="213"/>
      <c r="GH35" s="213"/>
      <c r="GI35" s="213"/>
      <c r="GJ35" s="213"/>
      <c r="GK35" s="213"/>
      <c r="GL35" s="213"/>
      <c r="GM35" s="213"/>
      <c r="GN35" s="213"/>
      <c r="GO35" s="213"/>
      <c r="GP35" s="213"/>
      <c r="GQ35" s="213"/>
      <c r="GR35" s="213"/>
      <c r="GS35" s="213"/>
      <c r="GT35" s="213"/>
      <c r="GU35" s="213"/>
      <c r="GV35" s="213"/>
      <c r="GW35" s="213"/>
      <c r="GX35" s="213"/>
      <c r="GY35" s="213"/>
      <c r="GZ35" s="213"/>
      <c r="HA35" s="213"/>
      <c r="HB35" s="213"/>
      <c r="HC35" s="213"/>
      <c r="HD35" s="213"/>
      <c r="HE35" s="213"/>
      <c r="HF35" s="213"/>
      <c r="HG35" s="213"/>
      <c r="HH35" s="213"/>
      <c r="HI35" s="213"/>
      <c r="HJ35" s="213"/>
      <c r="HK35" s="213"/>
      <c r="HL35" s="213"/>
      <c r="HM35" s="213"/>
      <c r="HN35" s="213"/>
      <c r="HO35" s="213"/>
      <c r="HP35" s="213"/>
      <c r="HQ35" s="213"/>
      <c r="HR35" s="213"/>
      <c r="HS35" s="213"/>
      <c r="HT35" s="213"/>
      <c r="HU35" s="213"/>
      <c r="HV35" s="213"/>
      <c r="HW35" s="213"/>
      <c r="HX35" s="213"/>
      <c r="HY35" s="213"/>
      <c r="HZ35" s="213"/>
      <c r="IA35" s="213"/>
      <c r="IB35" s="213"/>
      <c r="IC35" s="213"/>
      <c r="ID35" s="213"/>
      <c r="IE35" s="213"/>
      <c r="IF35" s="213"/>
      <c r="IG35" s="213"/>
      <c r="IH35" s="213"/>
      <c r="II35" s="213"/>
      <c r="IJ35" s="213"/>
      <c r="IK35" s="213"/>
      <c r="IL35" s="213"/>
      <c r="IM35" s="213"/>
      <c r="IN35" s="213"/>
      <c r="IO35" s="213"/>
      <c r="IP35" s="213"/>
      <c r="IQ35" s="213"/>
      <c r="IR35" s="213"/>
      <c r="IS35" s="213"/>
      <c r="IT35" s="213"/>
      <c r="IU35" s="213"/>
      <c r="IV35" s="213"/>
    </row>
  </sheetData>
  <mergeCells count="9">
    <mergeCell ref="A1:L3"/>
    <mergeCell ref="G34:I34"/>
    <mergeCell ref="G33:J33"/>
    <mergeCell ref="A9:E11"/>
    <mergeCell ref="G21:K21"/>
    <mergeCell ref="A31:E31"/>
    <mergeCell ref="G31:J31"/>
    <mergeCell ref="G32:I32"/>
    <mergeCell ref="A33:D33"/>
  </mergeCells>
  <pageMargins left="1.2736614173228347" right="0.70866141732283472" top="0.74803149606299213" bottom="0.74803149606299213" header="0.31496062992125984" footer="0.31496062992125984"/>
  <pageSetup paperSize="9" scale="54" orientation="landscape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39</vt:i4>
      </vt:variant>
      <vt:variant>
        <vt:lpstr>Rangos con nombre</vt:lpstr>
      </vt:variant>
      <vt:variant>
        <vt:i4>30</vt:i4>
      </vt:variant>
    </vt:vector>
  </HeadingPairs>
  <TitlesOfParts>
    <vt:vector size="69" baseType="lpstr">
      <vt:lpstr>Julio - 2023</vt:lpstr>
      <vt:lpstr>Hoja1</vt:lpstr>
      <vt:lpstr>Adhesiones</vt:lpstr>
      <vt:lpstr>Conciliación Quipu</vt:lpstr>
      <vt:lpstr>Anexo 3-Porcion C-NC</vt:lpstr>
      <vt:lpstr>Cta 11100613</vt:lpstr>
      <vt:lpstr>Cta 29020102</vt:lpstr>
      <vt:lpstr>Cta 29020103 rend</vt:lpstr>
      <vt:lpstr>Cta 19050301</vt:lpstr>
      <vt:lpstr>Mov Cta BBVA</vt:lpstr>
      <vt:lpstr>Mov Cta OCCIDENTE</vt:lpstr>
      <vt:lpstr>Anexo. Matrix</vt:lpstr>
      <vt:lpstr>GMF</vt:lpstr>
      <vt:lpstr>Impuestos</vt:lpstr>
      <vt:lpstr>Anexo 2 Sena</vt:lpstr>
      <vt:lpstr>Anexo 7 Capital Semilla</vt:lpstr>
      <vt:lpstr>Anexo 6 Tauramena</vt:lpstr>
      <vt:lpstr>Anexo 5 Itagüí</vt:lpstr>
      <vt:lpstr>Anexo 7 Villanueva</vt:lpstr>
      <vt:lpstr>Anexo 8 San Juan de Urabá</vt:lpstr>
      <vt:lpstr>Anexo 9 Yarumal</vt:lpstr>
      <vt:lpstr>Anexo 10 Garzón</vt:lpstr>
      <vt:lpstr>Anexo 11 Dpto Sucre</vt:lpstr>
      <vt:lpstr>Anexo 12 Planadas</vt:lpstr>
      <vt:lpstr>Anexo 13 Caldas</vt:lpstr>
      <vt:lpstr>Anexo 14 Bugalagrande</vt:lpstr>
      <vt:lpstr>Anexo 15 Carmen de Viboral</vt:lpstr>
      <vt:lpstr>Anexo 16 Planeta Rica</vt:lpstr>
      <vt:lpstr>Anexo 17 Barrancabermeja</vt:lpstr>
      <vt:lpstr>Anexo 18 Gramalote</vt:lpstr>
      <vt:lpstr>Anexo 19 Pastoral Social</vt:lpstr>
      <vt:lpstr>Anexo 20 Minera de Cobre</vt:lpstr>
      <vt:lpstr>Anexo 21 Ministerio del Interio</vt:lpstr>
      <vt:lpstr>Anexo 22 Municipio Manizales</vt:lpstr>
      <vt:lpstr>Anexo 24 Municipio de la virgin</vt:lpstr>
      <vt:lpstr>Anexo 23 Dpto Norte de Santande</vt:lpstr>
      <vt:lpstr>Anexo 25 Municipio Acacias</vt:lpstr>
      <vt:lpstr>Anexo 26 Distrito Riohacha</vt:lpstr>
      <vt:lpstr>Anexo 4- Relación facturas IVA</vt:lpstr>
      <vt:lpstr>Adhesiones!Área_de_impresión</vt:lpstr>
      <vt:lpstr>'Anexo 10 Garzón'!Área_de_impresión</vt:lpstr>
      <vt:lpstr>'Anexo 11 Dpto Sucre'!Área_de_impresión</vt:lpstr>
      <vt:lpstr>'Anexo 12 Planadas'!Área_de_impresión</vt:lpstr>
      <vt:lpstr>'Anexo 13 Caldas'!Área_de_impresión</vt:lpstr>
      <vt:lpstr>'Anexo 14 Bugalagrande'!Área_de_impresión</vt:lpstr>
      <vt:lpstr>'Anexo 15 Carmen de Viboral'!Área_de_impresión</vt:lpstr>
      <vt:lpstr>'Anexo 16 Planeta Rica'!Área_de_impresión</vt:lpstr>
      <vt:lpstr>'Anexo 17 Barrancabermeja'!Área_de_impresión</vt:lpstr>
      <vt:lpstr>'Anexo 18 Gramalote'!Área_de_impresión</vt:lpstr>
      <vt:lpstr>'Anexo 19 Pastoral Social'!Área_de_impresión</vt:lpstr>
      <vt:lpstr>'Anexo 2 Sena'!Área_de_impresión</vt:lpstr>
      <vt:lpstr>'Anexo 20 Minera de Cobre'!Área_de_impresión</vt:lpstr>
      <vt:lpstr>'Anexo 21 Ministerio del Interio'!Área_de_impresión</vt:lpstr>
      <vt:lpstr>'Anexo 22 Municipio Manizales'!Área_de_impresión</vt:lpstr>
      <vt:lpstr>'Anexo 23 Dpto Norte de Santande'!Área_de_impresión</vt:lpstr>
      <vt:lpstr>'Anexo 24 Municipio de la virgin'!Área_de_impresión</vt:lpstr>
      <vt:lpstr>'Anexo 25 Municipio Acacias'!Área_de_impresión</vt:lpstr>
      <vt:lpstr>'Anexo 26 Distrito Riohacha'!Área_de_impresión</vt:lpstr>
      <vt:lpstr>'Anexo 3-Porcion C-NC'!Área_de_impresión</vt:lpstr>
      <vt:lpstr>'Anexo 5 Itagüí'!Área_de_impresión</vt:lpstr>
      <vt:lpstr>'Anexo 6 Tauramena'!Área_de_impresión</vt:lpstr>
      <vt:lpstr>'Anexo 7 Villanueva'!Área_de_impresión</vt:lpstr>
      <vt:lpstr>'Anexo 8 San Juan de Urabá'!Área_de_impresión</vt:lpstr>
      <vt:lpstr>'Anexo 9 Yarumal'!Área_de_impresión</vt:lpstr>
      <vt:lpstr>'Anexo. Matrix'!Área_de_impresión</vt:lpstr>
      <vt:lpstr>'Julio - 2023'!Área_de_impresión</vt:lpstr>
      <vt:lpstr>'Mov Cta OCCIDENTE'!Área_de_impresión</vt:lpstr>
      <vt:lpstr>Adhesiones!Títulos_a_imprimir</vt:lpstr>
      <vt:lpstr>'Julio - 2023'!Títulos_a_imprimir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Iván</dc:creator>
  <cp:lastModifiedBy>Admin</cp:lastModifiedBy>
  <cp:lastPrinted>2023-08-10T20:42:27Z</cp:lastPrinted>
  <dcterms:created xsi:type="dcterms:W3CDTF">2020-08-12T15:15:31Z</dcterms:created>
  <dcterms:modified xsi:type="dcterms:W3CDTF">2023-08-10T20:46:40Z</dcterms:modified>
</cp:coreProperties>
</file>