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mosquera\Desktop\PROCESOS 2019\CMA-DO-SRN-100-2019\EVALUACION\"/>
    </mc:Choice>
  </mc:AlternateContent>
  <bookViews>
    <workbookView xWindow="-120" yWindow="-120" windowWidth="24240" windowHeight="13140" tabRatio="684"/>
  </bookViews>
  <sheets>
    <sheet name="PRESUPUESTOS" sheetId="1" r:id="rId1"/>
    <sheet name="PROPONENTES" sheetId="20" r:id="rId2"/>
    <sheet name="INTEGRANTES" sheetId="21" r:id="rId3"/>
    <sheet name="VFrequerido" sheetId="2" r:id="rId4"/>
    <sheet name="FORMULARIO No 2- VFT" sheetId="4" r:id="rId5"/>
    <sheet name="EXPERIENCIA" sheetId="5" state="hidden" r:id="rId6"/>
    <sheet name="RESUMEN(B)" sheetId="11" state="hidden" r:id="rId7"/>
    <sheet name="RESUMEN" sheetId="15" state="hidden" r:id="rId8"/>
    <sheet name="FORMULA-MODULO 1" sheetId="16" state="hidden" r:id="rId9"/>
    <sheet name="FORMULA-MODULO 2" sheetId="17" state="hidden" r:id="rId10"/>
    <sheet name="Hoja1" sheetId="14" state="hidden" r:id="rId11"/>
    <sheet name="SMLM" sheetId="13" state="hidden" r:id="rId12"/>
    <sheet name="SALARIO" sheetId="19" state="hidden" r:id="rId13"/>
  </sheets>
  <externalReferences>
    <externalReference r:id="rId14"/>
    <externalReference r:id="rId15"/>
    <externalReference r:id="rId16"/>
  </externalReferences>
  <definedNames>
    <definedName name="_xlnm._FilterDatabase" localSheetId="11" hidden="1">SMLM!#REF!</definedName>
    <definedName name="ADMISION">SMLM!$O$4:$O$7</definedName>
    <definedName name="CONDCUMEXP">[1]LISTAS!$P$2:$P$3</definedName>
    <definedName name="CONDVIAURBANA">[1]LISTAS!$O$2:$O$4</definedName>
    <definedName name="CUMPCTONACIONAL">[1]LISTAS!$L$2:$L$4</definedName>
    <definedName name="DEPENDENCIAS">[1]LISTAS!$B$2:$B$22</definedName>
    <definedName name="EJECUCIONCTO">[1]LISTAS!$N$2:$N$3</definedName>
    <definedName name="EXPERIENCIA">EXPERIENCIA!$B$15:$I$50</definedName>
    <definedName name="EXPREQVTD">'[1]EXP. ESP.'!$AA$44</definedName>
    <definedName name="FechaCierre">[1]PRESUPUESTOS!$H$21</definedName>
    <definedName name="FMINEXP">[1]PRESUPUESTOS!$H$20</definedName>
    <definedName name="FORM">'FORMULARIO No 2- VFT'!$A$19:$M$32</definedName>
    <definedName name="HABILIDAD">[1]LISTAS!$K$2:$K$4</definedName>
    <definedName name="INTEGRAN">INTEGRANTES!$E$16:$G$108</definedName>
    <definedName name="JERARQUIA" localSheetId="8">'FORMULA-MODULO 1'!#REF!</definedName>
    <definedName name="LONGREQPUENTES">'[1]EXP. ESP.'!$AT$26</definedName>
    <definedName name="LONGREQTUNEL">'[1]EXP. ESP.'!$AT$28</definedName>
    <definedName name="LONGREQVIAS">'[1]EXP. ESP.'!$AT$24</definedName>
    <definedName name="NUMMAXCONT">[1]PRESUPUESTOS!$H$26</definedName>
    <definedName name="NUMMINCONT">[1]PRESUPUESTOS!$G$26</definedName>
    <definedName name="NUMMOD">[1]PRESUPUESTOS!$B$16</definedName>
    <definedName name="NUMPROPHAB">[1]PON.EXP.ESP.!$E$20</definedName>
    <definedName name="NUMPROPMOD">[1]PRESUPUESTOS!$K$16</definedName>
    <definedName name="PAISES">SMLM!$N$4:$N$6</definedName>
    <definedName name="PLAZOMOD">[1]PRESUPUESTOS!$F$16</definedName>
    <definedName name="PMFOMOD">[1]PRESUPUESTOS!$G$16</definedName>
    <definedName name="PORCREQUERIDO">[1]PRESUPUESTOS!$J$16</definedName>
    <definedName name="PORCREQUERIDOINT">[1]PRESUPUESTOS!$L$16</definedName>
    <definedName name="PORPMFOMOD">[1]HAB.EXP.ESP.!$K$18</definedName>
    <definedName name="PPHMOD">[1]PON.EXP.ESP.!$E$21</definedName>
    <definedName name="PPTO">PRESUPUESTOS!$C$12:$D$21</definedName>
    <definedName name="PROPO">VFrequerido!$A$15:$Y$51</definedName>
    <definedName name="PTJEEXPESP1">[1]PRESUPUESTOS!$D$26</definedName>
    <definedName name="PTJEEXPESP2">[1]PRESUPUESTOS!$E$26</definedName>
    <definedName name="Pto">PRESUPUESTOS!XFA3:XFB12</definedName>
    <definedName name="RELACIONPO">[1]HAB.EXP.ESP.!$K$20</definedName>
    <definedName name="SALACTUAL">[1]SMMLV!$H$10</definedName>
    <definedName name="SALARIO">SMLM!$B$2:$E$43</definedName>
    <definedName name="SMACTUAL">SALARIO!$G$3</definedName>
    <definedName name="TABLA">SALARIO!$A$3:$C$46</definedName>
    <definedName name="TIPODEVIA">[1]LISTAS!$Q$2:$Q$7</definedName>
    <definedName name="TIPOPAVIMENTO">[1]LISTAS!$R$2:$R$6</definedName>
    <definedName name="Z_098B2E87_9C52_4BA2_B1C3_E2EE72C3347E_.wvu.Rows" localSheetId="1" hidden="1">PROPONENTES!#REF!</definedName>
    <definedName name="Z_4FD7B380_97FE_41A2_99C1_9E1A481B7C5B_.wvu.PrintArea" localSheetId="4" hidden="1">'FORMULARIO No 2- VFT'!$B$1:$N$32</definedName>
    <definedName name="Z_4FD7B380_97FE_41A2_99C1_9E1A481B7C5B_.wvu.PrintArea" localSheetId="6" hidden="1">'RESUMEN(B)'!$B$1:$F$62</definedName>
    <definedName name="Z_4FD7B380_97FE_41A2_99C1_9E1A481B7C5B_.wvu.PrintTitles" localSheetId="5" hidden="1">EXPERIENCIA!$1:$13</definedName>
    <definedName name="Z_4FD7B380_97FE_41A2_99C1_9E1A481B7C5B_.wvu.PrintTitles" localSheetId="4" hidden="1">'FORMULARIO No 2- VFT'!$1:$15</definedName>
    <definedName name="Z_4FD7B380_97FE_41A2_99C1_9E1A481B7C5B_.wvu.PrintTitles" localSheetId="3" hidden="1">VFrequerido!$1:$13</definedName>
    <definedName name="Z_4FD7B380_97FE_41A2_99C1_9E1A481B7C5B_.wvu.Rows" localSheetId="0" hidden="1">PRESUPUESTOS!$5:$5</definedName>
    <definedName name="Z_5C1A9AEF_CD7F_43E2_BF95_F3A089BEC7D3_.wvu.PrintArea" localSheetId="1" hidden="1">PROPONENTES!$B$1:$E$56</definedName>
    <definedName name="Z_DDA08836_FFF7_4F47_B058_4616FC9BD320_.wvu.PrintArea" localSheetId="4" hidden="1">'FORMULARIO No 2- VFT'!$B$1:$N$32</definedName>
    <definedName name="Z_DDA08836_FFF7_4F47_B058_4616FC9BD320_.wvu.PrintArea" localSheetId="6" hidden="1">'RESUMEN(B)'!$B$1:$F$62</definedName>
    <definedName name="Z_DDA08836_FFF7_4F47_B058_4616FC9BD320_.wvu.PrintTitles" localSheetId="5" hidden="1">EXPERIENCIA!$1:$13</definedName>
    <definedName name="Z_DDA08836_FFF7_4F47_B058_4616FC9BD320_.wvu.PrintTitles" localSheetId="4" hidden="1">'FORMULARIO No 2- VFT'!$1:$15</definedName>
    <definedName name="Z_DDA08836_FFF7_4F47_B058_4616FC9BD320_.wvu.PrintTitles" localSheetId="3" hidden="1">VFrequerido!$1:$13</definedName>
    <definedName name="Z_DDA08836_FFF7_4F47_B058_4616FC9BD320_.wvu.Rows" localSheetId="0" hidden="1">PRESUPUESTOS!$5:$5</definedName>
  </definedNames>
  <calcPr calcId="152511" iterate="1" fullPrecision="0"/>
  <customWorkbookViews>
    <customWorkbookView name="jaolaya - Vista personalizada" guid="{4FD7B380-97FE-41A2-99C1-9E1A481B7C5B}" mergeInterval="0" personalView="1" maximized="1" windowWidth="1020" windowHeight="543" tabRatio="767" activeSheetId="1"/>
    <customWorkbookView name="fcastellanos - Vista personalizada" guid="{DDA08836-FFF7-4F47-B058-4616FC9BD320}" mergeInterval="0" personalView="1" maximized="1" windowWidth="1276" windowHeight="871" tabRatio="767" activeSheetId="3"/>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D659" i="4" l="1"/>
  <c r="AB659" i="4"/>
  <c r="AE652" i="4"/>
  <c r="AD641" i="4"/>
  <c r="H49" i="5" s="1"/>
  <c r="AD623" i="4"/>
  <c r="AB623" i="4"/>
  <c r="AD605" i="4"/>
  <c r="AB605" i="4"/>
  <c r="AD587" i="4"/>
  <c r="AE580" i="4"/>
  <c r="AD569" i="4"/>
  <c r="AE562" i="4"/>
  <c r="AD551" i="4"/>
  <c r="H44" i="5" s="1"/>
  <c r="AE544" i="4"/>
  <c r="AD533" i="4"/>
  <c r="H43" i="5" s="1"/>
  <c r="AB533" i="4"/>
  <c r="AE526" i="4"/>
  <c r="AD515" i="4"/>
  <c r="AB515" i="4"/>
  <c r="AE508" i="4"/>
  <c r="AE490" i="4"/>
  <c r="AD497" i="4" s="1"/>
  <c r="H41" i="5" s="1"/>
  <c r="AD479" i="4"/>
  <c r="H40" i="5" s="1"/>
  <c r="AE472" i="4"/>
  <c r="AD461" i="4"/>
  <c r="AB461" i="4"/>
  <c r="AE454" i="4"/>
  <c r="AD443" i="4"/>
  <c r="AE436" i="4"/>
  <c r="AE418" i="4"/>
  <c r="AD425" i="4"/>
  <c r="AD407" i="4"/>
  <c r="H36" i="5" s="1"/>
  <c r="AE400" i="4"/>
  <c r="AE382" i="4"/>
  <c r="AD371" i="4"/>
  <c r="H34" i="5" s="1"/>
  <c r="AE364" i="4"/>
  <c r="AE346" i="4"/>
  <c r="AD353" i="4"/>
  <c r="H33" i="5" s="1"/>
  <c r="AD317" i="4"/>
  <c r="H31" i="5" s="1"/>
  <c r="AE310" i="4"/>
  <c r="AB299" i="4"/>
  <c r="G30" i="5" s="1"/>
  <c r="AE292" i="4"/>
  <c r="AD299" i="4" s="1"/>
  <c r="H30" i="5" s="1"/>
  <c r="AE274" i="4"/>
  <c r="AD281" i="4" s="1"/>
  <c r="H29" i="5" s="1"/>
  <c r="AE256" i="4"/>
  <c r="AE238" i="4"/>
  <c r="AD227" i="4"/>
  <c r="AB227" i="4"/>
  <c r="AD209" i="4"/>
  <c r="H25" i="5" s="1"/>
  <c r="AE202" i="4"/>
  <c r="AD191" i="4"/>
  <c r="H24" i="5" s="1"/>
  <c r="AE184" i="4"/>
  <c r="AE166" i="4"/>
  <c r="AD173" i="4"/>
  <c r="H23" i="5" s="1"/>
  <c r="AE58" i="4"/>
  <c r="AD65" i="4" s="1"/>
  <c r="H17" i="5" s="1"/>
  <c r="AE76" i="4"/>
  <c r="AE112" i="4"/>
  <c r="AE130" i="4"/>
  <c r="AE148" i="4"/>
  <c r="AD155" i="4" s="1"/>
  <c r="H22" i="5" s="1"/>
  <c r="AD137" i="4"/>
  <c r="H21" i="5" s="1"/>
  <c r="AD119" i="4"/>
  <c r="H20" i="5" s="1"/>
  <c r="AB119" i="4"/>
  <c r="H26" i="5"/>
  <c r="H37" i="5"/>
  <c r="H38" i="5"/>
  <c r="H39" i="5"/>
  <c r="H42" i="5"/>
  <c r="H45" i="5"/>
  <c r="H46" i="5"/>
  <c r="H47" i="5"/>
  <c r="H48" i="5"/>
  <c r="G26" i="5"/>
  <c r="G39" i="5"/>
  <c r="G42" i="5"/>
  <c r="G43" i="5"/>
  <c r="G47" i="5"/>
  <c r="G48" i="5"/>
  <c r="D15" i="5"/>
  <c r="AE616" i="4"/>
  <c r="AE618" i="4"/>
  <c r="AE619" i="4"/>
  <c r="AE620" i="4"/>
  <c r="AE621" i="4"/>
  <c r="AE634" i="4"/>
  <c r="B23" i="4"/>
  <c r="B24" i="4"/>
  <c r="AE657" i="4"/>
  <c r="AE656" i="4"/>
  <c r="AE655" i="4"/>
  <c r="AE654" i="4"/>
  <c r="AE653" i="4"/>
  <c r="H50" i="5"/>
  <c r="AE639" i="4"/>
  <c r="AE638" i="4"/>
  <c r="AE637" i="4"/>
  <c r="AE636" i="4"/>
  <c r="AE635" i="4"/>
  <c r="AE617" i="4"/>
  <c r="AE603" i="4"/>
  <c r="AE602" i="4"/>
  <c r="AE601" i="4"/>
  <c r="AE600" i="4"/>
  <c r="AE599" i="4"/>
  <c r="AE598" i="4"/>
  <c r="AE585" i="4"/>
  <c r="AE584" i="4"/>
  <c r="AE583" i="4"/>
  <c r="AE582" i="4"/>
  <c r="AE581" i="4"/>
  <c r="AE567" i="4"/>
  <c r="AE566" i="4"/>
  <c r="AE565" i="4"/>
  <c r="AE564" i="4"/>
  <c r="AE563" i="4"/>
  <c r="AE549" i="4"/>
  <c r="AE548" i="4"/>
  <c r="AE547" i="4"/>
  <c r="AE546" i="4"/>
  <c r="AE545" i="4"/>
  <c r="AE531" i="4"/>
  <c r="AE530" i="4"/>
  <c r="AE529" i="4"/>
  <c r="AE528" i="4"/>
  <c r="AE527" i="4"/>
  <c r="AE513" i="4"/>
  <c r="AE512" i="4"/>
  <c r="AE511" i="4"/>
  <c r="AE510" i="4"/>
  <c r="AE509" i="4"/>
  <c r="AE495" i="4"/>
  <c r="AE494" i="4"/>
  <c r="AE493" i="4"/>
  <c r="AE492" i="4"/>
  <c r="AE491" i="4"/>
  <c r="AE477" i="4"/>
  <c r="AE476" i="4"/>
  <c r="AE475" i="4"/>
  <c r="AE474" i="4"/>
  <c r="AE473" i="4"/>
  <c r="AE459" i="4"/>
  <c r="AE458" i="4"/>
  <c r="AE457" i="4"/>
  <c r="AE456" i="4"/>
  <c r="AE455" i="4"/>
  <c r="AE441" i="4"/>
  <c r="AE440" i="4"/>
  <c r="AE439" i="4"/>
  <c r="AE438" i="4"/>
  <c r="AE437" i="4"/>
  <c r="AE423" i="4"/>
  <c r="AE422" i="4"/>
  <c r="AE421" i="4"/>
  <c r="AE420" i="4"/>
  <c r="AE419" i="4"/>
  <c r="AE405" i="4"/>
  <c r="AE404" i="4"/>
  <c r="AE403" i="4"/>
  <c r="AE402" i="4"/>
  <c r="AE401" i="4"/>
  <c r="AE385" i="4"/>
  <c r="AE384" i="4"/>
  <c r="AE383" i="4"/>
  <c r="AE369" i="4"/>
  <c r="AE368" i="4"/>
  <c r="AE367" i="4"/>
  <c r="AE366" i="4"/>
  <c r="AE365" i="4"/>
  <c r="AE351" i="4"/>
  <c r="AE350" i="4"/>
  <c r="AE349" i="4"/>
  <c r="AE348" i="4"/>
  <c r="AE347" i="4"/>
  <c r="AE333" i="4"/>
  <c r="AE332" i="4"/>
  <c r="AE331" i="4"/>
  <c r="AE330" i="4"/>
  <c r="AE329" i="4"/>
  <c r="AE328" i="4"/>
  <c r="AD335" i="4" s="1"/>
  <c r="H32" i="5" s="1"/>
  <c r="AE315" i="4"/>
  <c r="AE314" i="4"/>
  <c r="AE313" i="4"/>
  <c r="AE312" i="4"/>
  <c r="AE311" i="4"/>
  <c r="AE297" i="4"/>
  <c r="AE296" i="4"/>
  <c r="AE295" i="4"/>
  <c r="AE294" i="4"/>
  <c r="AE293" i="4"/>
  <c r="AE279" i="4"/>
  <c r="AE278" i="4"/>
  <c r="AE277" i="4"/>
  <c r="AE276" i="4"/>
  <c r="AE275" i="4"/>
  <c r="AE261" i="4"/>
  <c r="AE260" i="4"/>
  <c r="AE259" i="4"/>
  <c r="AE258" i="4"/>
  <c r="AE257" i="4"/>
  <c r="AD263" i="4" s="1"/>
  <c r="H28" i="5" s="1"/>
  <c r="AE243" i="4"/>
  <c r="AE242" i="4"/>
  <c r="AE241" i="4"/>
  <c r="AE240" i="4"/>
  <c r="AE239" i="4"/>
  <c r="AD245" i="4" s="1"/>
  <c r="H27" i="5" s="1"/>
  <c r="AE225" i="4"/>
  <c r="AE224" i="4"/>
  <c r="AE223" i="4"/>
  <c r="AE222" i="4"/>
  <c r="AE221" i="4"/>
  <c r="AE220" i="4"/>
  <c r="AE207" i="4"/>
  <c r="AE206" i="4"/>
  <c r="AE205" i="4"/>
  <c r="AE204" i="4"/>
  <c r="AE203" i="4"/>
  <c r="AE189" i="4"/>
  <c r="AE188" i="4"/>
  <c r="AE187" i="4"/>
  <c r="AE186" i="4"/>
  <c r="AE185" i="4"/>
  <c r="AE171" i="4"/>
  <c r="AE170" i="4"/>
  <c r="AE169" i="4"/>
  <c r="AE168" i="4"/>
  <c r="AE167" i="4"/>
  <c r="AE153" i="4"/>
  <c r="AE152" i="4"/>
  <c r="AE151" i="4"/>
  <c r="AE150" i="4"/>
  <c r="AE149" i="4"/>
  <c r="AE135" i="4"/>
  <c r="AE134" i="4"/>
  <c r="AE133" i="4"/>
  <c r="AE132" i="4"/>
  <c r="AE131" i="4"/>
  <c r="AE117" i="4"/>
  <c r="AE116" i="4"/>
  <c r="AE115" i="4"/>
  <c r="AE114" i="4"/>
  <c r="AE113" i="4"/>
  <c r="AE99" i="4"/>
  <c r="AE98" i="4"/>
  <c r="AE97" i="4"/>
  <c r="AE96" i="4"/>
  <c r="AE95" i="4"/>
  <c r="AE94" i="4"/>
  <c r="AD101" i="4" s="1"/>
  <c r="H19" i="5" s="1"/>
  <c r="AE81" i="4"/>
  <c r="AE80" i="4"/>
  <c r="AE79" i="4"/>
  <c r="AE78" i="4"/>
  <c r="AE77" i="4"/>
  <c r="AD83" i="4" s="1"/>
  <c r="H18" i="5" s="1"/>
  <c r="AE63" i="4"/>
  <c r="AE62" i="4"/>
  <c r="AE61" i="4"/>
  <c r="AE60" i="4"/>
  <c r="AE59" i="4"/>
  <c r="AE45" i="4"/>
  <c r="AE44" i="4"/>
  <c r="AE43" i="4"/>
  <c r="AE42" i="4"/>
  <c r="AE41" i="4"/>
  <c r="AE40" i="4"/>
  <c r="AD47" i="4" s="1"/>
  <c r="H16" i="5" s="1"/>
  <c r="AE27" i="4"/>
  <c r="AE26" i="4"/>
  <c r="AE25" i="4"/>
  <c r="AE24" i="4"/>
  <c r="AE23" i="4"/>
  <c r="AC657" i="4"/>
  <c r="AC656" i="4"/>
  <c r="AC655" i="4"/>
  <c r="AC654" i="4"/>
  <c r="AC653" i="4"/>
  <c r="AC652" i="4"/>
  <c r="G50" i="5" s="1"/>
  <c r="AC639" i="4"/>
  <c r="AC638" i="4"/>
  <c r="AC637" i="4"/>
  <c r="AC636" i="4"/>
  <c r="AC635" i="4"/>
  <c r="AC634" i="4"/>
  <c r="AB641" i="4" s="1"/>
  <c r="G49" i="5" s="1"/>
  <c r="AC621" i="4"/>
  <c r="AC620" i="4"/>
  <c r="AC619" i="4"/>
  <c r="AC618" i="4"/>
  <c r="AC617" i="4"/>
  <c r="AC616" i="4"/>
  <c r="AC603" i="4"/>
  <c r="AC602" i="4"/>
  <c r="AC601" i="4"/>
  <c r="AC600" i="4"/>
  <c r="AC599" i="4"/>
  <c r="AC598" i="4"/>
  <c r="AC585" i="4"/>
  <c r="AC584" i="4"/>
  <c r="AC583" i="4"/>
  <c r="AC582" i="4"/>
  <c r="AC581" i="4"/>
  <c r="AC580" i="4"/>
  <c r="AB587" i="4" s="1"/>
  <c r="G46" i="5" s="1"/>
  <c r="AC567" i="4"/>
  <c r="AC566" i="4"/>
  <c r="AC565" i="4"/>
  <c r="AC564" i="4"/>
  <c r="AC563" i="4"/>
  <c r="AC562" i="4"/>
  <c r="AB569" i="4" s="1"/>
  <c r="G45" i="5" s="1"/>
  <c r="AC549" i="4"/>
  <c r="AC548" i="4"/>
  <c r="AC547" i="4"/>
  <c r="AC546" i="4"/>
  <c r="AC545" i="4"/>
  <c r="AC544" i="4"/>
  <c r="AB551" i="4" s="1"/>
  <c r="G44" i="5" s="1"/>
  <c r="AC531" i="4"/>
  <c r="AC530" i="4"/>
  <c r="AC529" i="4"/>
  <c r="AC528" i="4"/>
  <c r="AC527" i="4"/>
  <c r="AC526" i="4"/>
  <c r="AC513" i="4"/>
  <c r="AC512" i="4"/>
  <c r="AC511" i="4"/>
  <c r="AC510" i="4"/>
  <c r="AC509" i="4"/>
  <c r="AC508" i="4"/>
  <c r="AC495" i="4"/>
  <c r="AC494" i="4"/>
  <c r="AC493" i="4"/>
  <c r="AC492" i="4"/>
  <c r="AC491" i="4"/>
  <c r="AC490" i="4"/>
  <c r="AB497" i="4" s="1"/>
  <c r="G41" i="5" s="1"/>
  <c r="AC477" i="4"/>
  <c r="AC476" i="4"/>
  <c r="AC475" i="4"/>
  <c r="AC474" i="4"/>
  <c r="AC473" i="4"/>
  <c r="AB479" i="4" s="1"/>
  <c r="G40" i="5" s="1"/>
  <c r="AC472" i="4"/>
  <c r="AC459" i="4"/>
  <c r="AC458" i="4"/>
  <c r="AC457" i="4"/>
  <c r="AC456" i="4"/>
  <c r="AC455" i="4"/>
  <c r="AC454" i="4"/>
  <c r="AC441" i="4"/>
  <c r="AC440" i="4"/>
  <c r="AC439" i="4"/>
  <c r="AC438" i="4"/>
  <c r="AC437" i="4"/>
  <c r="AC436" i="4"/>
  <c r="AB443" i="4" s="1"/>
  <c r="G38" i="5" s="1"/>
  <c r="AC423" i="4"/>
  <c r="AC422" i="4"/>
  <c r="AC421" i="4"/>
  <c r="AC420" i="4"/>
  <c r="AC419" i="4"/>
  <c r="AC418" i="4"/>
  <c r="AB425" i="4" s="1"/>
  <c r="G37" i="5" s="1"/>
  <c r="AC405" i="4"/>
  <c r="AC404" i="4"/>
  <c r="AC403" i="4"/>
  <c r="AC402" i="4"/>
  <c r="AC401" i="4"/>
  <c r="AC400" i="4"/>
  <c r="AB407" i="4" s="1"/>
  <c r="G36" i="5" s="1"/>
  <c r="AC385" i="4"/>
  <c r="AC384" i="4"/>
  <c r="AC383" i="4"/>
  <c r="AC382" i="4"/>
  <c r="AC369" i="4"/>
  <c r="AC368" i="4"/>
  <c r="AC367" i="4"/>
  <c r="AC366" i="4"/>
  <c r="AC365" i="4"/>
  <c r="AC364" i="4"/>
  <c r="AB371" i="4" s="1"/>
  <c r="G34" i="5" s="1"/>
  <c r="AC351" i="4"/>
  <c r="AC350" i="4"/>
  <c r="AC349" i="4"/>
  <c r="AC348" i="4"/>
  <c r="AC347" i="4"/>
  <c r="AC346" i="4"/>
  <c r="AB353" i="4" s="1"/>
  <c r="G33" i="5" s="1"/>
  <c r="AC333" i="4"/>
  <c r="AC332" i="4"/>
  <c r="AC331" i="4"/>
  <c r="AC330" i="4"/>
  <c r="AC329" i="4"/>
  <c r="AC328" i="4"/>
  <c r="AB335" i="4" s="1"/>
  <c r="G32" i="5" s="1"/>
  <c r="AC315" i="4"/>
  <c r="AC314" i="4"/>
  <c r="AC313" i="4"/>
  <c r="AC312" i="4"/>
  <c r="AC311" i="4"/>
  <c r="AB317" i="4" s="1"/>
  <c r="G31" i="5" s="1"/>
  <c r="AC310" i="4"/>
  <c r="AC297" i="4"/>
  <c r="AC296" i="4"/>
  <c r="AC295" i="4"/>
  <c r="AC294" i="4"/>
  <c r="AC293" i="4"/>
  <c r="AC292" i="4"/>
  <c r="AC279" i="4"/>
  <c r="AC278" i="4"/>
  <c r="AC277" i="4"/>
  <c r="AC276" i="4"/>
  <c r="AC275" i="4"/>
  <c r="AC274" i="4"/>
  <c r="AB281" i="4" s="1"/>
  <c r="G29" i="5" s="1"/>
  <c r="AC261" i="4"/>
  <c r="AC260" i="4"/>
  <c r="AC259" i="4"/>
  <c r="AC258" i="4"/>
  <c r="AC257" i="4"/>
  <c r="AB263" i="4" s="1"/>
  <c r="G28" i="5" s="1"/>
  <c r="AC256" i="4"/>
  <c r="AC243" i="4"/>
  <c r="AC242" i="4"/>
  <c r="AC241" i="4"/>
  <c r="AC240" i="4"/>
  <c r="AC239" i="4"/>
  <c r="AB245" i="4" s="1"/>
  <c r="G27" i="5" s="1"/>
  <c r="AC238" i="4"/>
  <c r="AC225" i="4"/>
  <c r="AC224" i="4"/>
  <c r="AC223" i="4"/>
  <c r="AC222" i="4"/>
  <c r="AC221" i="4"/>
  <c r="AC220" i="4"/>
  <c r="AC207" i="4"/>
  <c r="AC206" i="4"/>
  <c r="AC205" i="4"/>
  <c r="AC204" i="4"/>
  <c r="AC203" i="4"/>
  <c r="AC202" i="4"/>
  <c r="AB209" i="4" s="1"/>
  <c r="G25" i="5" s="1"/>
  <c r="AC189" i="4"/>
  <c r="AC188" i="4"/>
  <c r="AC187" i="4"/>
  <c r="AC186" i="4"/>
  <c r="AC185" i="4"/>
  <c r="AC184" i="4"/>
  <c r="AB191" i="4" s="1"/>
  <c r="G24" i="5" s="1"/>
  <c r="AC171" i="4"/>
  <c r="AC170" i="4"/>
  <c r="AC169" i="4"/>
  <c r="AC168" i="4"/>
  <c r="AC167" i="4"/>
  <c r="AC166" i="4"/>
  <c r="AB173" i="4" s="1"/>
  <c r="G23" i="5" s="1"/>
  <c r="AC153" i="4"/>
  <c r="AC152" i="4"/>
  <c r="AC151" i="4"/>
  <c r="AC150" i="4"/>
  <c r="AC149" i="4"/>
  <c r="AC148" i="4"/>
  <c r="AB155" i="4" s="1"/>
  <c r="G22" i="5" s="1"/>
  <c r="AC135" i="4"/>
  <c r="AC134" i="4"/>
  <c r="AC133" i="4"/>
  <c r="AC132" i="4"/>
  <c r="AC131" i="4"/>
  <c r="AC130" i="4"/>
  <c r="AB137" i="4" s="1"/>
  <c r="G21" i="5" s="1"/>
  <c r="AC117" i="4"/>
  <c r="AC116" i="4"/>
  <c r="AC115" i="4"/>
  <c r="AC114" i="4"/>
  <c r="AC113" i="4"/>
  <c r="AC112" i="4"/>
  <c r="AC99" i="4"/>
  <c r="AC98" i="4"/>
  <c r="AC97" i="4"/>
  <c r="AC96" i="4"/>
  <c r="AC95" i="4"/>
  <c r="AC94" i="4"/>
  <c r="AB101" i="4" s="1"/>
  <c r="G19" i="5" s="1"/>
  <c r="AC81" i="4"/>
  <c r="AC80" i="4"/>
  <c r="AC79" i="4"/>
  <c r="AC78" i="4"/>
  <c r="AC77" i="4"/>
  <c r="AC76" i="4"/>
  <c r="AC63" i="4"/>
  <c r="AC62" i="4"/>
  <c r="AC61" i="4"/>
  <c r="AC60" i="4"/>
  <c r="AC59" i="4"/>
  <c r="AC58" i="4"/>
  <c r="AB65" i="4" s="1"/>
  <c r="G17" i="5" s="1"/>
  <c r="AC45" i="4"/>
  <c r="AC44" i="4"/>
  <c r="AC43" i="4"/>
  <c r="AC42" i="4"/>
  <c r="AC41" i="4"/>
  <c r="AB47" i="4" s="1"/>
  <c r="G16" i="5" s="1"/>
  <c r="AC40" i="4"/>
  <c r="AA188" i="4"/>
  <c r="AA189" i="4"/>
  <c r="AE22" i="4"/>
  <c r="AD29" i="4" s="1"/>
  <c r="AC23" i="4"/>
  <c r="AC24" i="4"/>
  <c r="AC25" i="4"/>
  <c r="AC26" i="4"/>
  <c r="AC27" i="4"/>
  <c r="AC22" i="4"/>
  <c r="AA335" i="4"/>
  <c r="AA173" i="4"/>
  <c r="AA155" i="4"/>
  <c r="T654" i="4"/>
  <c r="T382" i="4"/>
  <c r="T348" i="4"/>
  <c r="T649" i="4"/>
  <c r="T631" i="4"/>
  <c r="AA641" i="4" s="1"/>
  <c r="T613" i="4"/>
  <c r="AA623" i="4" s="1"/>
  <c r="T595" i="4"/>
  <c r="T577" i="4"/>
  <c r="T559" i="4"/>
  <c r="T541" i="4"/>
  <c r="T523" i="4"/>
  <c r="AA533" i="4" s="1"/>
  <c r="T505" i="4"/>
  <c r="T487" i="4"/>
  <c r="T469" i="4"/>
  <c r="T451" i="4"/>
  <c r="T433" i="4"/>
  <c r="T415" i="4"/>
  <c r="AA425" i="4" s="1"/>
  <c r="T397" i="4"/>
  <c r="T379" i="4"/>
  <c r="T361" i="4"/>
  <c r="T343" i="4"/>
  <c r="T325" i="4"/>
  <c r="T307" i="4"/>
  <c r="T289" i="4"/>
  <c r="T271" i="4"/>
  <c r="T253" i="4"/>
  <c r="T235" i="4"/>
  <c r="T217" i="4"/>
  <c r="AA227" i="4" s="1"/>
  <c r="T199" i="4"/>
  <c r="AA209" i="4" s="1"/>
  <c r="T181" i="4"/>
  <c r="T163" i="4"/>
  <c r="T145" i="4"/>
  <c r="T127" i="4"/>
  <c r="AA137" i="4" s="1"/>
  <c r="T109" i="4"/>
  <c r="T91" i="4"/>
  <c r="T73" i="4"/>
  <c r="AA83" i="4" s="1"/>
  <c r="T55" i="4"/>
  <c r="T37" i="4"/>
  <c r="T19" i="4"/>
  <c r="T77" i="4"/>
  <c r="T78" i="4"/>
  <c r="T79" i="4"/>
  <c r="T80" i="4"/>
  <c r="T81" i="4"/>
  <c r="T62" i="4"/>
  <c r="T63" i="4"/>
  <c r="T44" i="4"/>
  <c r="T45" i="4"/>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15" i="2"/>
  <c r="Q8" i="2"/>
  <c r="G20" i="5" l="1"/>
  <c r="AB83" i="4"/>
  <c r="G18" i="5" s="1"/>
  <c r="AB29" i="4"/>
  <c r="G15" i="5" s="1"/>
  <c r="H15" i="5"/>
  <c r="X76" i="4"/>
  <c r="Q203" i="4"/>
  <c r="Q617" i="4"/>
  <c r="Q616" i="4"/>
  <c r="Q581" i="4"/>
  <c r="Q580" i="4"/>
  <c r="T565" i="4"/>
  <c r="S565" i="4" s="1"/>
  <c r="T564" i="4"/>
  <c r="S564" i="4" s="1"/>
  <c r="T563" i="4"/>
  <c r="S563" i="4" s="1"/>
  <c r="T562" i="4"/>
  <c r="S562" i="4" s="1"/>
  <c r="Q563" i="4"/>
  <c r="Q562" i="4"/>
  <c r="Q527" i="4"/>
  <c r="S527" i="4"/>
  <c r="S526" i="4"/>
  <c r="Q526" i="4"/>
  <c r="M526" i="4"/>
  <c r="M527" i="4"/>
  <c r="T455" i="4"/>
  <c r="S455" i="4" s="1"/>
  <c r="Q454" i="4"/>
  <c r="Q455" i="4"/>
  <c r="T439" i="4" l="1"/>
  <c r="S439" i="4" s="1"/>
  <c r="T438" i="4"/>
  <c r="S438" i="4" s="1"/>
  <c r="T437" i="4"/>
  <c r="S437" i="4" s="1"/>
  <c r="Q439" i="4"/>
  <c r="Q438" i="4"/>
  <c r="Q437" i="4"/>
  <c r="Q436" i="4"/>
  <c r="Q401" i="4"/>
  <c r="Q400" i="4"/>
  <c r="T383" i="4"/>
  <c r="S383" i="4" s="1"/>
  <c r="S382" i="4"/>
  <c r="Q383" i="4"/>
  <c r="Q382" i="4"/>
  <c r="Q365" i="4"/>
  <c r="Q364" i="4"/>
  <c r="Q59" i="4"/>
  <c r="Q58" i="4"/>
  <c r="Q23" i="4" l="1"/>
  <c r="Q24" i="4"/>
  <c r="Q25" i="4"/>
  <c r="Q26" i="4"/>
  <c r="Q27" i="4"/>
  <c r="Q28" i="4"/>
  <c r="X492" i="4" l="1"/>
  <c r="Z492" i="4" s="1"/>
  <c r="X457" i="4"/>
  <c r="Z457" i="4" s="1"/>
  <c r="X456" i="4"/>
  <c r="Y456" i="4" s="1"/>
  <c r="AA456" i="4" s="1"/>
  <c r="X439" i="4"/>
  <c r="Z439" i="4" s="1"/>
  <c r="X438" i="4"/>
  <c r="Y438" i="4" s="1"/>
  <c r="AA438" i="4" s="1"/>
  <c r="X421" i="4"/>
  <c r="Z421" i="4" s="1"/>
  <c r="X420" i="4"/>
  <c r="Y420" i="4" s="1"/>
  <c r="AA420" i="4" s="1"/>
  <c r="X419" i="4"/>
  <c r="Z419" i="4" s="1"/>
  <c r="X418" i="4"/>
  <c r="Z418" i="4" s="1"/>
  <c r="X403" i="4"/>
  <c r="Y403" i="4" s="1"/>
  <c r="AA403" i="4" s="1"/>
  <c r="X402" i="4"/>
  <c r="Y402" i="4" s="1"/>
  <c r="AA402" i="4" s="1"/>
  <c r="X387" i="4"/>
  <c r="X386" i="4"/>
  <c r="X385" i="4"/>
  <c r="Z385" i="4" s="1"/>
  <c r="X384" i="4"/>
  <c r="Y384" i="4" s="1"/>
  <c r="AA384" i="4" s="1"/>
  <c r="X367" i="4"/>
  <c r="Z367" i="4" s="1"/>
  <c r="X366" i="4"/>
  <c r="Z366" i="4" s="1"/>
  <c r="Y386" i="4" l="1"/>
  <c r="AA386" i="4" s="1"/>
  <c r="AE386" i="4"/>
  <c r="AC386" i="4"/>
  <c r="Z387" i="4"/>
  <c r="AC387" i="4"/>
  <c r="AE387" i="4"/>
  <c r="Y492" i="4"/>
  <c r="AA492" i="4" s="1"/>
  <c r="Z438" i="4"/>
  <c r="Z402" i="4"/>
  <c r="Y421" i="4"/>
  <c r="AA421" i="4" s="1"/>
  <c r="Z384" i="4"/>
  <c r="Z403" i="4"/>
  <c r="Z420" i="4"/>
  <c r="Y457" i="4"/>
  <c r="AA457" i="4" s="1"/>
  <c r="Y385" i="4"/>
  <c r="AA385" i="4" s="1"/>
  <c r="Y439" i="4"/>
  <c r="AA439" i="4" s="1"/>
  <c r="Z456" i="4"/>
  <c r="Y418" i="4"/>
  <c r="Y419" i="4"/>
  <c r="AA419" i="4" s="1"/>
  <c r="Z386" i="4"/>
  <c r="Y387" i="4"/>
  <c r="AA387" i="4" s="1"/>
  <c r="Y366" i="4"/>
  <c r="AA366" i="4" s="1"/>
  <c r="Y367" i="4"/>
  <c r="AA367" i="4" s="1"/>
  <c r="Q22" i="4"/>
  <c r="Q40" i="4"/>
  <c r="AB389" i="4" l="1"/>
  <c r="G35" i="5" s="1"/>
  <c r="AD389" i="4"/>
  <c r="H35" i="5" s="1"/>
  <c r="AA418" i="4"/>
  <c r="F106" i="21"/>
  <c r="F101" i="21"/>
  <c r="F98" i="21"/>
  <c r="F95" i="21"/>
  <c r="F92" i="21"/>
  <c r="F87" i="21"/>
  <c r="F84" i="21"/>
  <c r="F81" i="21"/>
  <c r="F78" i="21"/>
  <c r="F75" i="21"/>
  <c r="F71" i="21"/>
  <c r="F68" i="21"/>
  <c r="F65" i="21"/>
  <c r="F62" i="21"/>
  <c r="F58" i="21"/>
  <c r="F54" i="21"/>
  <c r="F51" i="21"/>
  <c r="F48" i="21"/>
  <c r="F45" i="21"/>
  <c r="F40" i="21"/>
  <c r="F33" i="21"/>
  <c r="F30" i="21"/>
  <c r="F25" i="21"/>
  <c r="F22" i="21"/>
  <c r="F19" i="21"/>
  <c r="B16" i="2" l="1"/>
  <c r="B17" i="2"/>
  <c r="C17" i="5" s="1"/>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15" i="2"/>
  <c r="M130" i="4"/>
  <c r="N130" i="4" s="1"/>
  <c r="M131" i="4"/>
  <c r="N131" i="4" s="1"/>
  <c r="M132" i="4"/>
  <c r="N132" i="4" s="1"/>
  <c r="M133" i="4"/>
  <c r="N133" i="4" s="1"/>
  <c r="M134" i="4"/>
  <c r="N134" i="4" s="1"/>
  <c r="M135" i="4"/>
  <c r="N135" i="4" s="1"/>
  <c r="M148" i="4"/>
  <c r="N148" i="4" s="1"/>
  <c r="M149" i="4"/>
  <c r="N149" i="4" s="1"/>
  <c r="M150" i="4"/>
  <c r="N150" i="4" s="1"/>
  <c r="M151" i="4"/>
  <c r="N151" i="4" s="1"/>
  <c r="M152" i="4"/>
  <c r="N152" i="4" s="1"/>
  <c r="M153" i="4"/>
  <c r="N153" i="4" s="1"/>
  <c r="X657" i="4"/>
  <c r="Y657" i="4" s="1"/>
  <c r="AA657" i="4" s="1"/>
  <c r="X656" i="4"/>
  <c r="Z656" i="4" s="1"/>
  <c r="X655" i="4"/>
  <c r="Z655" i="4" s="1"/>
  <c r="X654" i="4"/>
  <c r="Z654" i="4" s="1"/>
  <c r="X639" i="4"/>
  <c r="Y639" i="4" s="1"/>
  <c r="AA639" i="4" s="1"/>
  <c r="X638" i="4"/>
  <c r="Z638" i="4" s="1"/>
  <c r="X637" i="4"/>
  <c r="Z637" i="4" s="1"/>
  <c r="X636" i="4"/>
  <c r="Z636" i="4" s="1"/>
  <c r="X635" i="4"/>
  <c r="Y635" i="4" s="1"/>
  <c r="AA635" i="4" s="1"/>
  <c r="X634" i="4"/>
  <c r="Z634" i="4" s="1"/>
  <c r="X621" i="4"/>
  <c r="Y621" i="4" s="1"/>
  <c r="AA621" i="4" s="1"/>
  <c r="X620" i="4"/>
  <c r="Z620" i="4" s="1"/>
  <c r="X619" i="4"/>
  <c r="Z619" i="4" s="1"/>
  <c r="X618" i="4"/>
  <c r="Y618" i="4" s="1"/>
  <c r="AA618" i="4" s="1"/>
  <c r="Y617" i="4"/>
  <c r="AA617" i="4" s="1"/>
  <c r="Z616" i="4"/>
  <c r="X603" i="4"/>
  <c r="Y603" i="4" s="1"/>
  <c r="AA603" i="4" s="1"/>
  <c r="X602" i="4"/>
  <c r="Z602" i="4" s="1"/>
  <c r="X601" i="4"/>
  <c r="Z601" i="4" s="1"/>
  <c r="X600" i="4"/>
  <c r="Z600" i="4" s="1"/>
  <c r="X585" i="4"/>
  <c r="Y585" i="4" s="1"/>
  <c r="AA585" i="4" s="1"/>
  <c r="X584" i="4"/>
  <c r="Y584" i="4" s="1"/>
  <c r="AA584" i="4" s="1"/>
  <c r="X583" i="4"/>
  <c r="Z583" i="4" s="1"/>
  <c r="X582" i="4"/>
  <c r="Y582" i="4" s="1"/>
  <c r="AA582" i="4" s="1"/>
  <c r="X567" i="4"/>
  <c r="Y567" i="4" s="1"/>
  <c r="AA567" i="4" s="1"/>
  <c r="X566" i="4"/>
  <c r="Z566" i="4" s="1"/>
  <c r="X565" i="4"/>
  <c r="Y565" i="4" s="1"/>
  <c r="AA565" i="4" s="1"/>
  <c r="X564" i="4"/>
  <c r="Z564" i="4" s="1"/>
  <c r="X549" i="4"/>
  <c r="Y549" i="4" s="1"/>
  <c r="AA549" i="4" s="1"/>
  <c r="X548" i="4"/>
  <c r="Z548" i="4" s="1"/>
  <c r="X547" i="4"/>
  <c r="Z547" i="4" s="1"/>
  <c r="X546" i="4"/>
  <c r="Z546" i="4" s="1"/>
  <c r="X531" i="4"/>
  <c r="Y531" i="4" s="1"/>
  <c r="AA531" i="4" s="1"/>
  <c r="X530" i="4"/>
  <c r="Z530" i="4" s="1"/>
  <c r="X529" i="4"/>
  <c r="Z529" i="4" s="1"/>
  <c r="X528" i="4"/>
  <c r="Z528" i="4" s="1"/>
  <c r="Z526" i="4"/>
  <c r="X513" i="4"/>
  <c r="Y513" i="4" s="1"/>
  <c r="AA513" i="4" s="1"/>
  <c r="X512" i="4"/>
  <c r="Z512" i="4" s="1"/>
  <c r="X511" i="4"/>
  <c r="Z511" i="4" s="1"/>
  <c r="X495" i="4"/>
  <c r="Y495" i="4" s="1"/>
  <c r="AA495" i="4" s="1"/>
  <c r="X494" i="4"/>
  <c r="Z494" i="4" s="1"/>
  <c r="X493" i="4"/>
  <c r="Z493" i="4" s="1"/>
  <c r="X477" i="4"/>
  <c r="Y477" i="4" s="1"/>
  <c r="AA477" i="4" s="1"/>
  <c r="X476" i="4"/>
  <c r="Z476" i="4" s="1"/>
  <c r="X475" i="4"/>
  <c r="Z475" i="4" s="1"/>
  <c r="X474" i="4"/>
  <c r="Z474" i="4" s="1"/>
  <c r="X351" i="4"/>
  <c r="Y351" i="4" s="1"/>
  <c r="AA351" i="4" s="1"/>
  <c r="X350" i="4"/>
  <c r="Z350" i="4" s="1"/>
  <c r="X349" i="4"/>
  <c r="Z349" i="4" s="1"/>
  <c r="X348" i="4"/>
  <c r="Z348" i="4" s="1"/>
  <c r="X333" i="4"/>
  <c r="Y333" i="4" s="1"/>
  <c r="AA333" i="4" s="1"/>
  <c r="X332" i="4"/>
  <c r="Z332" i="4" s="1"/>
  <c r="X331" i="4"/>
  <c r="Z331" i="4" s="1"/>
  <c r="X330" i="4"/>
  <c r="Z330" i="4" s="1"/>
  <c r="X329" i="4"/>
  <c r="Y329" i="4" s="1"/>
  <c r="AA329" i="4" s="1"/>
  <c r="X328" i="4"/>
  <c r="Z328" i="4" s="1"/>
  <c r="X315" i="4"/>
  <c r="Y315" i="4" s="1"/>
  <c r="AA315" i="4" s="1"/>
  <c r="X314" i="4"/>
  <c r="Z314" i="4" s="1"/>
  <c r="X313" i="4"/>
  <c r="Z313" i="4" s="1"/>
  <c r="X312" i="4"/>
  <c r="Z312" i="4" s="1"/>
  <c r="X297" i="4"/>
  <c r="Y297" i="4" s="1"/>
  <c r="AA297" i="4" s="1"/>
  <c r="X296" i="4"/>
  <c r="Z296" i="4" s="1"/>
  <c r="X295" i="4"/>
  <c r="Y295" i="4" s="1"/>
  <c r="AA295" i="4" s="1"/>
  <c r="X279" i="4"/>
  <c r="Y279" i="4" s="1"/>
  <c r="AA279" i="4" s="1"/>
  <c r="X278" i="4"/>
  <c r="Z278" i="4" s="1"/>
  <c r="X277" i="4"/>
  <c r="Y277" i="4" s="1"/>
  <c r="AA277" i="4" s="1"/>
  <c r="X276" i="4"/>
  <c r="Z276" i="4" s="1"/>
  <c r="X261" i="4"/>
  <c r="Y261" i="4" s="1"/>
  <c r="AA261" i="4" s="1"/>
  <c r="X260" i="4"/>
  <c r="Z260" i="4" s="1"/>
  <c r="X259" i="4"/>
  <c r="Z259" i="4" s="1"/>
  <c r="X258" i="4"/>
  <c r="Z258" i="4" s="1"/>
  <c r="X243" i="4"/>
  <c r="Y243" i="4" s="1"/>
  <c r="AA243" i="4" s="1"/>
  <c r="X242" i="4"/>
  <c r="Z242" i="4" s="1"/>
  <c r="X241" i="4"/>
  <c r="Z241" i="4" s="1"/>
  <c r="X240" i="4"/>
  <c r="Z240" i="4" s="1"/>
  <c r="X225" i="4"/>
  <c r="Y225" i="4" s="1"/>
  <c r="AA225" i="4" s="1"/>
  <c r="X224" i="4"/>
  <c r="Z224" i="4" s="1"/>
  <c r="X223" i="4"/>
  <c r="Z223" i="4" s="1"/>
  <c r="X222" i="4"/>
  <c r="Z222" i="4" s="1"/>
  <c r="X221" i="4"/>
  <c r="Y221" i="4" s="1"/>
  <c r="AA221" i="4" s="1"/>
  <c r="X220" i="4"/>
  <c r="Z220" i="4" s="1"/>
  <c r="X207" i="4"/>
  <c r="Y207" i="4" s="1"/>
  <c r="AA207" i="4" s="1"/>
  <c r="X206" i="4"/>
  <c r="Z206" i="4" s="1"/>
  <c r="X205" i="4"/>
  <c r="Z205" i="4" s="1"/>
  <c r="X204" i="4"/>
  <c r="Z204" i="4" s="1"/>
  <c r="X203" i="4"/>
  <c r="Y203" i="4" s="1"/>
  <c r="AA203" i="4" s="1"/>
  <c r="X202" i="4"/>
  <c r="Z202" i="4" s="1"/>
  <c r="X189" i="4"/>
  <c r="Y189" i="4" s="1"/>
  <c r="X188" i="4"/>
  <c r="Z188" i="4" s="1"/>
  <c r="X187" i="4"/>
  <c r="Y187" i="4" s="1"/>
  <c r="AA187" i="4" s="1"/>
  <c r="X186" i="4"/>
  <c r="Z186" i="4" s="1"/>
  <c r="X166" i="4"/>
  <c r="Z166" i="4" s="1"/>
  <c r="X153" i="4"/>
  <c r="X148" i="4"/>
  <c r="Z148" i="4" s="1"/>
  <c r="X171" i="4"/>
  <c r="X170" i="4"/>
  <c r="Z170" i="4" s="1"/>
  <c r="X169" i="4"/>
  <c r="Z169" i="4" s="1"/>
  <c r="X168" i="4"/>
  <c r="X167" i="4"/>
  <c r="Y167" i="4" s="1"/>
  <c r="AA167" i="4" s="1"/>
  <c r="X152" i="4"/>
  <c r="Z152" i="4" s="1"/>
  <c r="X151" i="4"/>
  <c r="Z151" i="4" s="1"/>
  <c r="X150" i="4"/>
  <c r="Z150" i="4" s="1"/>
  <c r="X149" i="4"/>
  <c r="Y149" i="4" s="1"/>
  <c r="AA149" i="4" s="1"/>
  <c r="X135" i="4"/>
  <c r="Y135" i="4" s="1"/>
  <c r="AA135" i="4" s="1"/>
  <c r="X131" i="4"/>
  <c r="Z131" i="4" s="1"/>
  <c r="X130" i="4"/>
  <c r="Z130" i="4" s="1"/>
  <c r="X134" i="4"/>
  <c r="Z134" i="4" s="1"/>
  <c r="X133" i="4"/>
  <c r="Y133" i="4" s="1"/>
  <c r="AA133" i="4" s="1"/>
  <c r="X132" i="4"/>
  <c r="Z132" i="4" s="1"/>
  <c r="X117" i="4"/>
  <c r="Z117" i="4" s="1"/>
  <c r="X116" i="4"/>
  <c r="Y116" i="4" s="1"/>
  <c r="AA116" i="4" s="1"/>
  <c r="X115" i="4"/>
  <c r="Z115" i="4" s="1"/>
  <c r="X99" i="4"/>
  <c r="Z99" i="4" s="1"/>
  <c r="X98" i="4"/>
  <c r="X97" i="4"/>
  <c r="X96" i="4"/>
  <c r="Y96" i="4" s="1"/>
  <c r="AA96" i="4" s="1"/>
  <c r="X81" i="4"/>
  <c r="Y81" i="4" s="1"/>
  <c r="AA81" i="4" s="1"/>
  <c r="X80" i="4"/>
  <c r="Z80" i="4" s="1"/>
  <c r="X79" i="4"/>
  <c r="X78" i="4"/>
  <c r="Z78" i="4" s="1"/>
  <c r="X77" i="4"/>
  <c r="Y77" i="4" s="1"/>
  <c r="AA77" i="4" s="1"/>
  <c r="Y76" i="4"/>
  <c r="X61" i="4"/>
  <c r="Z61" i="4" s="1"/>
  <c r="X45" i="4"/>
  <c r="Y45" i="4" s="1"/>
  <c r="AA45" i="4" s="1"/>
  <c r="X44" i="4"/>
  <c r="Y44" i="4" s="1"/>
  <c r="AA44" i="4" s="1"/>
  <c r="X43" i="4"/>
  <c r="X42" i="4"/>
  <c r="Z42" i="4" s="1"/>
  <c r="AA76" i="4" l="1"/>
  <c r="N155" i="4"/>
  <c r="N137" i="4"/>
  <c r="Y240" i="4"/>
  <c r="AA240" i="4" s="1"/>
  <c r="Z44" i="4"/>
  <c r="Y204" i="4"/>
  <c r="AA204" i="4" s="1"/>
  <c r="Z167" i="4"/>
  <c r="Y332" i="4"/>
  <c r="AA332" i="4" s="1"/>
  <c r="Z585" i="4"/>
  <c r="Y222" i="4"/>
  <c r="AA222" i="4" s="1"/>
  <c r="Y258" i="4"/>
  <c r="AA258" i="4" s="1"/>
  <c r="Y512" i="4"/>
  <c r="AA512" i="4" s="1"/>
  <c r="Z135" i="4"/>
  <c r="Z45" i="4"/>
  <c r="Y474" i="4"/>
  <c r="AA474" i="4" s="1"/>
  <c r="Y546" i="4"/>
  <c r="AA546" i="4" s="1"/>
  <c r="Z96" i="4"/>
  <c r="Y314" i="4"/>
  <c r="AA314" i="4" s="1"/>
  <c r="Y150" i="4"/>
  <c r="AA150" i="4" s="1"/>
  <c r="Z243" i="4"/>
  <c r="Y296" i="4"/>
  <c r="AA296" i="4" s="1"/>
  <c r="Z351" i="4"/>
  <c r="Z477" i="4"/>
  <c r="Z531" i="4"/>
  <c r="Z584" i="4"/>
  <c r="Y636" i="4"/>
  <c r="AA636" i="4" s="1"/>
  <c r="Y654" i="4"/>
  <c r="AA654" i="4" s="1"/>
  <c r="Z77" i="4"/>
  <c r="Y80" i="4"/>
  <c r="AA80" i="4" s="1"/>
  <c r="Y186" i="4"/>
  <c r="AA186" i="4" s="1"/>
  <c r="Y206" i="4"/>
  <c r="AA206" i="4" s="1"/>
  <c r="Y224" i="4"/>
  <c r="AA224" i="4" s="1"/>
  <c r="Y242" i="4"/>
  <c r="AA242" i="4" s="1"/>
  <c r="Y276" i="4"/>
  <c r="AA276" i="4" s="1"/>
  <c r="Z279" i="4"/>
  <c r="Y312" i="4"/>
  <c r="AA312" i="4" s="1"/>
  <c r="Y330" i="4"/>
  <c r="AA330" i="4" s="1"/>
  <c r="Y348" i="4"/>
  <c r="AA348" i="4" s="1"/>
  <c r="Y476" i="4"/>
  <c r="AA476" i="4" s="1"/>
  <c r="Y528" i="4"/>
  <c r="AA528" i="4" s="1"/>
  <c r="Y564" i="4"/>
  <c r="AA564" i="4" s="1"/>
  <c r="Z603" i="4"/>
  <c r="Z618" i="4"/>
  <c r="Z621" i="4"/>
  <c r="Z639" i="4"/>
  <c r="Z657" i="4"/>
  <c r="Y61" i="4"/>
  <c r="AA61" i="4" s="1"/>
  <c r="Y78" i="4"/>
  <c r="AA78" i="4" s="1"/>
  <c r="Z116" i="4"/>
  <c r="Y132" i="4"/>
  <c r="AA132" i="4" s="1"/>
  <c r="Z189" i="4"/>
  <c r="Z207" i="4"/>
  <c r="Z225" i="4"/>
  <c r="Z567" i="4"/>
  <c r="Z81" i="4"/>
  <c r="Z261" i="4"/>
  <c r="Z315" i="4"/>
  <c r="Z333" i="4"/>
  <c r="Z495" i="4"/>
  <c r="Z513" i="4"/>
  <c r="Z549" i="4"/>
  <c r="Y600" i="4"/>
  <c r="AA600" i="4" s="1"/>
  <c r="Y620" i="4"/>
  <c r="AA620" i="4" s="1"/>
  <c r="Y638" i="4"/>
  <c r="AA638" i="4" s="1"/>
  <c r="Y656" i="4"/>
  <c r="AA656" i="4" s="1"/>
  <c r="Z153" i="4"/>
  <c r="Y153" i="4"/>
  <c r="AA153" i="4" s="1"/>
  <c r="Y527" i="4"/>
  <c r="AA527" i="4" s="1"/>
  <c r="Z527" i="4"/>
  <c r="Z98" i="4"/>
  <c r="Y98" i="4"/>
  <c r="AA98" i="4" s="1"/>
  <c r="Z43" i="4"/>
  <c r="Y43" i="4"/>
  <c r="AA43" i="4" s="1"/>
  <c r="Y171" i="4"/>
  <c r="AA171" i="4" s="1"/>
  <c r="Z171" i="4"/>
  <c r="Z79" i="4"/>
  <c r="Y79" i="4"/>
  <c r="AA79" i="4" s="1"/>
  <c r="Z97" i="4"/>
  <c r="Y97" i="4"/>
  <c r="AA97" i="4" s="1"/>
  <c r="Y117" i="4"/>
  <c r="AA117" i="4" s="1"/>
  <c r="Z168" i="4"/>
  <c r="Y168" i="4"/>
  <c r="AA168" i="4" s="1"/>
  <c r="Y42" i="4"/>
  <c r="AA42" i="4" s="1"/>
  <c r="Z149" i="4"/>
  <c r="Y202" i="4"/>
  <c r="Z203" i="4"/>
  <c r="Y220" i="4"/>
  <c r="Z221" i="4"/>
  <c r="Z295" i="4"/>
  <c r="Y328" i="4"/>
  <c r="Z329" i="4"/>
  <c r="Y616" i="4"/>
  <c r="Z617" i="4"/>
  <c r="Y634" i="4"/>
  <c r="Z635" i="4"/>
  <c r="Y655" i="4"/>
  <c r="AA655" i="4" s="1"/>
  <c r="Y637" i="4"/>
  <c r="AA637" i="4" s="1"/>
  <c r="Y619" i="4"/>
  <c r="AA619" i="4" s="1"/>
  <c r="Y601" i="4"/>
  <c r="AA601" i="4" s="1"/>
  <c r="Y602" i="4"/>
  <c r="AA602" i="4" s="1"/>
  <c r="Z582" i="4"/>
  <c r="Y583" i="4"/>
  <c r="AA583" i="4" s="1"/>
  <c r="Z565" i="4"/>
  <c r="Y566" i="4"/>
  <c r="AA566" i="4" s="1"/>
  <c r="Y547" i="4"/>
  <c r="AA547" i="4" s="1"/>
  <c r="Y548" i="4"/>
  <c r="AA548" i="4" s="1"/>
  <c r="Y529" i="4"/>
  <c r="AA529" i="4" s="1"/>
  <c r="Y526" i="4"/>
  <c r="Y530" i="4"/>
  <c r="AA530" i="4" s="1"/>
  <c r="Y511" i="4"/>
  <c r="AA511" i="4" s="1"/>
  <c r="Y493" i="4"/>
  <c r="AA493" i="4" s="1"/>
  <c r="Y494" i="4"/>
  <c r="AA494" i="4" s="1"/>
  <c r="Y475" i="4"/>
  <c r="AA475" i="4" s="1"/>
  <c r="Y349" i="4"/>
  <c r="AA349" i="4" s="1"/>
  <c r="Y350" i="4"/>
  <c r="AA350" i="4" s="1"/>
  <c r="Y331" i="4"/>
  <c r="AA331" i="4" s="1"/>
  <c r="Y313" i="4"/>
  <c r="AA313" i="4" s="1"/>
  <c r="Z297" i="4"/>
  <c r="Z277" i="4"/>
  <c r="Y278" i="4"/>
  <c r="AA278" i="4" s="1"/>
  <c r="Y259" i="4"/>
  <c r="AA259" i="4" s="1"/>
  <c r="Y260" i="4"/>
  <c r="AA260" i="4" s="1"/>
  <c r="Y241" i="4"/>
  <c r="AA241" i="4" s="1"/>
  <c r="Y223" i="4"/>
  <c r="AA223" i="4" s="1"/>
  <c r="Y205" i="4"/>
  <c r="AA205" i="4" s="1"/>
  <c r="Z187" i="4"/>
  <c r="Y188" i="4"/>
  <c r="Y169" i="4"/>
  <c r="AA169" i="4" s="1"/>
  <c r="Y166" i="4"/>
  <c r="Y170" i="4"/>
  <c r="AA170" i="4" s="1"/>
  <c r="Y151" i="4"/>
  <c r="AA151" i="4" s="1"/>
  <c r="Y148" i="4"/>
  <c r="Y152" i="4"/>
  <c r="AA152" i="4" s="1"/>
  <c r="Y131" i="4"/>
  <c r="AA131" i="4" s="1"/>
  <c r="Y130" i="4"/>
  <c r="Z133" i="4"/>
  <c r="Y134" i="4"/>
  <c r="AA134" i="4" s="1"/>
  <c r="Y115" i="4"/>
  <c r="AA115" i="4" s="1"/>
  <c r="Y99" i="4"/>
  <c r="AA99" i="4" s="1"/>
  <c r="Z76" i="4"/>
  <c r="X24" i="4"/>
  <c r="Z24" i="4" s="1"/>
  <c r="AA634" i="4" l="1"/>
  <c r="AA616" i="4"/>
  <c r="AA526" i="4"/>
  <c r="AA328" i="4"/>
  <c r="AA220" i="4"/>
  <c r="AA202" i="4"/>
  <c r="AA166" i="4"/>
  <c r="AA148" i="4"/>
  <c r="AA130" i="4"/>
  <c r="Z334" i="4"/>
  <c r="Z136" i="4"/>
  <c r="Z640" i="4"/>
  <c r="Z532" i="4"/>
  <c r="Z172" i="4"/>
  <c r="Z226" i="4"/>
  <c r="Z208" i="4"/>
  <c r="Z154" i="4"/>
  <c r="Z82" i="4"/>
  <c r="Y24" i="4"/>
  <c r="AA24" i="4" s="1"/>
  <c r="Z622" i="4"/>
  <c r="D3" i="21" l="1"/>
  <c r="D4" i="21"/>
  <c r="D6" i="21"/>
  <c r="D11" i="21"/>
  <c r="D1" i="21"/>
  <c r="B3" i="20"/>
  <c r="B4" i="20"/>
  <c r="B6" i="20"/>
  <c r="B14" i="20"/>
  <c r="B1" i="20"/>
  <c r="R659" i="4"/>
  <c r="S658" i="4"/>
  <c r="R658" i="4"/>
  <c r="Q658" i="4"/>
  <c r="O658" i="4"/>
  <c r="T657" i="4"/>
  <c r="S657" i="4" s="1"/>
  <c r="Q657" i="4"/>
  <c r="M657" i="4"/>
  <c r="N657" i="4" s="1"/>
  <c r="B657" i="4"/>
  <c r="T656" i="4"/>
  <c r="S656" i="4" s="1"/>
  <c r="Q656" i="4"/>
  <c r="M656" i="4"/>
  <c r="N656" i="4" s="1"/>
  <c r="B656" i="4"/>
  <c r="T655" i="4"/>
  <c r="S655" i="4" s="1"/>
  <c r="Q655" i="4"/>
  <c r="M655" i="4"/>
  <c r="N655" i="4" s="1"/>
  <c r="B655" i="4"/>
  <c r="Q654" i="4"/>
  <c r="M654" i="4"/>
  <c r="N654" i="4" s="1"/>
  <c r="T653" i="4"/>
  <c r="S653" i="4" s="1"/>
  <c r="Q653" i="4"/>
  <c r="M653" i="4"/>
  <c r="N653" i="4" s="1"/>
  <c r="T652" i="4"/>
  <c r="S652" i="4" s="1"/>
  <c r="Q652" i="4"/>
  <c r="M652" i="4"/>
  <c r="N652" i="4" s="1"/>
  <c r="B652" i="4"/>
  <c r="B653" i="4" s="1"/>
  <c r="B654" i="4" s="1"/>
  <c r="R641" i="4"/>
  <c r="S640" i="4"/>
  <c r="R640" i="4"/>
  <c r="Q640" i="4"/>
  <c r="O640" i="4"/>
  <c r="T639" i="4"/>
  <c r="S639" i="4" s="1"/>
  <c r="Q639" i="4"/>
  <c r="M639" i="4"/>
  <c r="N639" i="4" s="1"/>
  <c r="B639" i="4"/>
  <c r="T638" i="4"/>
  <c r="S638" i="4" s="1"/>
  <c r="Q638" i="4"/>
  <c r="M638" i="4"/>
  <c r="N638" i="4" s="1"/>
  <c r="B638" i="4"/>
  <c r="T637" i="4"/>
  <c r="S637" i="4" s="1"/>
  <c r="Q637" i="4"/>
  <c r="M637" i="4"/>
  <c r="N637" i="4" s="1"/>
  <c r="B637" i="4"/>
  <c r="Q636" i="4"/>
  <c r="M636" i="4"/>
  <c r="N636" i="4" s="1"/>
  <c r="T635" i="4"/>
  <c r="S635" i="4" s="1"/>
  <c r="Q635" i="4"/>
  <c r="M635" i="4"/>
  <c r="N635" i="4" s="1"/>
  <c r="Q634" i="4"/>
  <c r="M634" i="4"/>
  <c r="N634" i="4" s="1"/>
  <c r="B634" i="4"/>
  <c r="B635" i="4" s="1"/>
  <c r="B636" i="4" s="1"/>
  <c r="R623" i="4"/>
  <c r="S622" i="4"/>
  <c r="R622" i="4"/>
  <c r="Q622" i="4"/>
  <c r="O622" i="4"/>
  <c r="T621" i="4"/>
  <c r="S621" i="4" s="1"/>
  <c r="Q621" i="4"/>
  <c r="M621" i="4"/>
  <c r="N621" i="4" s="1"/>
  <c r="B621" i="4"/>
  <c r="T620" i="4"/>
  <c r="S620" i="4" s="1"/>
  <c r="Q620" i="4"/>
  <c r="M620" i="4"/>
  <c r="N620" i="4" s="1"/>
  <c r="B620" i="4"/>
  <c r="T619" i="4"/>
  <c r="S619" i="4" s="1"/>
  <c r="Q619" i="4"/>
  <c r="M619" i="4"/>
  <c r="N619" i="4" s="1"/>
  <c r="B619" i="4"/>
  <c r="T618" i="4"/>
  <c r="S618" i="4" s="1"/>
  <c r="Q618" i="4"/>
  <c r="M618" i="4"/>
  <c r="N618" i="4" s="1"/>
  <c r="B618" i="4"/>
  <c r="M617" i="4"/>
  <c r="N617" i="4" s="1"/>
  <c r="M616" i="4"/>
  <c r="N616" i="4" s="1"/>
  <c r="B616" i="4"/>
  <c r="B617" i="4" s="1"/>
  <c r="R605" i="4"/>
  <c r="S604" i="4"/>
  <c r="R604" i="4"/>
  <c r="Q604" i="4"/>
  <c r="O604" i="4"/>
  <c r="T603" i="4"/>
  <c r="S603" i="4" s="1"/>
  <c r="Q603" i="4"/>
  <c r="M603" i="4"/>
  <c r="N603" i="4" s="1"/>
  <c r="B603" i="4"/>
  <c r="T602" i="4"/>
  <c r="S602" i="4" s="1"/>
  <c r="Q602" i="4"/>
  <c r="M602" i="4"/>
  <c r="N602" i="4" s="1"/>
  <c r="B602" i="4"/>
  <c r="T601" i="4"/>
  <c r="S601" i="4" s="1"/>
  <c r="Q601" i="4"/>
  <c r="M601" i="4"/>
  <c r="N601" i="4" s="1"/>
  <c r="Q600" i="4"/>
  <c r="M600" i="4"/>
  <c r="N600" i="4" s="1"/>
  <c r="T599" i="4"/>
  <c r="S599" i="4" s="1"/>
  <c r="Q599" i="4"/>
  <c r="M599" i="4"/>
  <c r="N599" i="4" s="1"/>
  <c r="T598" i="4"/>
  <c r="S598" i="4" s="1"/>
  <c r="Q598" i="4"/>
  <c r="M598" i="4"/>
  <c r="N598" i="4" s="1"/>
  <c r="B598" i="4"/>
  <c r="B599" i="4" s="1"/>
  <c r="B600" i="4" s="1"/>
  <c r="B601" i="4" s="1"/>
  <c r="R587" i="4"/>
  <c r="S586" i="4"/>
  <c r="R586" i="4"/>
  <c r="Q586" i="4"/>
  <c r="O586" i="4"/>
  <c r="T585" i="4"/>
  <c r="S585" i="4" s="1"/>
  <c r="Q585" i="4"/>
  <c r="M585" i="4"/>
  <c r="N585" i="4" s="1"/>
  <c r="B585" i="4"/>
  <c r="T584" i="4"/>
  <c r="S584" i="4" s="1"/>
  <c r="Q584" i="4"/>
  <c r="M584" i="4"/>
  <c r="N584" i="4" s="1"/>
  <c r="B584" i="4"/>
  <c r="T583" i="4"/>
  <c r="S583" i="4" s="1"/>
  <c r="Q583" i="4"/>
  <c r="M583" i="4"/>
  <c r="N583" i="4" s="1"/>
  <c r="B583" i="4"/>
  <c r="T582" i="4"/>
  <c r="S582" i="4" s="1"/>
  <c r="Q582" i="4"/>
  <c r="M582" i="4"/>
  <c r="N582" i="4" s="1"/>
  <c r="B582" i="4"/>
  <c r="M581" i="4"/>
  <c r="N581" i="4" s="1"/>
  <c r="M580" i="4"/>
  <c r="N580" i="4" s="1"/>
  <c r="B580" i="4"/>
  <c r="B581" i="4" s="1"/>
  <c r="R569" i="4"/>
  <c r="S568" i="4"/>
  <c r="R568" i="4"/>
  <c r="Q568" i="4"/>
  <c r="O568" i="4"/>
  <c r="T567" i="4"/>
  <c r="S567" i="4" s="1"/>
  <c r="Q567" i="4"/>
  <c r="M567" i="4"/>
  <c r="N567" i="4" s="1"/>
  <c r="B567" i="4"/>
  <c r="T566" i="4"/>
  <c r="S566" i="4" s="1"/>
  <c r="Q566" i="4"/>
  <c r="M566" i="4"/>
  <c r="N566" i="4" s="1"/>
  <c r="B566" i="4"/>
  <c r="Q565" i="4"/>
  <c r="M565" i="4"/>
  <c r="N565" i="4" s="1"/>
  <c r="Q564" i="4"/>
  <c r="M564" i="4"/>
  <c r="N564" i="4" s="1"/>
  <c r="M563" i="4"/>
  <c r="N563" i="4" s="1"/>
  <c r="M562" i="4"/>
  <c r="N562" i="4" s="1"/>
  <c r="B562" i="4"/>
  <c r="B563" i="4" s="1"/>
  <c r="B564" i="4" s="1"/>
  <c r="B565" i="4" s="1"/>
  <c r="R551" i="4"/>
  <c r="S550" i="4"/>
  <c r="R550" i="4"/>
  <c r="Q550" i="4"/>
  <c r="O550" i="4"/>
  <c r="T549" i="4"/>
  <c r="S549" i="4" s="1"/>
  <c r="Q549" i="4"/>
  <c r="M549" i="4"/>
  <c r="N549" i="4" s="1"/>
  <c r="B549" i="4"/>
  <c r="T548" i="4"/>
  <c r="S548" i="4" s="1"/>
  <c r="Q548" i="4"/>
  <c r="M548" i="4"/>
  <c r="N548" i="4" s="1"/>
  <c r="B548" i="4"/>
  <c r="T547" i="4"/>
  <c r="S547" i="4" s="1"/>
  <c r="Q547" i="4"/>
  <c r="M547" i="4"/>
  <c r="N547" i="4" s="1"/>
  <c r="B547" i="4"/>
  <c r="T546" i="4"/>
  <c r="S546" i="4" s="1"/>
  <c r="Q546" i="4"/>
  <c r="M546" i="4"/>
  <c r="N546" i="4" s="1"/>
  <c r="B546" i="4"/>
  <c r="Q545" i="4"/>
  <c r="M545" i="4"/>
  <c r="N545" i="4" s="1"/>
  <c r="Q544" i="4"/>
  <c r="M544" i="4"/>
  <c r="N544" i="4" s="1"/>
  <c r="B544" i="4"/>
  <c r="B545" i="4" s="1"/>
  <c r="R533" i="4"/>
  <c r="S532" i="4"/>
  <c r="R532" i="4"/>
  <c r="Q532" i="4"/>
  <c r="O532" i="4"/>
  <c r="T531" i="4"/>
  <c r="S531" i="4" s="1"/>
  <c r="Q531" i="4"/>
  <c r="M531" i="4"/>
  <c r="N531" i="4" s="1"/>
  <c r="B531" i="4"/>
  <c r="T530" i="4"/>
  <c r="S530" i="4" s="1"/>
  <c r="Q530" i="4"/>
  <c r="M530" i="4"/>
  <c r="N530" i="4" s="1"/>
  <c r="B530" i="4"/>
  <c r="T529" i="4"/>
  <c r="S529" i="4" s="1"/>
  <c r="Q529" i="4"/>
  <c r="M529" i="4"/>
  <c r="N529" i="4" s="1"/>
  <c r="B529" i="4"/>
  <c r="Q528" i="4"/>
  <c r="M528" i="4"/>
  <c r="N528" i="4" s="1"/>
  <c r="N527" i="4"/>
  <c r="N526" i="4"/>
  <c r="B526" i="4"/>
  <c r="B527" i="4" s="1"/>
  <c r="B528" i="4" s="1"/>
  <c r="R515" i="4"/>
  <c r="S514" i="4"/>
  <c r="R514" i="4"/>
  <c r="Q514" i="4"/>
  <c r="O514" i="4"/>
  <c r="T513" i="4"/>
  <c r="S513" i="4" s="1"/>
  <c r="Q513" i="4"/>
  <c r="M513" i="4"/>
  <c r="N513" i="4" s="1"/>
  <c r="B513" i="4"/>
  <c r="T512" i="4"/>
  <c r="S512" i="4" s="1"/>
  <c r="Q512" i="4"/>
  <c r="M512" i="4"/>
  <c r="N512" i="4" s="1"/>
  <c r="B512" i="4"/>
  <c r="T511" i="4"/>
  <c r="S511" i="4" s="1"/>
  <c r="Q511" i="4"/>
  <c r="M511" i="4"/>
  <c r="N511" i="4" s="1"/>
  <c r="Q510" i="4"/>
  <c r="M510" i="4"/>
  <c r="N510" i="4" s="1"/>
  <c r="T509" i="4"/>
  <c r="S509" i="4" s="1"/>
  <c r="Q509" i="4"/>
  <c r="M509" i="4"/>
  <c r="N509" i="4" s="1"/>
  <c r="T508" i="4"/>
  <c r="S508" i="4" s="1"/>
  <c r="Q508" i="4"/>
  <c r="M508" i="4"/>
  <c r="N508" i="4" s="1"/>
  <c r="B508" i="4"/>
  <c r="B509" i="4" s="1"/>
  <c r="B510" i="4" s="1"/>
  <c r="B511" i="4" s="1"/>
  <c r="R497" i="4"/>
  <c r="S496" i="4"/>
  <c r="R496" i="4"/>
  <c r="Q496" i="4"/>
  <c r="O496" i="4"/>
  <c r="T495" i="4"/>
  <c r="S495" i="4" s="1"/>
  <c r="Q495" i="4"/>
  <c r="M495" i="4"/>
  <c r="N495" i="4" s="1"/>
  <c r="B495" i="4"/>
  <c r="T494" i="4"/>
  <c r="S494" i="4" s="1"/>
  <c r="Q494" i="4"/>
  <c r="M494" i="4"/>
  <c r="N494" i="4" s="1"/>
  <c r="B494" i="4"/>
  <c r="T493" i="4"/>
  <c r="S493" i="4" s="1"/>
  <c r="Q493" i="4"/>
  <c r="M493" i="4"/>
  <c r="N493" i="4" s="1"/>
  <c r="B493" i="4"/>
  <c r="T492" i="4"/>
  <c r="S492" i="4" s="1"/>
  <c r="Q492" i="4"/>
  <c r="M492" i="4"/>
  <c r="N492" i="4" s="1"/>
  <c r="T491" i="4"/>
  <c r="S491" i="4" s="1"/>
  <c r="Q491" i="4"/>
  <c r="M491" i="4"/>
  <c r="N491" i="4" s="1"/>
  <c r="Q490" i="4"/>
  <c r="M490" i="4"/>
  <c r="N490" i="4" s="1"/>
  <c r="B490" i="4"/>
  <c r="B491" i="4" s="1"/>
  <c r="B492" i="4" s="1"/>
  <c r="R479" i="4"/>
  <c r="S478" i="4"/>
  <c r="R478" i="4"/>
  <c r="Q478" i="4"/>
  <c r="O478" i="4"/>
  <c r="T477" i="4"/>
  <c r="S477" i="4" s="1"/>
  <c r="Q477" i="4"/>
  <c r="M477" i="4"/>
  <c r="N477" i="4" s="1"/>
  <c r="B477" i="4"/>
  <c r="T476" i="4"/>
  <c r="S476" i="4" s="1"/>
  <c r="Q476" i="4"/>
  <c r="M476" i="4"/>
  <c r="N476" i="4" s="1"/>
  <c r="B476" i="4"/>
  <c r="T475" i="4"/>
  <c r="S475" i="4" s="1"/>
  <c r="Q475" i="4"/>
  <c r="M475" i="4"/>
  <c r="N475" i="4" s="1"/>
  <c r="B475" i="4"/>
  <c r="Q474" i="4"/>
  <c r="M474" i="4"/>
  <c r="N474" i="4" s="1"/>
  <c r="M473" i="4"/>
  <c r="N473" i="4" s="1"/>
  <c r="M472" i="4"/>
  <c r="N472" i="4" s="1"/>
  <c r="B472" i="4"/>
  <c r="B473" i="4" s="1"/>
  <c r="B474" i="4" s="1"/>
  <c r="R461" i="4"/>
  <c r="S460" i="4"/>
  <c r="R460" i="4"/>
  <c r="Q460" i="4"/>
  <c r="O460" i="4"/>
  <c r="T459" i="4"/>
  <c r="S459" i="4" s="1"/>
  <c r="Q459" i="4"/>
  <c r="M459" i="4"/>
  <c r="N459" i="4" s="1"/>
  <c r="B459" i="4"/>
  <c r="T458" i="4"/>
  <c r="S458" i="4" s="1"/>
  <c r="Q458" i="4"/>
  <c r="M458" i="4"/>
  <c r="N458" i="4" s="1"/>
  <c r="B458" i="4"/>
  <c r="Q457" i="4"/>
  <c r="M457" i="4"/>
  <c r="N457" i="4" s="1"/>
  <c r="T456" i="4"/>
  <c r="S456" i="4" s="1"/>
  <c r="Q456" i="4"/>
  <c r="M456" i="4"/>
  <c r="N456" i="4" s="1"/>
  <c r="M455" i="4"/>
  <c r="N455" i="4" s="1"/>
  <c r="M454" i="4"/>
  <c r="N454" i="4" s="1"/>
  <c r="B454" i="4"/>
  <c r="B455" i="4" s="1"/>
  <c r="B456" i="4" s="1"/>
  <c r="B457" i="4" s="1"/>
  <c r="R443" i="4"/>
  <c r="S442" i="4"/>
  <c r="R442" i="4"/>
  <c r="Q442" i="4"/>
  <c r="O442" i="4"/>
  <c r="T441" i="4"/>
  <c r="S441" i="4" s="1"/>
  <c r="Q441" i="4"/>
  <c r="M441" i="4"/>
  <c r="N441" i="4" s="1"/>
  <c r="B441" i="4"/>
  <c r="T440" i="4"/>
  <c r="S440" i="4" s="1"/>
  <c r="Q440" i="4"/>
  <c r="M440" i="4"/>
  <c r="N440" i="4" s="1"/>
  <c r="B440" i="4"/>
  <c r="M439" i="4"/>
  <c r="N439" i="4" s="1"/>
  <c r="B439" i="4"/>
  <c r="M438" i="4"/>
  <c r="N438" i="4" s="1"/>
  <c r="B438" i="4"/>
  <c r="M437" i="4"/>
  <c r="N437" i="4" s="1"/>
  <c r="M436" i="4"/>
  <c r="N436" i="4" s="1"/>
  <c r="B436" i="4"/>
  <c r="B437" i="4" s="1"/>
  <c r="R425" i="4"/>
  <c r="S424" i="4"/>
  <c r="R424" i="4"/>
  <c r="Q424" i="4"/>
  <c r="O424" i="4"/>
  <c r="T423" i="4"/>
  <c r="S423" i="4" s="1"/>
  <c r="Q423" i="4"/>
  <c r="M423" i="4"/>
  <c r="N423" i="4" s="1"/>
  <c r="B423" i="4"/>
  <c r="T422" i="4"/>
  <c r="S422" i="4" s="1"/>
  <c r="Q422" i="4"/>
  <c r="M422" i="4"/>
  <c r="N422" i="4" s="1"/>
  <c r="B422" i="4"/>
  <c r="T421" i="4"/>
  <c r="S421" i="4" s="1"/>
  <c r="Q421" i="4"/>
  <c r="M421" i="4"/>
  <c r="N421" i="4" s="1"/>
  <c r="T420" i="4"/>
  <c r="S420" i="4" s="1"/>
  <c r="Q420" i="4"/>
  <c r="M420" i="4"/>
  <c r="N420" i="4" s="1"/>
  <c r="T419" i="4"/>
  <c r="Q419" i="4"/>
  <c r="M419" i="4"/>
  <c r="N419" i="4" s="1"/>
  <c r="Q418" i="4"/>
  <c r="M418" i="4"/>
  <c r="N418" i="4" s="1"/>
  <c r="B418" i="4"/>
  <c r="B419" i="4" s="1"/>
  <c r="B420" i="4" s="1"/>
  <c r="B421" i="4" s="1"/>
  <c r="R407" i="4"/>
  <c r="S406" i="4"/>
  <c r="R406" i="4"/>
  <c r="Q406" i="4"/>
  <c r="O406" i="4"/>
  <c r="T405" i="4"/>
  <c r="S405" i="4" s="1"/>
  <c r="Q405" i="4"/>
  <c r="M405" i="4"/>
  <c r="N405" i="4" s="1"/>
  <c r="B405" i="4"/>
  <c r="T404" i="4"/>
  <c r="S404" i="4" s="1"/>
  <c r="Q404" i="4"/>
  <c r="M404" i="4"/>
  <c r="N404" i="4" s="1"/>
  <c r="B404" i="4"/>
  <c r="T403" i="4"/>
  <c r="S403" i="4" s="1"/>
  <c r="Q403" i="4"/>
  <c r="M403" i="4"/>
  <c r="N403" i="4" s="1"/>
  <c r="B403" i="4"/>
  <c r="T402" i="4"/>
  <c r="S402" i="4" s="1"/>
  <c r="Q402" i="4"/>
  <c r="M402" i="4"/>
  <c r="N402" i="4" s="1"/>
  <c r="B402" i="4"/>
  <c r="M401" i="4"/>
  <c r="N401" i="4" s="1"/>
  <c r="M400" i="4"/>
  <c r="N400" i="4" s="1"/>
  <c r="B400" i="4"/>
  <c r="B401" i="4" s="1"/>
  <c r="R389" i="4"/>
  <c r="S388" i="4"/>
  <c r="R388" i="4"/>
  <c r="Q388" i="4"/>
  <c r="O388" i="4"/>
  <c r="T387" i="4"/>
  <c r="S387" i="4" s="1"/>
  <c r="Q387" i="4"/>
  <c r="M387" i="4"/>
  <c r="N387" i="4" s="1"/>
  <c r="B387" i="4"/>
  <c r="T386" i="4"/>
  <c r="S386" i="4" s="1"/>
  <c r="Q386" i="4"/>
  <c r="M386" i="4"/>
  <c r="N386" i="4" s="1"/>
  <c r="B386" i="4"/>
  <c r="T385" i="4"/>
  <c r="S385" i="4" s="1"/>
  <c r="Q385" i="4"/>
  <c r="M385" i="4"/>
  <c r="N385" i="4" s="1"/>
  <c r="B385" i="4"/>
  <c r="T384" i="4"/>
  <c r="S384" i="4" s="1"/>
  <c r="Q384" i="4"/>
  <c r="M384" i="4"/>
  <c r="N384" i="4" s="1"/>
  <c r="B384" i="4"/>
  <c r="M383" i="4"/>
  <c r="N383" i="4" s="1"/>
  <c r="M382" i="4"/>
  <c r="N382" i="4" s="1"/>
  <c r="B382" i="4"/>
  <c r="B383" i="4" s="1"/>
  <c r="R371" i="4"/>
  <c r="S370" i="4"/>
  <c r="R370" i="4"/>
  <c r="Q370" i="4"/>
  <c r="O370" i="4"/>
  <c r="T369" i="4"/>
  <c r="S369" i="4" s="1"/>
  <c r="Q369" i="4"/>
  <c r="M369" i="4"/>
  <c r="N369" i="4" s="1"/>
  <c r="B369" i="4"/>
  <c r="T368" i="4"/>
  <c r="S368" i="4" s="1"/>
  <c r="Q368" i="4"/>
  <c r="M368" i="4"/>
  <c r="N368" i="4" s="1"/>
  <c r="B368" i="4"/>
  <c r="T367" i="4"/>
  <c r="S367" i="4" s="1"/>
  <c r="Q367" i="4"/>
  <c r="M367" i="4"/>
  <c r="N367" i="4" s="1"/>
  <c r="B367" i="4"/>
  <c r="T366" i="4"/>
  <c r="S366" i="4" s="1"/>
  <c r="Q366" i="4"/>
  <c r="M366" i="4"/>
  <c r="N366" i="4" s="1"/>
  <c r="B366" i="4"/>
  <c r="M365" i="4"/>
  <c r="N365" i="4" s="1"/>
  <c r="M364" i="4"/>
  <c r="N364" i="4" s="1"/>
  <c r="B364" i="4"/>
  <c r="B365" i="4" s="1"/>
  <c r="R353" i="4"/>
  <c r="S352" i="4"/>
  <c r="R352" i="4"/>
  <c r="Q352" i="4"/>
  <c r="O352" i="4"/>
  <c r="T351" i="4"/>
  <c r="S351" i="4" s="1"/>
  <c r="Q351" i="4"/>
  <c r="M351" i="4"/>
  <c r="N351" i="4" s="1"/>
  <c r="B351" i="4"/>
  <c r="T350" i="4"/>
  <c r="S350" i="4" s="1"/>
  <c r="Q350" i="4"/>
  <c r="M350" i="4"/>
  <c r="N350" i="4" s="1"/>
  <c r="B350" i="4"/>
  <c r="T349" i="4"/>
  <c r="S349" i="4" s="1"/>
  <c r="Q349" i="4"/>
  <c r="M349" i="4"/>
  <c r="N349" i="4" s="1"/>
  <c r="B349" i="4"/>
  <c r="Q348" i="4"/>
  <c r="M348" i="4"/>
  <c r="N348" i="4" s="1"/>
  <c r="T347" i="4"/>
  <c r="S347" i="4" s="1"/>
  <c r="Q347" i="4"/>
  <c r="M347" i="4"/>
  <c r="N347" i="4" s="1"/>
  <c r="T346" i="4"/>
  <c r="S346" i="4" s="1"/>
  <c r="Q346" i="4"/>
  <c r="M346" i="4"/>
  <c r="N346" i="4" s="1"/>
  <c r="B346" i="4"/>
  <c r="B347" i="4" s="1"/>
  <c r="B348" i="4" s="1"/>
  <c r="R335" i="4"/>
  <c r="S334" i="4"/>
  <c r="R334" i="4"/>
  <c r="Q334" i="4"/>
  <c r="O334" i="4"/>
  <c r="T333" i="4"/>
  <c r="S333" i="4" s="1"/>
  <c r="Q333" i="4"/>
  <c r="M333" i="4"/>
  <c r="N333" i="4" s="1"/>
  <c r="B333" i="4"/>
  <c r="T332" i="4"/>
  <c r="S332" i="4" s="1"/>
  <c r="Q332" i="4"/>
  <c r="M332" i="4"/>
  <c r="N332" i="4" s="1"/>
  <c r="B332" i="4"/>
  <c r="T331" i="4"/>
  <c r="S331" i="4" s="1"/>
  <c r="Q331" i="4"/>
  <c r="M331" i="4"/>
  <c r="N331" i="4" s="1"/>
  <c r="B331" i="4"/>
  <c r="T330" i="4"/>
  <c r="S330" i="4" s="1"/>
  <c r="Q330" i="4"/>
  <c r="M330" i="4"/>
  <c r="N330" i="4" s="1"/>
  <c r="B330" i="4"/>
  <c r="T329" i="4"/>
  <c r="S329" i="4" s="1"/>
  <c r="Q329" i="4"/>
  <c r="M329" i="4"/>
  <c r="N329" i="4" s="1"/>
  <c r="Q328" i="4"/>
  <c r="M328" i="4"/>
  <c r="N328" i="4" s="1"/>
  <c r="B328" i="4"/>
  <c r="B329" i="4" s="1"/>
  <c r="R317" i="4"/>
  <c r="S316" i="4"/>
  <c r="R316" i="4"/>
  <c r="Q316" i="4"/>
  <c r="O316" i="4"/>
  <c r="T315" i="4"/>
  <c r="S315" i="4" s="1"/>
  <c r="Q315" i="4"/>
  <c r="M315" i="4"/>
  <c r="N315" i="4" s="1"/>
  <c r="B315" i="4"/>
  <c r="T314" i="4"/>
  <c r="S314" i="4" s="1"/>
  <c r="Q314" i="4"/>
  <c r="M314" i="4"/>
  <c r="N314" i="4" s="1"/>
  <c r="B314" i="4"/>
  <c r="T313" i="4"/>
  <c r="S313" i="4" s="1"/>
  <c r="Q313" i="4"/>
  <c r="M313" i="4"/>
  <c r="N313" i="4" s="1"/>
  <c r="B313" i="4"/>
  <c r="T312" i="4"/>
  <c r="S312" i="4" s="1"/>
  <c r="Q312" i="4"/>
  <c r="M312" i="4"/>
  <c r="N312" i="4" s="1"/>
  <c r="Q311" i="4"/>
  <c r="M311" i="4"/>
  <c r="N311" i="4" s="1"/>
  <c r="T310" i="4"/>
  <c r="S310" i="4" s="1"/>
  <c r="Q310" i="4"/>
  <c r="M310" i="4"/>
  <c r="N310" i="4" s="1"/>
  <c r="B310" i="4"/>
  <c r="B311" i="4" s="1"/>
  <c r="B312" i="4" s="1"/>
  <c r="R299" i="4"/>
  <c r="S298" i="4"/>
  <c r="R298" i="4"/>
  <c r="Q298" i="4"/>
  <c r="O298" i="4"/>
  <c r="T297" i="4"/>
  <c r="S297" i="4" s="1"/>
  <c r="Q297" i="4"/>
  <c r="M297" i="4"/>
  <c r="N297" i="4" s="1"/>
  <c r="B297" i="4"/>
  <c r="T296" i="4"/>
  <c r="S296" i="4" s="1"/>
  <c r="Q296" i="4"/>
  <c r="M296" i="4"/>
  <c r="N296" i="4" s="1"/>
  <c r="B296" i="4"/>
  <c r="Q295" i="4"/>
  <c r="M295" i="4"/>
  <c r="N295" i="4" s="1"/>
  <c r="Q294" i="4"/>
  <c r="M294" i="4"/>
  <c r="N294" i="4" s="1"/>
  <c r="Q293" i="4"/>
  <c r="M293" i="4"/>
  <c r="N293" i="4" s="1"/>
  <c r="T292" i="4"/>
  <c r="S292" i="4" s="1"/>
  <c r="Q292" i="4"/>
  <c r="M292" i="4"/>
  <c r="N292" i="4" s="1"/>
  <c r="B292" i="4"/>
  <c r="B293" i="4" s="1"/>
  <c r="B294" i="4" s="1"/>
  <c r="B295" i="4" s="1"/>
  <c r="R281" i="4"/>
  <c r="S280" i="4"/>
  <c r="R280" i="4"/>
  <c r="Q280" i="4"/>
  <c r="O280" i="4"/>
  <c r="T279" i="4"/>
  <c r="S279" i="4" s="1"/>
  <c r="Q279" i="4"/>
  <c r="M279" i="4"/>
  <c r="N279" i="4" s="1"/>
  <c r="B279" i="4"/>
  <c r="T278" i="4"/>
  <c r="S278" i="4" s="1"/>
  <c r="Q278" i="4"/>
  <c r="M278" i="4"/>
  <c r="N278" i="4" s="1"/>
  <c r="B278" i="4"/>
  <c r="T277" i="4"/>
  <c r="S277" i="4" s="1"/>
  <c r="Q277" i="4"/>
  <c r="M277" i="4"/>
  <c r="N277" i="4" s="1"/>
  <c r="B277" i="4"/>
  <c r="T276" i="4"/>
  <c r="S276" i="4" s="1"/>
  <c r="Q276" i="4"/>
  <c r="M276" i="4"/>
  <c r="N276" i="4" s="1"/>
  <c r="T275" i="4"/>
  <c r="S275" i="4" s="1"/>
  <c r="Q275" i="4"/>
  <c r="M275" i="4"/>
  <c r="N275" i="4" s="1"/>
  <c r="Q274" i="4"/>
  <c r="M274" i="4"/>
  <c r="N274" i="4" s="1"/>
  <c r="B274" i="4"/>
  <c r="B275" i="4" s="1"/>
  <c r="B276" i="4" s="1"/>
  <c r="R263" i="4"/>
  <c r="S262" i="4"/>
  <c r="R262" i="4"/>
  <c r="Q262" i="4"/>
  <c r="O262" i="4"/>
  <c r="T261" i="4"/>
  <c r="S261" i="4" s="1"/>
  <c r="Q261" i="4"/>
  <c r="M261" i="4"/>
  <c r="N261" i="4" s="1"/>
  <c r="B261" i="4"/>
  <c r="T260" i="4"/>
  <c r="S260" i="4" s="1"/>
  <c r="Q260" i="4"/>
  <c r="M260" i="4"/>
  <c r="N260" i="4" s="1"/>
  <c r="B260" i="4"/>
  <c r="Q259" i="4"/>
  <c r="M259" i="4"/>
  <c r="N259" i="4" s="1"/>
  <c r="Q258" i="4"/>
  <c r="M258" i="4"/>
  <c r="N258" i="4" s="1"/>
  <c r="Q257" i="4"/>
  <c r="M257" i="4"/>
  <c r="N257" i="4" s="1"/>
  <c r="Q256" i="4"/>
  <c r="M256" i="4"/>
  <c r="N256" i="4" s="1"/>
  <c r="B256" i="4"/>
  <c r="B257" i="4" s="1"/>
  <c r="B258" i="4" s="1"/>
  <c r="B259" i="4" s="1"/>
  <c r="R245" i="4"/>
  <c r="S244" i="4"/>
  <c r="R244" i="4"/>
  <c r="Q244" i="4"/>
  <c r="O244" i="4"/>
  <c r="T243" i="4"/>
  <c r="S243" i="4" s="1"/>
  <c r="Q243" i="4"/>
  <c r="M243" i="4"/>
  <c r="N243" i="4" s="1"/>
  <c r="B243" i="4"/>
  <c r="T242" i="4"/>
  <c r="S242" i="4" s="1"/>
  <c r="Q242" i="4"/>
  <c r="M242" i="4"/>
  <c r="N242" i="4" s="1"/>
  <c r="B242" i="4"/>
  <c r="Q241" i="4"/>
  <c r="M241" i="4"/>
  <c r="N241" i="4" s="1"/>
  <c r="Q240" i="4"/>
  <c r="M240" i="4"/>
  <c r="N240" i="4" s="1"/>
  <c r="Q239" i="4"/>
  <c r="M239" i="4"/>
  <c r="N239" i="4" s="1"/>
  <c r="Q238" i="4"/>
  <c r="M238" i="4"/>
  <c r="N238" i="4" s="1"/>
  <c r="B238" i="4"/>
  <c r="B239" i="4" s="1"/>
  <c r="B240" i="4" s="1"/>
  <c r="B241" i="4" s="1"/>
  <c r="R227" i="4"/>
  <c r="S226" i="4"/>
  <c r="R226" i="4"/>
  <c r="Q226" i="4"/>
  <c r="O226" i="4"/>
  <c r="T225" i="4"/>
  <c r="S225" i="4" s="1"/>
  <c r="Q225" i="4"/>
  <c r="M225" i="4"/>
  <c r="N225" i="4" s="1"/>
  <c r="B225" i="4"/>
  <c r="T224" i="4"/>
  <c r="S224" i="4" s="1"/>
  <c r="Q224" i="4"/>
  <c r="M224" i="4"/>
  <c r="N224" i="4" s="1"/>
  <c r="B224" i="4"/>
  <c r="T223" i="4"/>
  <c r="S223" i="4" s="1"/>
  <c r="Q223" i="4"/>
  <c r="M223" i="4"/>
  <c r="N223" i="4" s="1"/>
  <c r="B223" i="4"/>
  <c r="T222" i="4"/>
  <c r="S222" i="4" s="1"/>
  <c r="Q222" i="4"/>
  <c r="M222" i="4"/>
  <c r="N222" i="4" s="1"/>
  <c r="B222" i="4"/>
  <c r="Q221" i="4"/>
  <c r="M221" i="4"/>
  <c r="N221" i="4" s="1"/>
  <c r="Q220" i="4"/>
  <c r="M220" i="4"/>
  <c r="N220" i="4" s="1"/>
  <c r="B220" i="4"/>
  <c r="B221" i="4" s="1"/>
  <c r="R209" i="4"/>
  <c r="S208" i="4"/>
  <c r="R208" i="4"/>
  <c r="Q208" i="4"/>
  <c r="O208" i="4"/>
  <c r="T207" i="4"/>
  <c r="S207" i="4" s="1"/>
  <c r="Q207" i="4"/>
  <c r="M207" i="4"/>
  <c r="N207" i="4" s="1"/>
  <c r="B207" i="4"/>
  <c r="T206" i="4"/>
  <c r="S206" i="4" s="1"/>
  <c r="Q206" i="4"/>
  <c r="M206" i="4"/>
  <c r="N206" i="4" s="1"/>
  <c r="B206" i="4"/>
  <c r="T205" i="4"/>
  <c r="S205" i="4" s="1"/>
  <c r="Q205" i="4"/>
  <c r="M205" i="4"/>
  <c r="N205" i="4" s="1"/>
  <c r="B205" i="4"/>
  <c r="T204" i="4"/>
  <c r="S204" i="4" s="1"/>
  <c r="Q204" i="4"/>
  <c r="M204" i="4"/>
  <c r="N204" i="4" s="1"/>
  <c r="B204" i="4"/>
  <c r="M203" i="4"/>
  <c r="N203" i="4" s="1"/>
  <c r="T202" i="4"/>
  <c r="S202" i="4" s="1"/>
  <c r="Q202" i="4"/>
  <c r="M202" i="4"/>
  <c r="N202" i="4" s="1"/>
  <c r="B202" i="4"/>
  <c r="B203" i="4" s="1"/>
  <c r="R191" i="4"/>
  <c r="S190" i="4"/>
  <c r="R190" i="4"/>
  <c r="Q190" i="4"/>
  <c r="O190" i="4"/>
  <c r="T189" i="4"/>
  <c r="S189" i="4" s="1"/>
  <c r="Q189" i="4"/>
  <c r="M189" i="4"/>
  <c r="N189" i="4" s="1"/>
  <c r="B189" i="4"/>
  <c r="T188" i="4"/>
  <c r="S188" i="4" s="1"/>
  <c r="Q188" i="4"/>
  <c r="M188" i="4"/>
  <c r="N188" i="4" s="1"/>
  <c r="B188" i="4"/>
  <c r="T187" i="4"/>
  <c r="S187" i="4" s="1"/>
  <c r="Q187" i="4"/>
  <c r="M187" i="4"/>
  <c r="N187" i="4" s="1"/>
  <c r="B187" i="4"/>
  <c r="T186" i="4"/>
  <c r="S186" i="4" s="1"/>
  <c r="Q186" i="4"/>
  <c r="M186" i="4"/>
  <c r="N186" i="4" s="1"/>
  <c r="B186" i="4"/>
  <c r="T185" i="4"/>
  <c r="S185" i="4" s="1"/>
  <c r="Q185" i="4"/>
  <c r="M185" i="4"/>
  <c r="N185" i="4" s="1"/>
  <c r="Q184" i="4"/>
  <c r="M184" i="4"/>
  <c r="N184" i="4" s="1"/>
  <c r="B184" i="4"/>
  <c r="B185" i="4" s="1"/>
  <c r="R173" i="4"/>
  <c r="S172" i="4"/>
  <c r="R172" i="4"/>
  <c r="Q172" i="4"/>
  <c r="O172" i="4"/>
  <c r="T171" i="4"/>
  <c r="S171" i="4" s="1"/>
  <c r="Q171" i="4"/>
  <c r="M171" i="4"/>
  <c r="N171" i="4" s="1"/>
  <c r="B171" i="4"/>
  <c r="T170" i="4"/>
  <c r="S170" i="4" s="1"/>
  <c r="Q170" i="4"/>
  <c r="M170" i="4"/>
  <c r="N170" i="4" s="1"/>
  <c r="B170" i="4"/>
  <c r="T169" i="4"/>
  <c r="S169" i="4" s="1"/>
  <c r="Q169" i="4"/>
  <c r="M169" i="4"/>
  <c r="N169" i="4" s="1"/>
  <c r="B169" i="4"/>
  <c r="T168" i="4"/>
  <c r="S168" i="4" s="1"/>
  <c r="Q168" i="4"/>
  <c r="M168" i="4"/>
  <c r="N168" i="4" s="1"/>
  <c r="B168" i="4"/>
  <c r="T167" i="4"/>
  <c r="S167" i="4" s="1"/>
  <c r="Q167" i="4"/>
  <c r="M167" i="4"/>
  <c r="N167" i="4" s="1"/>
  <c r="B167" i="4"/>
  <c r="Q166" i="4"/>
  <c r="M166" i="4"/>
  <c r="N166" i="4" s="1"/>
  <c r="B166" i="4"/>
  <c r="R155" i="4"/>
  <c r="S154" i="4"/>
  <c r="R154" i="4"/>
  <c r="Q154" i="4"/>
  <c r="O154" i="4"/>
  <c r="T153" i="4"/>
  <c r="S153" i="4" s="1"/>
  <c r="Q153" i="4"/>
  <c r="B153" i="4"/>
  <c r="T152" i="4"/>
  <c r="S152" i="4" s="1"/>
  <c r="Q152" i="4"/>
  <c r="B152" i="4"/>
  <c r="T151" i="4"/>
  <c r="S151" i="4" s="1"/>
  <c r="Q151" i="4"/>
  <c r="B151" i="4"/>
  <c r="T150" i="4"/>
  <c r="S150" i="4" s="1"/>
  <c r="Q150" i="4"/>
  <c r="B150" i="4"/>
  <c r="T149" i="4"/>
  <c r="S149" i="4" s="1"/>
  <c r="Q149" i="4"/>
  <c r="B149" i="4"/>
  <c r="Q148" i="4"/>
  <c r="B148" i="4"/>
  <c r="R137" i="4"/>
  <c r="S136" i="4"/>
  <c r="R136" i="4"/>
  <c r="Q136" i="4"/>
  <c r="O136" i="4"/>
  <c r="T135" i="4"/>
  <c r="S135" i="4" s="1"/>
  <c r="Q135" i="4"/>
  <c r="B135" i="4"/>
  <c r="T134" i="4"/>
  <c r="S134" i="4" s="1"/>
  <c r="Q134" i="4"/>
  <c r="B134" i="4"/>
  <c r="T133" i="4"/>
  <c r="S133" i="4" s="1"/>
  <c r="Q133" i="4"/>
  <c r="B133" i="4"/>
  <c r="T132" i="4"/>
  <c r="S132" i="4" s="1"/>
  <c r="Q132" i="4"/>
  <c r="B132" i="4"/>
  <c r="Q131" i="4"/>
  <c r="Q130" i="4"/>
  <c r="B130" i="4"/>
  <c r="B131" i="4" s="1"/>
  <c r="R119" i="4"/>
  <c r="S118" i="4"/>
  <c r="R118" i="4"/>
  <c r="Q118" i="4"/>
  <c r="O118" i="4"/>
  <c r="T117" i="4"/>
  <c r="S117" i="4" s="1"/>
  <c r="Q117" i="4"/>
  <c r="M117" i="4"/>
  <c r="N117" i="4" s="1"/>
  <c r="B117" i="4"/>
  <c r="T116" i="4"/>
  <c r="S116" i="4" s="1"/>
  <c r="Q116" i="4"/>
  <c r="M116" i="4"/>
  <c r="N116" i="4" s="1"/>
  <c r="B116" i="4"/>
  <c r="T115" i="4"/>
  <c r="S115" i="4" s="1"/>
  <c r="Q115" i="4"/>
  <c r="M115" i="4"/>
  <c r="N115" i="4" s="1"/>
  <c r="B115" i="4"/>
  <c r="T114" i="4"/>
  <c r="S114" i="4" s="1"/>
  <c r="Q114" i="4"/>
  <c r="M114" i="4"/>
  <c r="N114" i="4" s="1"/>
  <c r="B114" i="4"/>
  <c r="Q113" i="4"/>
  <c r="M113" i="4"/>
  <c r="N113" i="4" s="1"/>
  <c r="Q112" i="4"/>
  <c r="M112" i="4"/>
  <c r="N112" i="4" s="1"/>
  <c r="B112" i="4"/>
  <c r="B113" i="4" s="1"/>
  <c r="R101" i="4"/>
  <c r="S100" i="4"/>
  <c r="R100" i="4"/>
  <c r="Q100" i="4"/>
  <c r="O100" i="4"/>
  <c r="T99" i="4"/>
  <c r="S99" i="4" s="1"/>
  <c r="Q99" i="4"/>
  <c r="M99" i="4"/>
  <c r="N99" i="4" s="1"/>
  <c r="B99" i="4"/>
  <c r="T98" i="4"/>
  <c r="S98" i="4" s="1"/>
  <c r="Q98" i="4"/>
  <c r="M98" i="4"/>
  <c r="N98" i="4" s="1"/>
  <c r="B98" i="4"/>
  <c r="T97" i="4"/>
  <c r="S97" i="4" s="1"/>
  <c r="Q97" i="4"/>
  <c r="M97" i="4"/>
  <c r="N97" i="4" s="1"/>
  <c r="B97" i="4"/>
  <c r="Q96" i="4"/>
  <c r="M96" i="4"/>
  <c r="N96" i="4" s="1"/>
  <c r="T95" i="4"/>
  <c r="S95" i="4" s="1"/>
  <c r="Q95" i="4"/>
  <c r="M95" i="4"/>
  <c r="N95" i="4" s="1"/>
  <c r="Q94" i="4"/>
  <c r="M94" i="4"/>
  <c r="N94" i="4" s="1"/>
  <c r="B94" i="4"/>
  <c r="B95" i="4" s="1"/>
  <c r="B96" i="4" s="1"/>
  <c r="F34" i="4"/>
  <c r="A49" i="4" s="1"/>
  <c r="R83" i="4"/>
  <c r="S82" i="4"/>
  <c r="R82" i="4"/>
  <c r="Q82" i="4"/>
  <c r="O82" i="4"/>
  <c r="S81" i="4"/>
  <c r="Q81" i="4"/>
  <c r="M81" i="4"/>
  <c r="N81" i="4" s="1"/>
  <c r="B81" i="4"/>
  <c r="S80" i="4"/>
  <c r="Q80" i="4"/>
  <c r="M80" i="4"/>
  <c r="N80" i="4" s="1"/>
  <c r="B80" i="4"/>
  <c r="S79" i="4"/>
  <c r="Q79" i="4"/>
  <c r="M79" i="4"/>
  <c r="N79" i="4" s="1"/>
  <c r="S78" i="4"/>
  <c r="Q78" i="4"/>
  <c r="M78" i="4"/>
  <c r="N78" i="4" s="1"/>
  <c r="S77" i="4"/>
  <c r="Q77" i="4"/>
  <c r="M77" i="4"/>
  <c r="N77" i="4" s="1"/>
  <c r="Q76" i="4"/>
  <c r="M76" i="4"/>
  <c r="N76" i="4" s="1"/>
  <c r="B76" i="4"/>
  <c r="B77" i="4" s="1"/>
  <c r="B78" i="4" s="1"/>
  <c r="B79" i="4" s="1"/>
  <c r="R65" i="4"/>
  <c r="S64" i="4"/>
  <c r="R64" i="4"/>
  <c r="Q64" i="4"/>
  <c r="O64" i="4"/>
  <c r="S63" i="4"/>
  <c r="Q63" i="4"/>
  <c r="M63" i="4"/>
  <c r="N63" i="4" s="1"/>
  <c r="B63" i="4"/>
  <c r="S62" i="4"/>
  <c r="Q62" i="4"/>
  <c r="M62" i="4"/>
  <c r="N62" i="4" s="1"/>
  <c r="B62" i="4"/>
  <c r="Q61" i="4"/>
  <c r="M61" i="4"/>
  <c r="N61" i="4" s="1"/>
  <c r="Q60" i="4"/>
  <c r="M60" i="4"/>
  <c r="N60" i="4" s="1"/>
  <c r="M59" i="4"/>
  <c r="N59" i="4" s="1"/>
  <c r="M58" i="4"/>
  <c r="N58" i="4" s="1"/>
  <c r="B58" i="4"/>
  <c r="B59" i="4" s="1"/>
  <c r="B60" i="4" s="1"/>
  <c r="B61" i="4" s="1"/>
  <c r="R47" i="4"/>
  <c r="S46" i="4"/>
  <c r="R46" i="4"/>
  <c r="Q46" i="4"/>
  <c r="O46" i="4"/>
  <c r="S45" i="4"/>
  <c r="Q45" i="4"/>
  <c r="M45" i="4"/>
  <c r="N45" i="4" s="1"/>
  <c r="B45" i="4"/>
  <c r="S44" i="4"/>
  <c r="Q44" i="4"/>
  <c r="M44" i="4"/>
  <c r="N44" i="4" s="1"/>
  <c r="B44" i="4"/>
  <c r="Q43" i="4"/>
  <c r="M43" i="4"/>
  <c r="N43" i="4" s="1"/>
  <c r="Q42" i="4"/>
  <c r="M42" i="4"/>
  <c r="N42" i="4" s="1"/>
  <c r="Q41" i="4"/>
  <c r="M41" i="4"/>
  <c r="N41" i="4" s="1"/>
  <c r="M40" i="4"/>
  <c r="N40" i="4" s="1"/>
  <c r="B40" i="4"/>
  <c r="B41" i="4" s="1"/>
  <c r="B42" i="4" s="1"/>
  <c r="B43" i="4" s="1"/>
  <c r="T23" i="4"/>
  <c r="T24" i="4"/>
  <c r="T25" i="4"/>
  <c r="S25" i="4" s="1"/>
  <c r="T26" i="4"/>
  <c r="S26" i="4" s="1"/>
  <c r="T27" i="4"/>
  <c r="S27" i="4" s="1"/>
  <c r="S28" i="4"/>
  <c r="M27" i="4"/>
  <c r="N27" i="4" s="1"/>
  <c r="B27" i="4"/>
  <c r="M26" i="4"/>
  <c r="N26" i="4" s="1"/>
  <c r="B26" i="4"/>
  <c r="M23" i="4"/>
  <c r="D25" i="21"/>
  <c r="E25" i="21" s="1"/>
  <c r="D29" i="21"/>
  <c r="E29" i="21" s="1"/>
  <c r="D30" i="21"/>
  <c r="E30" i="21" s="1"/>
  <c r="D33" i="21"/>
  <c r="D37" i="21"/>
  <c r="D38" i="21"/>
  <c r="D39" i="21"/>
  <c r="D40" i="21"/>
  <c r="E40" i="21" s="1"/>
  <c r="D43" i="21"/>
  <c r="E43" i="21" s="1"/>
  <c r="D44" i="21"/>
  <c r="E44" i="21" s="1"/>
  <c r="D45" i="21"/>
  <c r="E45" i="21" s="1"/>
  <c r="D48" i="21"/>
  <c r="E48" i="21" s="1"/>
  <c r="D51" i="21"/>
  <c r="E51" i="21" s="1"/>
  <c r="D54" i="21"/>
  <c r="E54" i="21" s="1"/>
  <c r="D58" i="21"/>
  <c r="E58" i="21" s="1"/>
  <c r="D61" i="21"/>
  <c r="E61" i="21" s="1"/>
  <c r="D62" i="21"/>
  <c r="E62" i="21" s="1"/>
  <c r="D65" i="21"/>
  <c r="E65" i="21" s="1"/>
  <c r="D68" i="21"/>
  <c r="E68" i="21" s="1"/>
  <c r="D71" i="21"/>
  <c r="E71" i="21" s="1"/>
  <c r="D74" i="21"/>
  <c r="E74" i="21" s="1"/>
  <c r="D75" i="21"/>
  <c r="E75" i="21" s="1"/>
  <c r="D78" i="21"/>
  <c r="E78" i="21" s="1"/>
  <c r="D81" i="21"/>
  <c r="E81" i="21" s="1"/>
  <c r="D84" i="21"/>
  <c r="E84" i="21" s="1"/>
  <c r="D87" i="21"/>
  <c r="E87" i="21" s="1"/>
  <c r="D91" i="21"/>
  <c r="E91" i="21" s="1"/>
  <c r="D92" i="21"/>
  <c r="E92" i="21" s="1"/>
  <c r="D95" i="21"/>
  <c r="E95" i="21" s="1"/>
  <c r="D98" i="21"/>
  <c r="E98" i="21" s="1"/>
  <c r="D101" i="21"/>
  <c r="E101" i="21" s="1"/>
  <c r="D104" i="21"/>
  <c r="E104" i="21" s="1"/>
  <c r="D105" i="21"/>
  <c r="E105" i="21" s="1"/>
  <c r="D106" i="21"/>
  <c r="E106" i="21" s="1"/>
  <c r="D22" i="21"/>
  <c r="E22" i="21" s="1"/>
  <c r="D19" i="21"/>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19" i="20"/>
  <c r="X58" i="4" l="1"/>
  <c r="N191" i="4"/>
  <c r="N227" i="4"/>
  <c r="N479" i="4"/>
  <c r="N173" i="4"/>
  <c r="N641" i="4"/>
  <c r="N263" i="4"/>
  <c r="N515" i="4"/>
  <c r="N587" i="4"/>
  <c r="N371" i="4"/>
  <c r="N389" i="4"/>
  <c r="N407" i="4"/>
  <c r="N47" i="4"/>
  <c r="N659" i="4"/>
  <c r="N245" i="4"/>
  <c r="N425" i="4"/>
  <c r="N317" i="4"/>
  <c r="N551" i="4"/>
  <c r="N101" i="4"/>
  <c r="N299" i="4"/>
  <c r="N353" i="4"/>
  <c r="N443" i="4"/>
  <c r="N461" i="4"/>
  <c r="N497" i="4"/>
  <c r="N569" i="4"/>
  <c r="N119" i="4"/>
  <c r="N335" i="4"/>
  <c r="N65" i="4"/>
  <c r="N209" i="4"/>
  <c r="N281" i="4"/>
  <c r="N605" i="4"/>
  <c r="N533" i="4"/>
  <c r="N623" i="4"/>
  <c r="Q389" i="4"/>
  <c r="Q587" i="4"/>
  <c r="Q533" i="4"/>
  <c r="Q371" i="4"/>
  <c r="Q461" i="4"/>
  <c r="Q569" i="4"/>
  <c r="Q245" i="4"/>
  <c r="Q65" i="4"/>
  <c r="Q317" i="4"/>
  <c r="Q263" i="4"/>
  <c r="Q479" i="4"/>
  <c r="Q641" i="4"/>
  <c r="Q227" i="4"/>
  <c r="Q191" i="4"/>
  <c r="Q605" i="4"/>
  <c r="Q209" i="4"/>
  <c r="Q83" i="4"/>
  <c r="Q101" i="4"/>
  <c r="Q497" i="4"/>
  <c r="Q425" i="4"/>
  <c r="X459" i="4"/>
  <c r="X458" i="4"/>
  <c r="S419" i="4"/>
  <c r="X422" i="4"/>
  <c r="X423" i="4"/>
  <c r="X441" i="4"/>
  <c r="X440" i="4"/>
  <c r="Q353" i="4"/>
  <c r="Q299" i="4"/>
  <c r="N83" i="4"/>
  <c r="E19" i="21"/>
  <c r="X41" i="4"/>
  <c r="Q47" i="4"/>
  <c r="X22" i="4"/>
  <c r="Z40" i="4" s="1"/>
  <c r="X23" i="4"/>
  <c r="S23" i="4"/>
  <c r="X26" i="4"/>
  <c r="S24" i="4"/>
  <c r="X27" i="4"/>
  <c r="Q155" i="4"/>
  <c r="Q137" i="4"/>
  <c r="Q407" i="4"/>
  <c r="Q551" i="4"/>
  <c r="F52" i="4"/>
  <c r="Q335" i="4"/>
  <c r="Q443" i="4"/>
  <c r="Q119" i="4"/>
  <c r="Q281" i="4"/>
  <c r="Q623" i="4"/>
  <c r="Q659" i="4"/>
  <c r="Q173" i="4"/>
  <c r="S389" i="4"/>
  <c r="S569" i="4"/>
  <c r="Q515" i="4"/>
  <c r="A47" i="4"/>
  <c r="I20" i="20"/>
  <c r="I21" i="20"/>
  <c r="I22" i="20"/>
  <c r="I23" i="20"/>
  <c r="I24" i="20"/>
  <c r="I25" i="20"/>
  <c r="I26" i="20"/>
  <c r="I27" i="20"/>
  <c r="I28" i="20"/>
  <c r="I29" i="20"/>
  <c r="I30" i="20"/>
  <c r="I31" i="20"/>
  <c r="I32" i="20"/>
  <c r="I33" i="20"/>
  <c r="I34" i="20"/>
  <c r="I35" i="20"/>
  <c r="I36" i="20"/>
  <c r="I37" i="20"/>
  <c r="I38" i="20"/>
  <c r="I39" i="20"/>
  <c r="I40" i="20"/>
  <c r="I41" i="20"/>
  <c r="I42" i="20"/>
  <c r="I43" i="20"/>
  <c r="I44" i="20"/>
  <c r="I45" i="20"/>
  <c r="I46" i="20"/>
  <c r="I47" i="20"/>
  <c r="I48" i="20"/>
  <c r="I49" i="20"/>
  <c r="I50" i="20"/>
  <c r="I51" i="20"/>
  <c r="I52" i="20"/>
  <c r="I53" i="20"/>
  <c r="I54" i="20"/>
  <c r="I19" i="20"/>
  <c r="E33" i="21"/>
  <c r="E37" i="21"/>
  <c r="E38" i="21"/>
  <c r="E39" i="21"/>
  <c r="T220" i="4" l="1"/>
  <c r="T148" i="4"/>
  <c r="S148" i="4" s="1"/>
  <c r="S155" i="4" s="1"/>
  <c r="T61" i="4"/>
  <c r="S61" i="4" s="1"/>
  <c r="T42" i="4"/>
  <c r="S42" i="4" s="1"/>
  <c r="T41" i="4"/>
  <c r="S41" i="4" s="1"/>
  <c r="T58" i="4"/>
  <c r="T112" i="4"/>
  <c r="S112" i="4" s="1"/>
  <c r="T43" i="4"/>
  <c r="S43" i="4" s="1"/>
  <c r="T59" i="4"/>
  <c r="T60" i="4"/>
  <c r="T130" i="4"/>
  <c r="S130" i="4" s="1"/>
  <c r="T40" i="4"/>
  <c r="S40" i="4" s="1"/>
  <c r="T203" i="4"/>
  <c r="S203" i="4" s="1"/>
  <c r="S209" i="4" s="1"/>
  <c r="T616" i="4"/>
  <c r="S616" i="4" s="1"/>
  <c r="T580" i="4"/>
  <c r="S580" i="4" s="1"/>
  <c r="T454" i="4"/>
  <c r="S454" i="4" s="1"/>
  <c r="T581" i="4"/>
  <c r="S581" i="4" s="1"/>
  <c r="T617" i="4"/>
  <c r="S617" i="4" s="1"/>
  <c r="T364" i="4"/>
  <c r="S364" i="4" s="1"/>
  <c r="T436" i="4"/>
  <c r="S436" i="4" s="1"/>
  <c r="S443" i="4" s="1"/>
  <c r="T401" i="4"/>
  <c r="T400" i="4"/>
  <c r="S400" i="4" s="1"/>
  <c r="T365" i="4"/>
  <c r="T76" i="4"/>
  <c r="S76" i="4" s="1"/>
  <c r="S83" i="4" s="1"/>
  <c r="S654" i="4"/>
  <c r="S659" i="4" s="1"/>
  <c r="T636" i="4"/>
  <c r="S636" i="4" s="1"/>
  <c r="T528" i="4"/>
  <c r="S528" i="4" s="1"/>
  <c r="S533" i="4" s="1"/>
  <c r="T294" i="4"/>
  <c r="S294" i="4" s="1"/>
  <c r="T258" i="4"/>
  <c r="S258" i="4" s="1"/>
  <c r="T239" i="4"/>
  <c r="S239" i="4" s="1"/>
  <c r="T238" i="4"/>
  <c r="S238" i="4" s="1"/>
  <c r="T166" i="4"/>
  <c r="S166" i="4" s="1"/>
  <c r="S173" i="4" s="1"/>
  <c r="T113" i="4"/>
  <c r="S113" i="4" s="1"/>
  <c r="T257" i="4"/>
  <c r="S257" i="4" s="1"/>
  <c r="T600" i="4"/>
  <c r="S600" i="4" s="1"/>
  <c r="S605" i="4" s="1"/>
  <c r="T510" i="4"/>
  <c r="S510" i="4" s="1"/>
  <c r="S515" i="4" s="1"/>
  <c r="T474" i="4"/>
  <c r="S474" i="4" s="1"/>
  <c r="S479" i="4" s="1"/>
  <c r="T328" i="4"/>
  <c r="S328" i="4" s="1"/>
  <c r="S335" i="4" s="1"/>
  <c r="T295" i="4"/>
  <c r="S295" i="4" s="1"/>
  <c r="T259" i="4"/>
  <c r="S259" i="4" s="1"/>
  <c r="T241" i="4"/>
  <c r="S241" i="4" s="1"/>
  <c r="T240" i="4"/>
  <c r="S240" i="4" s="1"/>
  <c r="S220" i="4"/>
  <c r="T96" i="4"/>
  <c r="S96" i="4" s="1"/>
  <c r="T457" i="4"/>
  <c r="S457" i="4" s="1"/>
  <c r="T311" i="4"/>
  <c r="S311" i="4" s="1"/>
  <c r="S317" i="4" s="1"/>
  <c r="T274" i="4"/>
  <c r="S274" i="4" s="1"/>
  <c r="S281" i="4" s="1"/>
  <c r="T94" i="4"/>
  <c r="S94" i="4" s="1"/>
  <c r="S101" i="4" s="1"/>
  <c r="T634" i="4"/>
  <c r="S634" i="4" s="1"/>
  <c r="T544" i="4"/>
  <c r="S544" i="4" s="1"/>
  <c r="T418" i="4"/>
  <c r="S418" i="4" s="1"/>
  <c r="S425" i="4" s="1"/>
  <c r="S348" i="4"/>
  <c r="S353" i="4" s="1"/>
  <c r="T221" i="4"/>
  <c r="S221" i="4" s="1"/>
  <c r="T184" i="4"/>
  <c r="S184" i="4" s="1"/>
  <c r="S191" i="4" s="1"/>
  <c r="S60" i="4"/>
  <c r="T490" i="4"/>
  <c r="S490" i="4" s="1"/>
  <c r="S497" i="4" s="1"/>
  <c r="T293" i="4"/>
  <c r="S293" i="4" s="1"/>
  <c r="T256" i="4"/>
  <c r="S256" i="4" s="1"/>
  <c r="T545" i="4"/>
  <c r="S545" i="4" s="1"/>
  <c r="T131" i="4"/>
  <c r="S131" i="4" s="1"/>
  <c r="X60" i="4"/>
  <c r="Z60" i="4" s="1"/>
  <c r="X59" i="4"/>
  <c r="Z59" i="4" s="1"/>
  <c r="A65" i="4"/>
  <c r="Z441" i="4"/>
  <c r="Y441" i="4"/>
  <c r="AA441" i="4" s="1"/>
  <c r="Y458" i="4"/>
  <c r="AA458" i="4" s="1"/>
  <c r="Z458" i="4"/>
  <c r="Z423" i="4"/>
  <c r="Y423" i="4"/>
  <c r="AA423" i="4" s="1"/>
  <c r="Z459" i="4"/>
  <c r="Y459" i="4"/>
  <c r="AA459" i="4" s="1"/>
  <c r="Z440" i="4"/>
  <c r="Y440" i="4"/>
  <c r="AA440" i="4" s="1"/>
  <c r="Y422" i="4"/>
  <c r="AA422" i="4" s="1"/>
  <c r="Z422" i="4"/>
  <c r="Y58" i="4"/>
  <c r="Z58" i="4"/>
  <c r="Y40" i="4"/>
  <c r="Z41" i="4"/>
  <c r="Y41" i="4"/>
  <c r="T22" i="4"/>
  <c r="Y27" i="4"/>
  <c r="AA27" i="4" s="1"/>
  <c r="Z27" i="4"/>
  <c r="Z23" i="4"/>
  <c r="Y23" i="4"/>
  <c r="Y22" i="4"/>
  <c r="Y26" i="4"/>
  <c r="AA26" i="4" s="1"/>
  <c r="Z26" i="4"/>
  <c r="A67" i="4"/>
  <c r="F70" i="4"/>
  <c r="M24" i="4"/>
  <c r="M25" i="4"/>
  <c r="O28" i="4"/>
  <c r="D22" i="1"/>
  <c r="M22" i="4"/>
  <c r="S641" i="4" l="1"/>
  <c r="S137" i="4"/>
  <c r="S119" i="4"/>
  <c r="S59" i="4"/>
  <c r="X63" i="4"/>
  <c r="S58" i="4"/>
  <c r="X62" i="4"/>
  <c r="S47" i="4"/>
  <c r="S551" i="4"/>
  <c r="S299" i="4"/>
  <c r="S461" i="4"/>
  <c r="S245" i="4"/>
  <c r="S365" i="4"/>
  <c r="S371" i="4" s="1"/>
  <c r="X369" i="4"/>
  <c r="X368" i="4"/>
  <c r="S587" i="4"/>
  <c r="S227" i="4"/>
  <c r="S263" i="4"/>
  <c r="S623" i="4"/>
  <c r="S401" i="4"/>
  <c r="S407" i="4" s="1"/>
  <c r="X405" i="4"/>
  <c r="X404" i="4"/>
  <c r="Y59" i="4"/>
  <c r="Y60" i="4"/>
  <c r="AA60" i="4" s="1"/>
  <c r="Z424" i="4"/>
  <c r="Z46" i="4"/>
  <c r="AA40" i="4" s="1"/>
  <c r="AA41" i="4"/>
  <c r="S22" i="4"/>
  <c r="S29" i="4" s="1"/>
  <c r="X25" i="4"/>
  <c r="Z25" i="4" s="1"/>
  <c r="F88" i="4"/>
  <c r="A83" i="4"/>
  <c r="A85" i="4"/>
  <c r="A31" i="4"/>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S65" i="4" l="1"/>
  <c r="Z63" i="4"/>
  <c r="Y63" i="4"/>
  <c r="AA63" i="4" s="1"/>
  <c r="Z62" i="4"/>
  <c r="Y62" i="4"/>
  <c r="AA62" i="4" s="1"/>
  <c r="Z368" i="4"/>
  <c r="Y368" i="4"/>
  <c r="AA368" i="4" s="1"/>
  <c r="Y369" i="4"/>
  <c r="AA369" i="4" s="1"/>
  <c r="Z369" i="4"/>
  <c r="Z405" i="4"/>
  <c r="Y405" i="4"/>
  <c r="AA405" i="4" s="1"/>
  <c r="Y404" i="4"/>
  <c r="AA404" i="4" s="1"/>
  <c r="Z404" i="4"/>
  <c r="AA47" i="4"/>
  <c r="X95" i="4"/>
  <c r="X94" i="4"/>
  <c r="Y25" i="4"/>
  <c r="AA25" i="4" s="1"/>
  <c r="F106" i="4"/>
  <c r="A103" i="4"/>
  <c r="A101" i="4"/>
  <c r="B7" i="16"/>
  <c r="B4" i="16"/>
  <c r="B8" i="16"/>
  <c r="B6" i="16"/>
  <c r="A7" i="15"/>
  <c r="A6" i="15"/>
  <c r="A4" i="15"/>
  <c r="A3" i="15"/>
  <c r="A1" i="15"/>
  <c r="B5" i="5"/>
  <c r="B4" i="5"/>
  <c r="B7" i="5"/>
  <c r="B3" i="5"/>
  <c r="B1" i="5"/>
  <c r="B11" i="4"/>
  <c r="B7" i="4"/>
  <c r="B4" i="4"/>
  <c r="B1" i="4"/>
  <c r="A8" i="2"/>
  <c r="A6" i="2"/>
  <c r="A4" i="2"/>
  <c r="A3" i="2"/>
  <c r="A2" i="2"/>
  <c r="B15" i="15"/>
  <c r="B16" i="15"/>
  <c r="B17" i="15"/>
  <c r="B18" i="15"/>
  <c r="B19" i="15"/>
  <c r="B20" i="15"/>
  <c r="B21" i="15"/>
  <c r="B22" i="15"/>
  <c r="B23" i="15"/>
  <c r="B24" i="15"/>
  <c r="B25" i="15"/>
  <c r="B26" i="15"/>
  <c r="B27" i="15"/>
  <c r="B28" i="15"/>
  <c r="B29" i="15"/>
  <c r="B30" i="15"/>
  <c r="B31" i="15"/>
  <c r="B32" i="15"/>
  <c r="B33" i="15"/>
  <c r="B34" i="15"/>
  <c r="B35" i="15"/>
  <c r="B36" i="15"/>
  <c r="B37" i="15"/>
  <c r="B38" i="15"/>
  <c r="B39" i="15"/>
  <c r="B40" i="15"/>
  <c r="B41" i="15"/>
  <c r="B42" i="15"/>
  <c r="B43" i="15"/>
  <c r="B44" i="15"/>
  <c r="B45" i="15"/>
  <c r="B46" i="15"/>
  <c r="B47" i="15"/>
  <c r="B48" i="15"/>
  <c r="B49" i="15"/>
  <c r="B14" i="15"/>
  <c r="W50" i="2"/>
  <c r="V50" i="2"/>
  <c r="U50" i="2"/>
  <c r="S50" i="2"/>
  <c r="W49" i="2"/>
  <c r="V49" i="2"/>
  <c r="U49" i="2"/>
  <c r="T49" i="2"/>
  <c r="S49" i="2"/>
  <c r="W48" i="2"/>
  <c r="V48" i="2"/>
  <c r="U48" i="2"/>
  <c r="T48" i="2"/>
  <c r="W47" i="2"/>
  <c r="V47" i="2"/>
  <c r="U47" i="2"/>
  <c r="T47" i="2"/>
  <c r="S47" i="2"/>
  <c r="W46" i="2"/>
  <c r="V46" i="2"/>
  <c r="U46" i="2"/>
  <c r="T46" i="2"/>
  <c r="S46" i="2"/>
  <c r="W45" i="2"/>
  <c r="V45" i="2"/>
  <c r="U45" i="2"/>
  <c r="T45" i="2"/>
  <c r="S45" i="2"/>
  <c r="W44" i="2"/>
  <c r="V44" i="2"/>
  <c r="T44" i="2"/>
  <c r="S44" i="2"/>
  <c r="W43" i="2"/>
  <c r="V43" i="2"/>
  <c r="U43" i="2"/>
  <c r="T43" i="2"/>
  <c r="S43" i="2"/>
  <c r="W42" i="2"/>
  <c r="V42" i="2"/>
  <c r="U42" i="2"/>
  <c r="T42" i="2"/>
  <c r="S42" i="2"/>
  <c r="W41" i="2"/>
  <c r="V41" i="2"/>
  <c r="U41" i="2"/>
  <c r="T41" i="2"/>
  <c r="S41" i="2"/>
  <c r="W40" i="2"/>
  <c r="V40" i="2"/>
  <c r="U40" i="2"/>
  <c r="S40" i="2"/>
  <c r="W39" i="2"/>
  <c r="V39" i="2"/>
  <c r="U39" i="2"/>
  <c r="T39" i="2"/>
  <c r="S39" i="2"/>
  <c r="W38" i="2"/>
  <c r="V38" i="2"/>
  <c r="U38" i="2"/>
  <c r="T38" i="2"/>
  <c r="R38" i="2"/>
  <c r="W37" i="2"/>
  <c r="V37" i="2"/>
  <c r="U37" i="2"/>
  <c r="T37" i="2"/>
  <c r="S37" i="2"/>
  <c r="W36" i="2"/>
  <c r="V36" i="2"/>
  <c r="U36" i="2"/>
  <c r="T36" i="2"/>
  <c r="S36" i="2"/>
  <c r="W35" i="2"/>
  <c r="V35" i="2"/>
  <c r="U35" i="2"/>
  <c r="T35" i="2"/>
  <c r="S35" i="2"/>
  <c r="W34" i="2"/>
  <c r="V34" i="2"/>
  <c r="T34" i="2"/>
  <c r="S34" i="2"/>
  <c r="W33" i="2"/>
  <c r="V33" i="2"/>
  <c r="U33" i="2"/>
  <c r="T33" i="2"/>
  <c r="S33" i="2"/>
  <c r="W32" i="2"/>
  <c r="V32" i="2"/>
  <c r="U32" i="2"/>
  <c r="T32" i="2"/>
  <c r="S32" i="2"/>
  <c r="W31" i="2"/>
  <c r="V31" i="2"/>
  <c r="U31" i="2"/>
  <c r="T31" i="2"/>
  <c r="S31" i="2"/>
  <c r="W30" i="2"/>
  <c r="V30" i="2"/>
  <c r="U30" i="2"/>
  <c r="S30" i="2"/>
  <c r="W29" i="2"/>
  <c r="V29" i="2"/>
  <c r="U29" i="2"/>
  <c r="T29" i="2"/>
  <c r="S29" i="2"/>
  <c r="W28" i="2"/>
  <c r="V28" i="2"/>
  <c r="U28" i="2"/>
  <c r="T28" i="2"/>
  <c r="W27" i="2"/>
  <c r="V27" i="2"/>
  <c r="U27" i="2"/>
  <c r="T27" i="2"/>
  <c r="S27" i="2"/>
  <c r="W26" i="2"/>
  <c r="V26" i="2"/>
  <c r="U26" i="2"/>
  <c r="T26" i="2"/>
  <c r="S26" i="2"/>
  <c r="W25" i="2"/>
  <c r="V25" i="2"/>
  <c r="U25" i="2"/>
  <c r="T25" i="2"/>
  <c r="S25" i="2"/>
  <c r="C55" i="11"/>
  <c r="C54" i="11"/>
  <c r="C53" i="1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R28" i="4"/>
  <c r="H59" i="17"/>
  <c r="D59" i="17"/>
  <c r="S58" i="17"/>
  <c r="H58" i="17"/>
  <c r="D58" i="17"/>
  <c r="H57" i="17"/>
  <c r="D57" i="17"/>
  <c r="U56" i="17"/>
  <c r="T56" i="17"/>
  <c r="S56" i="17"/>
  <c r="H56" i="17"/>
  <c r="D56" i="17"/>
  <c r="H55" i="17"/>
  <c r="D55" i="17"/>
  <c r="U54" i="17"/>
  <c r="H54" i="17"/>
  <c r="D54" i="17"/>
  <c r="H53" i="17"/>
  <c r="D53" i="17"/>
  <c r="U52" i="17"/>
  <c r="T52" i="17"/>
  <c r="H52" i="17"/>
  <c r="D52" i="17"/>
  <c r="H51" i="17"/>
  <c r="D51" i="17"/>
  <c r="H50" i="17"/>
  <c r="D50" i="17"/>
  <c r="H49" i="17"/>
  <c r="D49" i="17"/>
  <c r="H48" i="17"/>
  <c r="D48" i="17"/>
  <c r="T47" i="17"/>
  <c r="H47" i="17"/>
  <c r="D47" i="17"/>
  <c r="H46" i="17"/>
  <c r="D46" i="17"/>
  <c r="H45" i="17"/>
  <c r="D45" i="17"/>
  <c r="H44" i="17"/>
  <c r="D44" i="17"/>
  <c r="U43" i="17"/>
  <c r="H43" i="17"/>
  <c r="D43" i="17"/>
  <c r="H42" i="17"/>
  <c r="D42" i="17"/>
  <c r="U41" i="17"/>
  <c r="U42" i="17" s="1"/>
  <c r="H41" i="17"/>
  <c r="D41" i="17"/>
  <c r="H40" i="17"/>
  <c r="D40" i="17"/>
  <c r="F60" i="16"/>
  <c r="F59" i="16"/>
  <c r="F58" i="16"/>
  <c r="F57" i="16"/>
  <c r="F56" i="16"/>
  <c r="F55" i="16"/>
  <c r="F54" i="16"/>
  <c r="F53" i="16"/>
  <c r="F52" i="16"/>
  <c r="F51" i="16"/>
  <c r="F50" i="16"/>
  <c r="F49" i="16"/>
  <c r="F48" i="16"/>
  <c r="F47" i="16"/>
  <c r="F46" i="16"/>
  <c r="F45" i="16"/>
  <c r="F44" i="16"/>
  <c r="F43" i="16"/>
  <c r="F42" i="16"/>
  <c r="F41" i="16"/>
  <c r="Z64" i="4" l="1"/>
  <c r="Q29" i="4"/>
  <c r="Y94" i="4"/>
  <c r="Z94" i="4"/>
  <c r="X114" i="4"/>
  <c r="X113" i="4"/>
  <c r="X112" i="4"/>
  <c r="Z95" i="4"/>
  <c r="Y95" i="4"/>
  <c r="T54" i="17"/>
  <c r="A121" i="4"/>
  <c r="A119" i="4"/>
  <c r="F124" i="4"/>
  <c r="T59" i="17"/>
  <c r="U55" i="17"/>
  <c r="S59" i="17"/>
  <c r="U44" i="17"/>
  <c r="R29" i="4"/>
  <c r="AA59" i="4" l="1"/>
  <c r="AA58" i="4"/>
  <c r="Z114" i="4"/>
  <c r="Y114" i="4"/>
  <c r="Z113" i="4"/>
  <c r="Y113" i="4"/>
  <c r="Z100" i="4"/>
  <c r="AA95" i="4" s="1"/>
  <c r="Z112" i="4"/>
  <c r="Y112" i="4"/>
  <c r="F142" i="4"/>
  <c r="A137" i="4"/>
  <c r="A139" i="4"/>
  <c r="B25" i="4"/>
  <c r="AA2" i="2"/>
  <c r="AA1" i="2"/>
  <c r="D2" i="19"/>
  <c r="G3" i="19" s="1"/>
  <c r="R50" i="2" s="1"/>
  <c r="B8" i="19"/>
  <c r="B7" i="19"/>
  <c r="B6" i="19"/>
  <c r="B5" i="19"/>
  <c r="B4" i="19"/>
  <c r="B3" i="19"/>
  <c r="AA65" i="4" l="1"/>
  <c r="AA94" i="4"/>
  <c r="Z118" i="4"/>
  <c r="AA114" i="4" s="1"/>
  <c r="R48" i="2"/>
  <c r="R49" i="2"/>
  <c r="R41" i="2"/>
  <c r="R44" i="2"/>
  <c r="R39" i="2"/>
  <c r="R40" i="2"/>
  <c r="R28" i="2"/>
  <c r="R30" i="2"/>
  <c r="R31" i="2"/>
  <c r="R34" i="2"/>
  <c r="R29" i="2"/>
  <c r="Q15" i="2"/>
  <c r="Q50" i="2"/>
  <c r="Q44" i="2"/>
  <c r="Q35" i="2"/>
  <c r="Q28" i="2"/>
  <c r="Q43" i="2"/>
  <c r="Q45" i="2"/>
  <c r="Q38" i="2"/>
  <c r="Q48" i="2"/>
  <c r="Q33" i="2"/>
  <c r="Q30" i="2"/>
  <c r="Q40" i="2"/>
  <c r="Q34" i="2"/>
  <c r="Q25" i="2"/>
  <c r="F160" i="4"/>
  <c r="A157" i="4"/>
  <c r="A155" i="4"/>
  <c r="S48" i="2"/>
  <c r="Q46" i="2"/>
  <c r="R43" i="2"/>
  <c r="R35" i="2"/>
  <c r="S38" i="2"/>
  <c r="T50" i="2"/>
  <c r="R45" i="2"/>
  <c r="U44" i="2"/>
  <c r="R37" i="2"/>
  <c r="R42" i="2"/>
  <c r="Q37" i="2"/>
  <c r="R47" i="2"/>
  <c r="Q42" i="2"/>
  <c r="Q36" i="2"/>
  <c r="Q47" i="2"/>
  <c r="Q39" i="2"/>
  <c r="R36" i="2"/>
  <c r="Q49" i="2"/>
  <c r="R46" i="2"/>
  <c r="Q41" i="2"/>
  <c r="T40" i="2"/>
  <c r="S28" i="2"/>
  <c r="Q26" i="2"/>
  <c r="Q31" i="2"/>
  <c r="T30" i="2"/>
  <c r="R33" i="2"/>
  <c r="R25" i="2"/>
  <c r="U34" i="2"/>
  <c r="R27" i="2"/>
  <c r="R32" i="2"/>
  <c r="Q27" i="2"/>
  <c r="Q29" i="2"/>
  <c r="R26" i="2"/>
  <c r="Q32" i="2"/>
  <c r="AA101" i="4" l="1"/>
  <c r="AA112" i="4"/>
  <c r="AA113" i="4"/>
  <c r="X31" i="2"/>
  <c r="Y31" i="2" s="1"/>
  <c r="N318" i="4" s="1"/>
  <c r="M319" i="4" s="1"/>
  <c r="X32" i="2"/>
  <c r="Y32" i="2" s="1"/>
  <c r="N336" i="4" s="1"/>
  <c r="M337" i="4" s="1"/>
  <c r="X39" i="2"/>
  <c r="Y39" i="2" s="1"/>
  <c r="N462" i="4" s="1"/>
  <c r="M463" i="4" s="1"/>
  <c r="X49" i="2"/>
  <c r="Y49" i="2" s="1"/>
  <c r="N642" i="4" s="1"/>
  <c r="M643" i="4" s="1"/>
  <c r="X29" i="2"/>
  <c r="Y29" i="2" s="1"/>
  <c r="N282" i="4" s="1"/>
  <c r="M283" i="4" s="1"/>
  <c r="X41" i="2"/>
  <c r="Y41" i="2" s="1"/>
  <c r="N498" i="4" s="1"/>
  <c r="M499" i="4" s="1"/>
  <c r="X30" i="2"/>
  <c r="Y30" i="2" s="1"/>
  <c r="N300" i="4" s="1"/>
  <c r="M301" i="4" s="1"/>
  <c r="X28" i="2"/>
  <c r="Y28" i="2" s="1"/>
  <c r="N264" i="4" s="1"/>
  <c r="M265" i="4" s="1"/>
  <c r="X44" i="2"/>
  <c r="Y44" i="2" s="1"/>
  <c r="N552" i="4" s="1"/>
  <c r="M553" i="4" s="1"/>
  <c r="X34" i="2"/>
  <c r="Y34" i="2" s="1"/>
  <c r="N372" i="4" s="1"/>
  <c r="X45" i="2"/>
  <c r="Y45" i="2" s="1"/>
  <c r="N570" i="4" s="1"/>
  <c r="M571" i="4" s="1"/>
  <c r="X33" i="2"/>
  <c r="Y33" i="2" s="1"/>
  <c r="N354" i="4" s="1"/>
  <c r="M355" i="4" s="1"/>
  <c r="X50" i="2"/>
  <c r="Y50" i="2" s="1"/>
  <c r="N660" i="4" s="1"/>
  <c r="M661" i="4" s="1"/>
  <c r="X43" i="2"/>
  <c r="Y43" i="2" s="1"/>
  <c r="N534" i="4" s="1"/>
  <c r="M535" i="4" s="1"/>
  <c r="X25" i="2"/>
  <c r="Y25" i="2" s="1"/>
  <c r="N210" i="4" s="1"/>
  <c r="M211" i="4" s="1"/>
  <c r="X35" i="2"/>
  <c r="Y35" i="2" s="1"/>
  <c r="X40" i="2"/>
  <c r="Y40" i="2" s="1"/>
  <c r="N480" i="4" s="1"/>
  <c r="M481" i="4" s="1"/>
  <c r="X38" i="2"/>
  <c r="Y38" i="2" s="1"/>
  <c r="N444" i="4" s="1"/>
  <c r="M445" i="4" s="1"/>
  <c r="X48" i="2"/>
  <c r="Y48" i="2" s="1"/>
  <c r="N624" i="4" s="1"/>
  <c r="M625" i="4" s="1"/>
  <c r="A175" i="4"/>
  <c r="A173" i="4"/>
  <c r="F178" i="4"/>
  <c r="X37" i="2"/>
  <c r="Y37" i="2" s="1"/>
  <c r="N426" i="4" s="1"/>
  <c r="M427" i="4" s="1"/>
  <c r="X47" i="2"/>
  <c r="Y47" i="2" s="1"/>
  <c r="N606" i="4" s="1"/>
  <c r="M607" i="4" s="1"/>
  <c r="X36" i="2"/>
  <c r="Y36" i="2" s="1"/>
  <c r="N408" i="4" s="1"/>
  <c r="M409" i="4" s="1"/>
  <c r="X46" i="2"/>
  <c r="Y46" i="2" s="1"/>
  <c r="N588" i="4" s="1"/>
  <c r="M589" i="4" s="1"/>
  <c r="X42" i="2"/>
  <c r="Y42" i="2" s="1"/>
  <c r="N516" i="4" s="1"/>
  <c r="M517" i="4" s="1"/>
  <c r="X27" i="2"/>
  <c r="Y27" i="2" s="1"/>
  <c r="N246" i="4" s="1"/>
  <c r="M247" i="4" s="1"/>
  <c r="X26" i="2"/>
  <c r="Y26" i="2" s="1"/>
  <c r="N228" i="4" s="1"/>
  <c r="M229" i="4" s="1"/>
  <c r="N390" i="4" l="1"/>
  <c r="M391" i="4" s="1"/>
  <c r="M373" i="4"/>
  <c r="AA119" i="4"/>
  <c r="X185" i="4"/>
  <c r="X184" i="4"/>
  <c r="F196" i="4"/>
  <c r="A191" i="4"/>
  <c r="A193" i="4"/>
  <c r="S16" i="2"/>
  <c r="T16" i="2"/>
  <c r="U16" i="2"/>
  <c r="V16" i="2"/>
  <c r="W16" i="2"/>
  <c r="S17" i="2"/>
  <c r="T17" i="2"/>
  <c r="U17" i="2"/>
  <c r="V17" i="2"/>
  <c r="W17" i="2"/>
  <c r="T18" i="2"/>
  <c r="U18" i="2"/>
  <c r="V18" i="2"/>
  <c r="W18" i="2"/>
  <c r="S19" i="2"/>
  <c r="T19" i="2"/>
  <c r="U19" i="2"/>
  <c r="V19" i="2"/>
  <c r="W19" i="2"/>
  <c r="S20" i="2"/>
  <c r="U20" i="2"/>
  <c r="V20" i="2"/>
  <c r="W20" i="2"/>
  <c r="S21" i="2"/>
  <c r="T21" i="2"/>
  <c r="U21" i="2"/>
  <c r="V21" i="2"/>
  <c r="W21" i="2"/>
  <c r="S22" i="2"/>
  <c r="T22" i="2"/>
  <c r="U22" i="2"/>
  <c r="V22" i="2"/>
  <c r="W22" i="2"/>
  <c r="S23" i="2"/>
  <c r="T23" i="2"/>
  <c r="U23" i="2"/>
  <c r="V23" i="2"/>
  <c r="W23" i="2"/>
  <c r="S24" i="2"/>
  <c r="T24" i="2"/>
  <c r="V24" i="2"/>
  <c r="W24" i="2"/>
  <c r="S15" i="2"/>
  <c r="T15" i="2"/>
  <c r="U15" i="2"/>
  <c r="V15" i="2"/>
  <c r="W15" i="2"/>
  <c r="R18" i="2"/>
  <c r="R19" i="2"/>
  <c r="R20" i="2"/>
  <c r="R21" i="2"/>
  <c r="R24" i="2"/>
  <c r="Q18" i="2"/>
  <c r="Q20" i="2"/>
  <c r="Q23" i="2"/>
  <c r="Q24" i="2"/>
  <c r="H1" i="13"/>
  <c r="I3" i="13" s="1"/>
  <c r="Q16" i="2" s="1"/>
  <c r="F3" i="13"/>
  <c r="Y184" i="4" l="1"/>
  <c r="Z184" i="4"/>
  <c r="Y185" i="4"/>
  <c r="Z185" i="4"/>
  <c r="F214" i="4"/>
  <c r="A211" i="4"/>
  <c r="A209" i="4"/>
  <c r="N25" i="4"/>
  <c r="N23" i="4"/>
  <c r="N22" i="4"/>
  <c r="N24" i="4"/>
  <c r="T20" i="2"/>
  <c r="U24" i="2"/>
  <c r="S18" i="2"/>
  <c r="R23" i="2"/>
  <c r="R22" i="2"/>
  <c r="R17" i="2"/>
  <c r="R16" i="2"/>
  <c r="X16" i="2" s="1"/>
  <c r="R15" i="2"/>
  <c r="X15" i="2" s="1"/>
  <c r="Q22" i="2"/>
  <c r="Q21" i="2"/>
  <c r="Q19" i="2"/>
  <c r="Q17" i="2"/>
  <c r="Z22" i="4" l="1"/>
  <c r="N29" i="4"/>
  <c r="Z190" i="4"/>
  <c r="AA184" i="4" s="1"/>
  <c r="F232" i="4"/>
  <c r="A227" i="4"/>
  <c r="A229" i="4"/>
  <c r="F21" i="16"/>
  <c r="F22" i="16"/>
  <c r="F23" i="16"/>
  <c r="F24" i="16"/>
  <c r="F25" i="16"/>
  <c r="F26" i="16"/>
  <c r="F27" i="16"/>
  <c r="F28" i="16"/>
  <c r="F29" i="16"/>
  <c r="F30" i="16"/>
  <c r="F31" i="16"/>
  <c r="F32" i="16"/>
  <c r="F33" i="16"/>
  <c r="F34" i="16"/>
  <c r="F35" i="16"/>
  <c r="F36" i="16"/>
  <c r="F37" i="16"/>
  <c r="F38" i="16"/>
  <c r="F39" i="16"/>
  <c r="F40" i="16"/>
  <c r="E15" i="16"/>
  <c r="C60" i="16" s="1"/>
  <c r="G14" i="17"/>
  <c r="E84" i="17"/>
  <c r="Z28" i="4" l="1"/>
  <c r="X238" i="4"/>
  <c r="X239" i="4"/>
  <c r="AA185" i="4"/>
  <c r="F250" i="4"/>
  <c r="A247" i="4"/>
  <c r="A245" i="4"/>
  <c r="C38" i="16"/>
  <c r="C46" i="16"/>
  <c r="D46" i="16" s="1"/>
  <c r="C54" i="16"/>
  <c r="C39" i="16"/>
  <c r="C47" i="16"/>
  <c r="D47" i="16" s="1"/>
  <c r="C55" i="16"/>
  <c r="C32" i="16"/>
  <c r="C40" i="16"/>
  <c r="C48" i="16"/>
  <c r="D48" i="16" s="1"/>
  <c r="C56" i="16"/>
  <c r="C53" i="16"/>
  <c r="C33" i="16"/>
  <c r="C41" i="16"/>
  <c r="C49" i="16"/>
  <c r="D49" i="16" s="1"/>
  <c r="C57" i="16"/>
  <c r="C34" i="16"/>
  <c r="C42" i="16"/>
  <c r="C50" i="16"/>
  <c r="D50" i="16" s="1"/>
  <c r="C58" i="16"/>
  <c r="C45" i="16"/>
  <c r="C35" i="16"/>
  <c r="C43" i="16"/>
  <c r="C51" i="16"/>
  <c r="C59" i="16"/>
  <c r="C37" i="16"/>
  <c r="C36" i="16"/>
  <c r="C44" i="16"/>
  <c r="C52" i="16"/>
  <c r="E16" i="16"/>
  <c r="AA191" i="4" l="1"/>
  <c r="AA23" i="4"/>
  <c r="AA22" i="4"/>
  <c r="Y239" i="4"/>
  <c r="Z239" i="4"/>
  <c r="X256" i="4"/>
  <c r="X257" i="4"/>
  <c r="Y238" i="4"/>
  <c r="Z238" i="4"/>
  <c r="F268" i="4"/>
  <c r="A265" i="4"/>
  <c r="A263" i="4"/>
  <c r="S65" i="17"/>
  <c r="S62" i="17"/>
  <c r="H39" i="17"/>
  <c r="D39" i="17"/>
  <c r="S38" i="17"/>
  <c r="H38" i="17"/>
  <c r="D38" i="17"/>
  <c r="H37" i="17"/>
  <c r="D37" i="17"/>
  <c r="U36" i="17"/>
  <c r="T36" i="17"/>
  <c r="S36" i="17"/>
  <c r="H36" i="17"/>
  <c r="D36" i="17"/>
  <c r="H35" i="17"/>
  <c r="D35" i="17"/>
  <c r="U34" i="17"/>
  <c r="H34" i="17"/>
  <c r="D34" i="17"/>
  <c r="H33" i="17"/>
  <c r="D33" i="17"/>
  <c r="U32" i="17"/>
  <c r="T32" i="17"/>
  <c r="H32" i="17"/>
  <c r="D32" i="17"/>
  <c r="H31" i="17"/>
  <c r="D31" i="17"/>
  <c r="H30" i="17"/>
  <c r="D30" i="17"/>
  <c r="H29" i="17"/>
  <c r="D29" i="17"/>
  <c r="H28" i="17"/>
  <c r="D28" i="17"/>
  <c r="T27" i="17"/>
  <c r="H27" i="17"/>
  <c r="D27" i="17"/>
  <c r="H26" i="17"/>
  <c r="D26" i="17"/>
  <c r="H25" i="17"/>
  <c r="D25" i="17"/>
  <c r="H24" i="17"/>
  <c r="D24" i="17"/>
  <c r="U23" i="17"/>
  <c r="H23" i="17"/>
  <c r="D23" i="17"/>
  <c r="H22" i="17"/>
  <c r="D22" i="17"/>
  <c r="U21" i="17"/>
  <c r="U22" i="17" s="1"/>
  <c r="H21" i="17"/>
  <c r="D21" i="17"/>
  <c r="H20" i="17"/>
  <c r="D20" i="17"/>
  <c r="N18" i="17"/>
  <c r="A7" i="17"/>
  <c r="A6" i="17"/>
  <c r="A4" i="17"/>
  <c r="A2" i="17"/>
  <c r="A1" i="17"/>
  <c r="AA29" i="4" l="1"/>
  <c r="Z244" i="4"/>
  <c r="AA239" i="4" s="1"/>
  <c r="Z257" i="4"/>
  <c r="Y257" i="4"/>
  <c r="X274" i="4"/>
  <c r="X275" i="4"/>
  <c r="Y256" i="4"/>
  <c r="Z256" i="4"/>
  <c r="A281" i="4"/>
  <c r="A283" i="4"/>
  <c r="F286" i="4"/>
  <c r="T39" i="17"/>
  <c r="U35" i="17"/>
  <c r="S39" i="17"/>
  <c r="T34" i="17"/>
  <c r="U24" i="17"/>
  <c r="AA238" i="4" l="1"/>
  <c r="AA245" i="4" s="1"/>
  <c r="Z275" i="4"/>
  <c r="Y275" i="4"/>
  <c r="Y274" i="4"/>
  <c r="Z274" i="4"/>
  <c r="X293" i="4"/>
  <c r="X294" i="4"/>
  <c r="Z262" i="4"/>
  <c r="AA256" i="4" s="1"/>
  <c r="F304" i="4"/>
  <c r="A299" i="4"/>
  <c r="A301" i="4"/>
  <c r="AA257" i="4" l="1"/>
  <c r="X310" i="4"/>
  <c r="X311" i="4"/>
  <c r="Z280" i="4"/>
  <c r="AA274" i="4" s="1"/>
  <c r="Z294" i="4"/>
  <c r="Y294" i="4"/>
  <c r="Z293" i="4"/>
  <c r="Y293" i="4"/>
  <c r="Z292" i="4"/>
  <c r="Y292" i="4"/>
  <c r="A317" i="4"/>
  <c r="F322" i="4"/>
  <c r="A319" i="4"/>
  <c r="K19" i="16"/>
  <c r="B2" i="16"/>
  <c r="B1" i="16"/>
  <c r="A99" i="15"/>
  <c r="A97" i="15"/>
  <c r="A87" i="15"/>
  <c r="C18" i="11"/>
  <c r="C19" i="11"/>
  <c r="C20" i="11"/>
  <c r="C21" i="11"/>
  <c r="C22" i="11"/>
  <c r="C23" i="11"/>
  <c r="C24" i="11"/>
  <c r="C25" i="11"/>
  <c r="C26" i="11"/>
  <c r="AA263" i="4" l="1"/>
  <c r="Z298" i="4"/>
  <c r="AA292" i="4" s="1"/>
  <c r="AA275" i="4"/>
  <c r="Z311" i="4"/>
  <c r="Y311" i="4"/>
  <c r="Y310" i="4"/>
  <c r="Z310" i="4"/>
  <c r="A337" i="4"/>
  <c r="A335" i="4"/>
  <c r="F340" i="4"/>
  <c r="E32" i="13"/>
  <c r="E33" i="13"/>
  <c r="E34" i="13"/>
  <c r="E35" i="13"/>
  <c r="E36" i="13"/>
  <c r="E37" i="13"/>
  <c r="E38" i="13"/>
  <c r="E39" i="13"/>
  <c r="E40" i="13"/>
  <c r="E41" i="13"/>
  <c r="E42" i="13"/>
  <c r="E27" i="13"/>
  <c r="E31" i="13"/>
  <c r="C17" i="11"/>
  <c r="C16" i="11"/>
  <c r="A15" i="2"/>
  <c r="C16" i="5"/>
  <c r="C15" i="5"/>
  <c r="E30" i="13"/>
  <c r="B7" i="11"/>
  <c r="B2" i="11"/>
  <c r="B3" i="11"/>
  <c r="B4" i="11"/>
  <c r="B5" i="11"/>
  <c r="B1" i="11"/>
  <c r="A5" i="2"/>
  <c r="A1" i="2"/>
  <c r="C22" i="1"/>
  <c r="E3" i="13"/>
  <c r="E4" i="13"/>
  <c r="E5" i="13"/>
  <c r="E6" i="13"/>
  <c r="E7" i="13"/>
  <c r="E8" i="13"/>
  <c r="E9" i="13"/>
  <c r="E10" i="13"/>
  <c r="E11" i="13"/>
  <c r="E12" i="13"/>
  <c r="E13" i="13"/>
  <c r="E14" i="13"/>
  <c r="E15" i="13"/>
  <c r="E16" i="13"/>
  <c r="E17" i="13"/>
  <c r="E18" i="13"/>
  <c r="E19" i="13"/>
  <c r="E20" i="13"/>
  <c r="E21" i="13"/>
  <c r="E22" i="13"/>
  <c r="E23" i="13"/>
  <c r="E24" i="13"/>
  <c r="E25" i="13"/>
  <c r="E26" i="13"/>
  <c r="E28" i="13"/>
  <c r="E29" i="13"/>
  <c r="B15" i="5" l="1"/>
  <c r="AA281" i="4"/>
  <c r="AA293" i="4"/>
  <c r="AA294" i="4"/>
  <c r="Z316" i="4"/>
  <c r="AA311" i="4" s="1"/>
  <c r="F358" i="4"/>
  <c r="A353" i="4"/>
  <c r="A355" i="4"/>
  <c r="C21" i="16"/>
  <c r="B5" i="4"/>
  <c r="G16" i="4"/>
  <c r="B71" i="17"/>
  <c r="B74" i="17"/>
  <c r="B73" i="17"/>
  <c r="B72" i="17"/>
  <c r="B16" i="11"/>
  <c r="B17" i="11" s="1"/>
  <c r="A16" i="2"/>
  <c r="J15" i="5"/>
  <c r="B16" i="5"/>
  <c r="E16" i="5" l="1"/>
  <c r="D16" i="5"/>
  <c r="E15" i="5"/>
  <c r="AA299" i="4"/>
  <c r="Z346" i="4"/>
  <c r="Y346" i="4"/>
  <c r="X364" i="4"/>
  <c r="X365" i="4"/>
  <c r="Y347" i="4"/>
  <c r="Z347" i="4"/>
  <c r="AA310" i="4"/>
  <c r="AA317" i="4" s="1"/>
  <c r="G34" i="4"/>
  <c r="F376" i="4"/>
  <c r="A373" i="4"/>
  <c r="A371" i="4"/>
  <c r="B18" i="11"/>
  <c r="B19" i="11" s="1"/>
  <c r="B20" i="11" s="1"/>
  <c r="X20" i="2"/>
  <c r="Y20" i="2" s="1"/>
  <c r="N120" i="4" s="1"/>
  <c r="M121" i="4" s="1"/>
  <c r="X23" i="2"/>
  <c r="Y23" i="2" s="1"/>
  <c r="N174" i="4" s="1"/>
  <c r="M175" i="4" s="1"/>
  <c r="C22" i="16"/>
  <c r="X24" i="2"/>
  <c r="Y24" i="2" s="1"/>
  <c r="N192" i="4" s="1"/>
  <c r="M193" i="4" s="1"/>
  <c r="X21" i="2"/>
  <c r="X17" i="2"/>
  <c r="X18" i="2"/>
  <c r="Y18" i="2" s="1"/>
  <c r="N84" i="4" s="1"/>
  <c r="M85" i="4" s="1"/>
  <c r="X22" i="2"/>
  <c r="X19" i="2"/>
  <c r="C71" i="17"/>
  <c r="A17" i="2"/>
  <c r="J16" i="5"/>
  <c r="B17" i="5"/>
  <c r="A29" i="4"/>
  <c r="E17" i="5" l="1"/>
  <c r="D17" i="5"/>
  <c r="X382" i="4"/>
  <c r="X383" i="4"/>
  <c r="Y364" i="4"/>
  <c r="Z364" i="4"/>
  <c r="Y365" i="4"/>
  <c r="Z365" i="4"/>
  <c r="Z352" i="4"/>
  <c r="AA346" i="4" s="1"/>
  <c r="A389" i="4"/>
  <c r="F394" i="4"/>
  <c r="A391" i="4"/>
  <c r="G52" i="4"/>
  <c r="C23" i="16"/>
  <c r="E19" i="11"/>
  <c r="E20" i="11"/>
  <c r="E18" i="11"/>
  <c r="Y17" i="2"/>
  <c r="N66" i="4" s="1"/>
  <c r="Y21" i="2"/>
  <c r="N138" i="4" s="1"/>
  <c r="M139" i="4" s="1"/>
  <c r="Y19" i="2"/>
  <c r="N102" i="4" s="1"/>
  <c r="M103" i="4" s="1"/>
  <c r="Y22" i="2"/>
  <c r="N156" i="4" s="1"/>
  <c r="M157" i="4" s="1"/>
  <c r="Y15" i="2"/>
  <c r="B21" i="11"/>
  <c r="E21" i="11" s="1"/>
  <c r="J17" i="5"/>
  <c r="B18" i="5"/>
  <c r="A18" i="2"/>
  <c r="G70" i="4" s="1"/>
  <c r="E18" i="5" l="1"/>
  <c r="D18" i="5"/>
  <c r="F18" i="5"/>
  <c r="N30" i="4"/>
  <c r="M67" i="4"/>
  <c r="Z370" i="4"/>
  <c r="AA364" i="4" s="1"/>
  <c r="X400" i="4"/>
  <c r="X401" i="4"/>
  <c r="Y383" i="4"/>
  <c r="Z383" i="4"/>
  <c r="AA347" i="4"/>
  <c r="Z382" i="4"/>
  <c r="Y382" i="4"/>
  <c r="F412" i="4"/>
  <c r="A409" i="4"/>
  <c r="A407" i="4"/>
  <c r="C24" i="16"/>
  <c r="D51" i="16"/>
  <c r="D52" i="16"/>
  <c r="Y16" i="2"/>
  <c r="N48" i="4" s="1"/>
  <c r="M49" i="4" s="1"/>
  <c r="B22" i="11"/>
  <c r="E22" i="11" s="1"/>
  <c r="J18" i="5"/>
  <c r="B19" i="5"/>
  <c r="A19" i="2"/>
  <c r="E19" i="5" l="1"/>
  <c r="D19" i="5"/>
  <c r="F19" i="5"/>
  <c r="F16" i="5"/>
  <c r="I16" i="5" s="1"/>
  <c r="F17" i="5"/>
  <c r="I17" i="5" s="1"/>
  <c r="AA353" i="4"/>
  <c r="AA365" i="4"/>
  <c r="Z388" i="4"/>
  <c r="AA382" i="4" s="1"/>
  <c r="Y401" i="4"/>
  <c r="Z401" i="4"/>
  <c r="Y400" i="4"/>
  <c r="Z400" i="4"/>
  <c r="I18" i="5"/>
  <c r="A427" i="4"/>
  <c r="F430" i="4"/>
  <c r="A425" i="4"/>
  <c r="C25" i="16"/>
  <c r="E17" i="11"/>
  <c r="B23" i="11"/>
  <c r="E23" i="11" s="1"/>
  <c r="A20" i="2"/>
  <c r="B20" i="5"/>
  <c r="J19" i="5"/>
  <c r="E15" i="15" l="1"/>
  <c r="J15" i="15" s="1"/>
  <c r="E17" i="15"/>
  <c r="J17" i="15" s="1"/>
  <c r="E16" i="15"/>
  <c r="J16" i="15" s="1"/>
  <c r="E20" i="5"/>
  <c r="D20" i="5"/>
  <c r="F20" i="5"/>
  <c r="AA371" i="4"/>
  <c r="AA383" i="4"/>
  <c r="X437" i="4"/>
  <c r="X436" i="4"/>
  <c r="Z406" i="4"/>
  <c r="AA401" i="4" s="1"/>
  <c r="I19" i="5"/>
  <c r="F448" i="4"/>
  <c r="A445" i="4"/>
  <c r="A443" i="4"/>
  <c r="M31" i="4"/>
  <c r="F15" i="5" s="1"/>
  <c r="I15" i="5" s="1"/>
  <c r="E14" i="15" s="1"/>
  <c r="C26" i="16"/>
  <c r="E16" i="11"/>
  <c r="B24" i="11"/>
  <c r="B21" i="5"/>
  <c r="J20" i="5"/>
  <c r="A21" i="2"/>
  <c r="E18" i="15" l="1"/>
  <c r="J18" i="15" s="1"/>
  <c r="E21" i="5"/>
  <c r="D21" i="5"/>
  <c r="F21" i="5"/>
  <c r="AA389" i="4"/>
  <c r="AA400" i="4"/>
  <c r="AA407" i="4" s="1"/>
  <c r="Y436" i="4"/>
  <c r="Z436" i="4"/>
  <c r="X454" i="4"/>
  <c r="X455" i="4"/>
  <c r="Z437" i="4"/>
  <c r="Y437" i="4"/>
  <c r="D26" i="16"/>
  <c r="J14" i="15"/>
  <c r="I20" i="5"/>
  <c r="A461" i="4"/>
  <c r="A463" i="4"/>
  <c r="F466" i="4"/>
  <c r="C27" i="16"/>
  <c r="E24" i="11"/>
  <c r="B25" i="11"/>
  <c r="B26" i="11" s="1"/>
  <c r="B27" i="11" s="1"/>
  <c r="B28" i="11" s="1"/>
  <c r="B29" i="11" s="1"/>
  <c r="B30" i="11" s="1"/>
  <c r="B31" i="11" s="1"/>
  <c r="B32" i="11" s="1"/>
  <c r="B33" i="11" s="1"/>
  <c r="B34" i="11" s="1"/>
  <c r="B35" i="11" s="1"/>
  <c r="B36" i="11" s="1"/>
  <c r="B37" i="11" s="1"/>
  <c r="B22" i="5"/>
  <c r="J21" i="5"/>
  <c r="A22" i="2"/>
  <c r="C28" i="16" s="1"/>
  <c r="E19" i="15" l="1"/>
  <c r="J19" i="15" s="1"/>
  <c r="E22" i="5"/>
  <c r="D22" i="5"/>
  <c r="F22" i="5"/>
  <c r="Z455" i="4"/>
  <c r="Y455" i="4"/>
  <c r="X473" i="4"/>
  <c r="X472" i="4"/>
  <c r="Y454" i="4"/>
  <c r="Z454" i="4"/>
  <c r="Z442" i="4"/>
  <c r="AA436" i="4" s="1"/>
  <c r="I21" i="5"/>
  <c r="F484" i="4"/>
  <c r="A481" i="4"/>
  <c r="A479" i="4"/>
  <c r="E25" i="11"/>
  <c r="E37" i="11"/>
  <c r="F37" i="11" s="1"/>
  <c r="B38" i="11"/>
  <c r="A23" i="2"/>
  <c r="C29" i="16" s="1"/>
  <c r="J22" i="5"/>
  <c r="B23" i="5"/>
  <c r="E20" i="15" l="1"/>
  <c r="J20" i="15" s="1"/>
  <c r="E23" i="5"/>
  <c r="D23" i="5"/>
  <c r="F23" i="5"/>
  <c r="Z460" i="4"/>
  <c r="AA454" i="4" s="1"/>
  <c r="Y472" i="4"/>
  <c r="Z472" i="4"/>
  <c r="AA437" i="4"/>
  <c r="Z473" i="4"/>
  <c r="Y473" i="4"/>
  <c r="I22" i="5"/>
  <c r="A497" i="4"/>
  <c r="F502" i="4"/>
  <c r="A499" i="4"/>
  <c r="E38" i="11"/>
  <c r="B39" i="11"/>
  <c r="E26" i="11"/>
  <c r="J23" i="5"/>
  <c r="B24" i="5"/>
  <c r="A24" i="2"/>
  <c r="E21" i="15" l="1"/>
  <c r="J21" i="15" s="1"/>
  <c r="E24" i="5"/>
  <c r="D24" i="5"/>
  <c r="F24" i="5"/>
  <c r="AA443" i="4"/>
  <c r="AA455" i="4"/>
  <c r="X510" i="4"/>
  <c r="X509" i="4"/>
  <c r="Z490" i="4"/>
  <c r="Y490" i="4"/>
  <c r="Z478" i="4"/>
  <c r="AA473" i="4" s="1"/>
  <c r="Y491" i="4"/>
  <c r="Z491" i="4"/>
  <c r="I23" i="5"/>
  <c r="A517" i="4"/>
  <c r="F520" i="4"/>
  <c r="A515" i="4"/>
  <c r="A25" i="2"/>
  <c r="C30" i="16"/>
  <c r="B25" i="5"/>
  <c r="E39" i="11"/>
  <c r="B40" i="11"/>
  <c r="E27" i="11"/>
  <c r="F27" i="11" s="1"/>
  <c r="J24" i="5"/>
  <c r="E22" i="15" l="1"/>
  <c r="J22" i="15" s="1"/>
  <c r="E25" i="5"/>
  <c r="D25" i="5"/>
  <c r="F25" i="5"/>
  <c r="AA461" i="4"/>
  <c r="AA472" i="4"/>
  <c r="AA479" i="4" s="1"/>
  <c r="Z496" i="4"/>
  <c r="AA490" i="4" s="1"/>
  <c r="Y508" i="4"/>
  <c r="Z508" i="4"/>
  <c r="Y509" i="4"/>
  <c r="Z509" i="4"/>
  <c r="Y510" i="4"/>
  <c r="Z510" i="4"/>
  <c r="I24" i="5"/>
  <c r="A26" i="2"/>
  <c r="A533" i="4"/>
  <c r="A535" i="4"/>
  <c r="F538" i="4"/>
  <c r="C31" i="16"/>
  <c r="B26" i="5"/>
  <c r="J25" i="5"/>
  <c r="E40" i="11"/>
  <c r="B41" i="11"/>
  <c r="E28" i="11"/>
  <c r="D24" i="16"/>
  <c r="E23" i="15" l="1"/>
  <c r="J23" i="15" s="1"/>
  <c r="E26" i="5"/>
  <c r="D26" i="5"/>
  <c r="F26" i="5"/>
  <c r="AA491" i="4"/>
  <c r="Z514" i="4"/>
  <c r="AA510" i="4" s="1"/>
  <c r="X544" i="4"/>
  <c r="X545" i="4"/>
  <c r="I25" i="5"/>
  <c r="F556" i="4"/>
  <c r="A551" i="4"/>
  <c r="A553" i="4"/>
  <c r="A27" i="2"/>
  <c r="J26" i="5"/>
  <c r="B27" i="5"/>
  <c r="B42" i="11"/>
  <c r="E41" i="11"/>
  <c r="E29" i="11"/>
  <c r="E24" i="15" l="1"/>
  <c r="J24" i="15" s="1"/>
  <c r="E27" i="5"/>
  <c r="D27" i="5"/>
  <c r="F27" i="5"/>
  <c r="AA497" i="4"/>
  <c r="AA509" i="4"/>
  <c r="AA508" i="4"/>
  <c r="X562" i="4"/>
  <c r="X563" i="4"/>
  <c r="Y545" i="4"/>
  <c r="Z545" i="4"/>
  <c r="Y544" i="4"/>
  <c r="Z544" i="4"/>
  <c r="I26" i="5"/>
  <c r="A28" i="2"/>
  <c r="F574" i="4"/>
  <c r="A569" i="4"/>
  <c r="A571" i="4"/>
  <c r="B28" i="5"/>
  <c r="J27" i="5"/>
  <c r="B43" i="11"/>
  <c r="E42" i="11"/>
  <c r="E30" i="11"/>
  <c r="E25" i="15" l="1"/>
  <c r="J25" i="15" s="1"/>
  <c r="E28" i="5"/>
  <c r="D28" i="5"/>
  <c r="F28" i="5"/>
  <c r="Z550" i="4"/>
  <c r="AA545" i="4" s="1"/>
  <c r="AA515" i="4"/>
  <c r="X581" i="4"/>
  <c r="X580" i="4"/>
  <c r="Y563" i="4"/>
  <c r="Z563" i="4"/>
  <c r="Y562" i="4"/>
  <c r="Z562" i="4"/>
  <c r="I27" i="5"/>
  <c r="A589" i="4"/>
  <c r="F592" i="4"/>
  <c r="A587" i="4"/>
  <c r="A29" i="2"/>
  <c r="B29" i="5"/>
  <c r="J28" i="5"/>
  <c r="E43" i="11"/>
  <c r="B44" i="11"/>
  <c r="E31" i="11"/>
  <c r="E26" i="15" l="1"/>
  <c r="J26" i="15" s="1"/>
  <c r="E29" i="5"/>
  <c r="D29" i="5"/>
  <c r="F29" i="5"/>
  <c r="AA544" i="4"/>
  <c r="AA551" i="4" s="1"/>
  <c r="Z568" i="4"/>
  <c r="AA562" i="4" s="1"/>
  <c r="Z580" i="4"/>
  <c r="Y580" i="4"/>
  <c r="Y581" i="4"/>
  <c r="Z581" i="4"/>
  <c r="I28" i="5"/>
  <c r="A30" i="2"/>
  <c r="A605" i="4"/>
  <c r="A607" i="4"/>
  <c r="F610" i="4"/>
  <c r="B30" i="5"/>
  <c r="J29" i="5"/>
  <c r="E44" i="11"/>
  <c r="B45" i="11"/>
  <c r="E32" i="11"/>
  <c r="E27" i="15" l="1"/>
  <c r="J27" i="15" s="1"/>
  <c r="E30" i="5"/>
  <c r="D30" i="5"/>
  <c r="F30" i="5"/>
  <c r="AA563" i="4"/>
  <c r="Z586" i="4"/>
  <c r="AA581" i="4" s="1"/>
  <c r="Z598" i="4"/>
  <c r="Y598" i="4"/>
  <c r="Y599" i="4"/>
  <c r="Z599" i="4"/>
  <c r="I29" i="5"/>
  <c r="A31" i="2"/>
  <c r="F628" i="4"/>
  <c r="A623" i="4"/>
  <c r="A625" i="4"/>
  <c r="J30" i="5"/>
  <c r="B31" i="5"/>
  <c r="E45" i="11"/>
  <c r="B46" i="11"/>
  <c r="E33" i="11"/>
  <c r="E28" i="15" l="1"/>
  <c r="J28" i="15" s="1"/>
  <c r="E31" i="5"/>
  <c r="D31" i="5"/>
  <c r="F31" i="5"/>
  <c r="AA569" i="4"/>
  <c r="Z604" i="4"/>
  <c r="AA599" i="4" s="1"/>
  <c r="AA580" i="4"/>
  <c r="AA587" i="4" s="1"/>
  <c r="I30" i="5"/>
  <c r="F646" i="4"/>
  <c r="A641" i="4"/>
  <c r="A643" i="4"/>
  <c r="A32" i="2"/>
  <c r="J31" i="5"/>
  <c r="B32" i="5"/>
  <c r="E46" i="11"/>
  <c r="B47" i="11"/>
  <c r="E34" i="11"/>
  <c r="E29" i="15" l="1"/>
  <c r="J29" i="15" s="1"/>
  <c r="D30" i="16"/>
  <c r="E32" i="5"/>
  <c r="D32" i="5"/>
  <c r="F32" i="5"/>
  <c r="AA598" i="4"/>
  <c r="AA605" i="4" s="1"/>
  <c r="I31" i="5"/>
  <c r="D21" i="16"/>
  <c r="A33" i="2"/>
  <c r="A661" i="4"/>
  <c r="A659" i="4"/>
  <c r="J32" i="5"/>
  <c r="B33" i="5"/>
  <c r="E47" i="11"/>
  <c r="B48" i="11"/>
  <c r="E35" i="11"/>
  <c r="E36" i="11"/>
  <c r="E30" i="15" l="1"/>
  <c r="J30" i="15" s="1"/>
  <c r="E33" i="5"/>
  <c r="D33" i="5"/>
  <c r="F33" i="5"/>
  <c r="Y652" i="4"/>
  <c r="Z652" i="4"/>
  <c r="Z653" i="4"/>
  <c r="Y653" i="4"/>
  <c r="I32" i="5"/>
  <c r="A34" i="2"/>
  <c r="B34" i="5"/>
  <c r="J33" i="5"/>
  <c r="E48" i="11"/>
  <c r="F48" i="11" s="1"/>
  <c r="B49" i="11"/>
  <c r="E31" i="15" l="1"/>
  <c r="J31" i="15" s="1"/>
  <c r="E34" i="5"/>
  <c r="D34" i="5"/>
  <c r="F34" i="5"/>
  <c r="Z658" i="4"/>
  <c r="I33" i="5"/>
  <c r="A35" i="2"/>
  <c r="C37" i="17" s="1"/>
  <c r="B35" i="5"/>
  <c r="D27" i="16"/>
  <c r="D25" i="16"/>
  <c r="D22" i="16"/>
  <c r="D23" i="16"/>
  <c r="D28" i="16"/>
  <c r="J34" i="5"/>
  <c r="E49" i="11"/>
  <c r="B50" i="11"/>
  <c r="D29" i="16"/>
  <c r="D31" i="16"/>
  <c r="D41" i="16"/>
  <c r="E32" i="15" l="1"/>
  <c r="J32" i="15" s="1"/>
  <c r="AA652" i="4"/>
  <c r="E35" i="5"/>
  <c r="D35" i="5"/>
  <c r="F35" i="5"/>
  <c r="AA653" i="4"/>
  <c r="C38" i="17"/>
  <c r="D37" i="16"/>
  <c r="C34" i="17"/>
  <c r="D39" i="16"/>
  <c r="C36" i="17"/>
  <c r="D38" i="16"/>
  <c r="D35" i="16"/>
  <c r="C35" i="17"/>
  <c r="I34" i="5"/>
  <c r="A36" i="2"/>
  <c r="B32" i="17"/>
  <c r="B29" i="17"/>
  <c r="B21" i="17"/>
  <c r="S21" i="17" s="1"/>
  <c r="B28" i="17"/>
  <c r="S28" i="17" s="1"/>
  <c r="B25" i="17"/>
  <c r="B23" i="17"/>
  <c r="B33" i="17"/>
  <c r="B36" i="17"/>
  <c r="B37" i="17"/>
  <c r="B22" i="17"/>
  <c r="S22" i="17" s="1"/>
  <c r="B34" i="17"/>
  <c r="B35" i="17"/>
  <c r="B27" i="17"/>
  <c r="S27" i="17" s="1"/>
  <c r="B24" i="17"/>
  <c r="S24" i="17" s="1"/>
  <c r="B30" i="17"/>
  <c r="S30" i="17" s="1"/>
  <c r="B26" i="17"/>
  <c r="S26" i="17" s="1"/>
  <c r="B20" i="17"/>
  <c r="B38" i="17"/>
  <c r="B31" i="17"/>
  <c r="S31" i="17" s="1"/>
  <c r="C33" i="17"/>
  <c r="D36" i="16"/>
  <c r="D34" i="16"/>
  <c r="J35" i="5"/>
  <c r="B36" i="5"/>
  <c r="B51" i="11"/>
  <c r="E50" i="11"/>
  <c r="D42" i="16"/>
  <c r="D32" i="16"/>
  <c r="E33" i="15" l="1"/>
  <c r="J33" i="15" s="1"/>
  <c r="E36" i="5"/>
  <c r="D36" i="5"/>
  <c r="F36" i="5"/>
  <c r="AA659" i="4"/>
  <c r="S23" i="17"/>
  <c r="C23" i="17"/>
  <c r="T20" i="17"/>
  <c r="S20" i="17"/>
  <c r="S25" i="17"/>
  <c r="C25" i="17"/>
  <c r="S29" i="17"/>
  <c r="C29" i="17"/>
  <c r="I35" i="5"/>
  <c r="A37" i="2"/>
  <c r="J36" i="5"/>
  <c r="B37" i="5"/>
  <c r="E51" i="11"/>
  <c r="B52" i="11"/>
  <c r="D43" i="16"/>
  <c r="E34" i="15" l="1"/>
  <c r="J34" i="15" s="1"/>
  <c r="D37" i="5"/>
  <c r="E37" i="5"/>
  <c r="F37" i="5"/>
  <c r="I36" i="5"/>
  <c r="A38" i="2"/>
  <c r="A39" i="2" s="1"/>
  <c r="A40" i="2" s="1"/>
  <c r="A41" i="2" s="1"/>
  <c r="A42" i="2" s="1"/>
  <c r="J37" i="5"/>
  <c r="B38" i="5"/>
  <c r="E52" i="11"/>
  <c r="B53" i="11"/>
  <c r="D44" i="16"/>
  <c r="C22" i="17"/>
  <c r="C26" i="17"/>
  <c r="C27" i="17"/>
  <c r="C24" i="17"/>
  <c r="C31" i="17"/>
  <c r="C28" i="17"/>
  <c r="C30" i="17"/>
  <c r="E35" i="15" l="1"/>
  <c r="J35" i="15" s="1"/>
  <c r="E38" i="5"/>
  <c r="D38" i="5"/>
  <c r="F38" i="5"/>
  <c r="A43" i="2"/>
  <c r="A44" i="2" s="1"/>
  <c r="A45" i="2" s="1"/>
  <c r="B40" i="17"/>
  <c r="B39" i="17"/>
  <c r="D40" i="16"/>
  <c r="C39" i="17"/>
  <c r="C62" i="17" s="1"/>
  <c r="I37" i="5"/>
  <c r="A46" i="2"/>
  <c r="B45" i="17"/>
  <c r="B43" i="17"/>
  <c r="B41" i="17"/>
  <c r="S41" i="17" s="1"/>
  <c r="B42" i="17"/>
  <c r="B46" i="17"/>
  <c r="B47" i="17"/>
  <c r="B44" i="17"/>
  <c r="J38" i="5"/>
  <c r="B39" i="5"/>
  <c r="E53" i="11"/>
  <c r="B54" i="11"/>
  <c r="C16" i="17"/>
  <c r="C65" i="17"/>
  <c r="E36" i="15" l="1"/>
  <c r="J36" i="15" s="1"/>
  <c r="E39" i="5"/>
  <c r="D39" i="5"/>
  <c r="F39" i="5"/>
  <c r="C63" i="17"/>
  <c r="C64" i="17" s="1"/>
  <c r="T40" i="17"/>
  <c r="S40" i="17"/>
  <c r="I38" i="5"/>
  <c r="C47" i="17"/>
  <c r="S47" i="17"/>
  <c r="C44" i="17"/>
  <c r="S44" i="17"/>
  <c r="C43" i="17"/>
  <c r="S43" i="17"/>
  <c r="C42" i="17"/>
  <c r="S42" i="17"/>
  <c r="C46" i="17"/>
  <c r="S46" i="17"/>
  <c r="S45" i="17"/>
  <c r="C45" i="17"/>
  <c r="A47" i="2"/>
  <c r="J39" i="5"/>
  <c r="B40" i="5"/>
  <c r="B55" i="11"/>
  <c r="E54" i="11"/>
  <c r="D45" i="16"/>
  <c r="E37" i="15" l="1"/>
  <c r="J37" i="15" s="1"/>
  <c r="E40" i="5"/>
  <c r="D40" i="5"/>
  <c r="F40" i="5"/>
  <c r="A48" i="2"/>
  <c r="A49" i="2" s="1"/>
  <c r="A50" i="2" s="1"/>
  <c r="B48" i="17"/>
  <c r="B49" i="17"/>
  <c r="S49" i="17" s="1"/>
  <c r="B50" i="17"/>
  <c r="D56" i="16"/>
  <c r="C54" i="17"/>
  <c r="F54" i="17" s="1"/>
  <c r="B53" i="17"/>
  <c r="B54" i="17"/>
  <c r="C53" i="17"/>
  <c r="F53" i="17" s="1"/>
  <c r="B51" i="17"/>
  <c r="B52" i="17"/>
  <c r="D55" i="16"/>
  <c r="I39" i="5"/>
  <c r="J40" i="5"/>
  <c r="B41" i="5"/>
  <c r="E55" i="11"/>
  <c r="F45" i="17"/>
  <c r="F41" i="17"/>
  <c r="F52" i="17"/>
  <c r="F40" i="17"/>
  <c r="F43" i="17"/>
  <c r="F44" i="17"/>
  <c r="F46" i="17"/>
  <c r="F42" i="17"/>
  <c r="F47" i="17"/>
  <c r="C66" i="17"/>
  <c r="C67" i="17"/>
  <c r="F35" i="17"/>
  <c r="F20" i="17"/>
  <c r="F39" i="17"/>
  <c r="F34" i="17"/>
  <c r="E64" i="17"/>
  <c r="F37" i="17"/>
  <c r="F36" i="17"/>
  <c r="F38" i="17"/>
  <c r="F23" i="17"/>
  <c r="F25" i="17"/>
  <c r="F33" i="17"/>
  <c r="F32" i="17"/>
  <c r="F29" i="17"/>
  <c r="F21" i="17"/>
  <c r="F30" i="17"/>
  <c r="F27" i="17"/>
  <c r="F31" i="17"/>
  <c r="F22" i="17"/>
  <c r="F24" i="17"/>
  <c r="F28" i="17"/>
  <c r="F26" i="17"/>
  <c r="E38" i="15" l="1"/>
  <c r="J38" i="15" s="1"/>
  <c r="E41" i="5"/>
  <c r="D41" i="5"/>
  <c r="F41" i="5"/>
  <c r="D54" i="16"/>
  <c r="S50" i="17"/>
  <c r="C50" i="17"/>
  <c r="F50" i="17" s="1"/>
  <c r="C48" i="17"/>
  <c r="F48" i="17" s="1"/>
  <c r="S48" i="17"/>
  <c r="B55" i="17"/>
  <c r="C55" i="17"/>
  <c r="F55" i="17" s="1"/>
  <c r="I40" i="5"/>
  <c r="S51" i="17"/>
  <c r="C51" i="17"/>
  <c r="F51" i="17" s="1"/>
  <c r="J41" i="5"/>
  <c r="B42" i="5"/>
  <c r="E40" i="17"/>
  <c r="G40" i="17" s="1"/>
  <c r="I40" i="17" s="1"/>
  <c r="J40" i="17" s="1"/>
  <c r="E53" i="17"/>
  <c r="G53" i="17" s="1"/>
  <c r="I53" i="17" s="1"/>
  <c r="J53" i="17" s="1"/>
  <c r="E46" i="17"/>
  <c r="G46" i="17" s="1"/>
  <c r="I46" i="17" s="1"/>
  <c r="J46" i="17" s="1"/>
  <c r="E41" i="17"/>
  <c r="G41" i="17" s="1"/>
  <c r="I41" i="17" s="1"/>
  <c r="J41" i="17" s="1"/>
  <c r="E52" i="17"/>
  <c r="G52" i="17" s="1"/>
  <c r="I52" i="17" s="1"/>
  <c r="J52" i="17" s="1"/>
  <c r="E44" i="17"/>
  <c r="G44" i="17" s="1"/>
  <c r="I44" i="17" s="1"/>
  <c r="J44" i="17" s="1"/>
  <c r="E43" i="17"/>
  <c r="G43" i="17" s="1"/>
  <c r="I43" i="17" s="1"/>
  <c r="J43" i="17" s="1"/>
  <c r="E42" i="17"/>
  <c r="G42" i="17" s="1"/>
  <c r="I42" i="17" s="1"/>
  <c r="J42" i="17" s="1"/>
  <c r="E45" i="17"/>
  <c r="G45" i="17" s="1"/>
  <c r="I45" i="17" s="1"/>
  <c r="J45" i="17" s="1"/>
  <c r="E54" i="17"/>
  <c r="G54" i="17" s="1"/>
  <c r="I54" i="17" s="1"/>
  <c r="J54" i="17" s="1"/>
  <c r="E47" i="17"/>
  <c r="G47" i="17" s="1"/>
  <c r="I47" i="17" s="1"/>
  <c r="J47" i="17" s="1"/>
  <c r="E32" i="17"/>
  <c r="G32" i="17" s="1"/>
  <c r="I32" i="17" s="1"/>
  <c r="J32" i="17" s="1"/>
  <c r="E21" i="17"/>
  <c r="G21" i="17" s="1"/>
  <c r="I21" i="17" s="1"/>
  <c r="J21" i="17" s="1"/>
  <c r="E20" i="17"/>
  <c r="G20" i="17" s="1"/>
  <c r="E23" i="17"/>
  <c r="G23" i="17" s="1"/>
  <c r="I23" i="17" s="1"/>
  <c r="J23" i="17" s="1"/>
  <c r="E25" i="17"/>
  <c r="G25" i="17" s="1"/>
  <c r="I25" i="17" s="1"/>
  <c r="J25" i="17" s="1"/>
  <c r="E29" i="17"/>
  <c r="G29" i="17" s="1"/>
  <c r="I29" i="17" s="1"/>
  <c r="J29" i="17" s="1"/>
  <c r="E39" i="17"/>
  <c r="G39" i="17" s="1"/>
  <c r="E33" i="17"/>
  <c r="G33" i="17" s="1"/>
  <c r="E37" i="17"/>
  <c r="G37" i="17" s="1"/>
  <c r="E34" i="17"/>
  <c r="G34" i="17" s="1"/>
  <c r="E38" i="17"/>
  <c r="G38" i="17" s="1"/>
  <c r="E36" i="17"/>
  <c r="G36" i="17" s="1"/>
  <c r="E35" i="17"/>
  <c r="G35" i="17" s="1"/>
  <c r="E31" i="17"/>
  <c r="G31" i="17" s="1"/>
  <c r="I31" i="17" s="1"/>
  <c r="J31" i="17" s="1"/>
  <c r="E24" i="17"/>
  <c r="G24" i="17" s="1"/>
  <c r="I24" i="17" s="1"/>
  <c r="J24" i="17" s="1"/>
  <c r="E30" i="17"/>
  <c r="G30" i="17" s="1"/>
  <c r="I30" i="17" s="1"/>
  <c r="J30" i="17" s="1"/>
  <c r="E26" i="17"/>
  <c r="G26" i="17" s="1"/>
  <c r="I26" i="17" s="1"/>
  <c r="J26" i="17" s="1"/>
  <c r="E22" i="17"/>
  <c r="G22" i="17" s="1"/>
  <c r="I22" i="17" s="1"/>
  <c r="J22" i="17" s="1"/>
  <c r="E28" i="17"/>
  <c r="G28" i="17" s="1"/>
  <c r="I28" i="17" s="1"/>
  <c r="J28" i="17" s="1"/>
  <c r="E27" i="17"/>
  <c r="G27" i="17" s="1"/>
  <c r="I27" i="17" s="1"/>
  <c r="J27" i="17" s="1"/>
  <c r="F16" i="11"/>
  <c r="F60" i="17"/>
  <c r="F69" i="17" s="1"/>
  <c r="E39" i="15" l="1"/>
  <c r="J39" i="15" s="1"/>
  <c r="E42" i="5"/>
  <c r="D42" i="5"/>
  <c r="F42" i="5"/>
  <c r="E48" i="17"/>
  <c r="G48" i="17" s="1"/>
  <c r="I48" i="17" s="1"/>
  <c r="J48" i="17" s="1"/>
  <c r="M48" i="17" s="1"/>
  <c r="E50" i="17"/>
  <c r="G50" i="17" s="1"/>
  <c r="I50" i="17" s="1"/>
  <c r="J50" i="17" s="1"/>
  <c r="M50" i="17" s="1"/>
  <c r="E55" i="17"/>
  <c r="G55" i="17" s="1"/>
  <c r="I55" i="17" s="1"/>
  <c r="J55" i="17" s="1"/>
  <c r="I41" i="5"/>
  <c r="E51" i="17"/>
  <c r="G51" i="17" s="1"/>
  <c r="I51" i="17" s="1"/>
  <c r="J51" i="17" s="1"/>
  <c r="M51" i="17" s="1"/>
  <c r="B43" i="5"/>
  <c r="J42" i="5"/>
  <c r="M42" i="17"/>
  <c r="M41" i="17"/>
  <c r="M46" i="17"/>
  <c r="M47" i="17"/>
  <c r="M43" i="17"/>
  <c r="M44" i="17"/>
  <c r="M45" i="17"/>
  <c r="M52" i="17"/>
  <c r="M40" i="17"/>
  <c r="I37" i="17"/>
  <c r="J37" i="17" s="1"/>
  <c r="I39" i="17"/>
  <c r="J39" i="17" s="1"/>
  <c r="F59" i="11"/>
  <c r="F60" i="11"/>
  <c r="F58" i="11"/>
  <c r="I36" i="17"/>
  <c r="J36" i="17" s="1"/>
  <c r="I38" i="17"/>
  <c r="J38" i="17" s="1"/>
  <c r="I20" i="17"/>
  <c r="J20" i="17" s="1"/>
  <c r="I34" i="17"/>
  <c r="J34" i="17" s="1"/>
  <c r="I35" i="17"/>
  <c r="J35" i="17" s="1"/>
  <c r="I33" i="17"/>
  <c r="J33" i="17" s="1"/>
  <c r="E40" i="15" l="1"/>
  <c r="J40" i="15" s="1"/>
  <c r="E43" i="5"/>
  <c r="D43" i="5"/>
  <c r="F43" i="5"/>
  <c r="I42" i="5"/>
  <c r="C58" i="17"/>
  <c r="B57" i="17"/>
  <c r="B56" i="17"/>
  <c r="J43" i="5"/>
  <c r="B44" i="5"/>
  <c r="J65" i="17"/>
  <c r="J70" i="17"/>
  <c r="J77" i="17"/>
  <c r="J62" i="17"/>
  <c r="J60" i="17"/>
  <c r="J75" i="17"/>
  <c r="J73" i="17"/>
  <c r="J61" i="17"/>
  <c r="J72" i="17"/>
  <c r="J76" i="17"/>
  <c r="J63" i="17"/>
  <c r="J71" i="17"/>
  <c r="J74" i="17"/>
  <c r="J16" i="17"/>
  <c r="F61" i="11"/>
  <c r="E41" i="15" l="1"/>
  <c r="J41" i="15" s="1"/>
  <c r="E44" i="5"/>
  <c r="D44" i="5"/>
  <c r="F44" i="5"/>
  <c r="D57" i="16"/>
  <c r="C57" i="17"/>
  <c r="F57" i="17" s="1"/>
  <c r="C56" i="17"/>
  <c r="F56" i="17" s="1"/>
  <c r="D58" i="16"/>
  <c r="B59" i="17"/>
  <c r="B58" i="17"/>
  <c r="I43" i="5"/>
  <c r="F58" i="17"/>
  <c r="E58" i="17"/>
  <c r="G58" i="17" s="1"/>
  <c r="I58" i="17" s="1"/>
  <c r="J58" i="17" s="1"/>
  <c r="G322" i="4"/>
  <c r="G124" i="4"/>
  <c r="G178" i="4"/>
  <c r="G214" i="4"/>
  <c r="G106" i="4"/>
  <c r="G232" i="4"/>
  <c r="G142" i="4"/>
  <c r="G250" i="4"/>
  <c r="G88" i="4"/>
  <c r="G286" i="4"/>
  <c r="G160" i="4"/>
  <c r="G196" i="4"/>
  <c r="G304" i="4"/>
  <c r="G268" i="4"/>
  <c r="G340" i="4"/>
  <c r="G358" i="4"/>
  <c r="G394" i="4"/>
  <c r="G376" i="4"/>
  <c r="G412" i="4"/>
  <c r="G430" i="4"/>
  <c r="G448" i="4"/>
  <c r="G466" i="4"/>
  <c r="G484" i="4"/>
  <c r="G502" i="4"/>
  <c r="G538" i="4"/>
  <c r="G520" i="4"/>
  <c r="G610" i="4"/>
  <c r="G556" i="4"/>
  <c r="G574" i="4"/>
  <c r="G592" i="4"/>
  <c r="G628" i="4"/>
  <c r="G646" i="4"/>
  <c r="C59" i="17"/>
  <c r="D59" i="16"/>
  <c r="E57" i="17"/>
  <c r="G57" i="17" s="1"/>
  <c r="I57" i="17" s="1"/>
  <c r="J57" i="17" s="1"/>
  <c r="D60" i="16"/>
  <c r="B45" i="5"/>
  <c r="J44" i="5"/>
  <c r="J64" i="17"/>
  <c r="J67" i="17" s="1"/>
  <c r="K72" i="17"/>
  <c r="E42" i="15" l="1"/>
  <c r="J42" i="15" s="1"/>
  <c r="E45" i="5"/>
  <c r="D45" i="5"/>
  <c r="F45" i="5"/>
  <c r="E56" i="17"/>
  <c r="G56" i="17" s="1"/>
  <c r="I56" i="17" s="1"/>
  <c r="J56" i="17" s="1"/>
  <c r="K56" i="17" s="1"/>
  <c r="L56" i="17" s="1"/>
  <c r="N56" i="17" s="1"/>
  <c r="D17" i="16"/>
  <c r="I44" i="5"/>
  <c r="D64" i="16"/>
  <c r="D66" i="16"/>
  <c r="D63" i="16"/>
  <c r="F59" i="17"/>
  <c r="E59" i="17"/>
  <c r="G59" i="17" s="1"/>
  <c r="I59" i="17" s="1"/>
  <c r="J59" i="17" s="1"/>
  <c r="K59" i="17" s="1"/>
  <c r="L59" i="17" s="1"/>
  <c r="N59" i="17" s="1"/>
  <c r="J45" i="5"/>
  <c r="B46" i="5"/>
  <c r="K58" i="17"/>
  <c r="L58" i="17" s="1"/>
  <c r="N58" i="17" s="1"/>
  <c r="K40" i="17"/>
  <c r="L40" i="17" s="1"/>
  <c r="N40" i="17" s="1"/>
  <c r="K42" i="17"/>
  <c r="L42" i="17" s="1"/>
  <c r="N42" i="17" s="1"/>
  <c r="K50" i="17"/>
  <c r="L50" i="17" s="1"/>
  <c r="N50" i="17" s="1"/>
  <c r="K41" i="17"/>
  <c r="L41" i="17" s="1"/>
  <c r="N41" i="17" s="1"/>
  <c r="K47" i="17"/>
  <c r="L47" i="17" s="1"/>
  <c r="N47" i="17" s="1"/>
  <c r="K44" i="17"/>
  <c r="L44" i="17" s="1"/>
  <c r="N44" i="17" s="1"/>
  <c r="K55" i="17"/>
  <c r="L55" i="17" s="1"/>
  <c r="N55" i="17" s="1"/>
  <c r="K45" i="17"/>
  <c r="L45" i="17" s="1"/>
  <c r="N45" i="17" s="1"/>
  <c r="K51" i="17"/>
  <c r="L51" i="17" s="1"/>
  <c r="N51" i="17" s="1"/>
  <c r="K48" i="17"/>
  <c r="L48" i="17" s="1"/>
  <c r="N48" i="17" s="1"/>
  <c r="K46" i="17"/>
  <c r="L46" i="17" s="1"/>
  <c r="N46" i="17" s="1"/>
  <c r="K57" i="17"/>
  <c r="L57" i="17" s="1"/>
  <c r="N57" i="17" s="1"/>
  <c r="K53" i="17"/>
  <c r="L53" i="17" s="1"/>
  <c r="N53" i="17" s="1"/>
  <c r="K54" i="17"/>
  <c r="L54" i="17" s="1"/>
  <c r="N54" i="17" s="1"/>
  <c r="K52" i="17"/>
  <c r="L52" i="17" s="1"/>
  <c r="N52" i="17" s="1"/>
  <c r="K43" i="17"/>
  <c r="L43" i="17" s="1"/>
  <c r="N43" i="17" s="1"/>
  <c r="L64" i="17"/>
  <c r="J66" i="17"/>
  <c r="K36" i="17" s="1"/>
  <c r="L36" i="17" s="1"/>
  <c r="N36" i="17" s="1"/>
  <c r="E43" i="15" l="1"/>
  <c r="J43" i="15" s="1"/>
  <c r="E46" i="5"/>
  <c r="D46" i="5"/>
  <c r="F46" i="5"/>
  <c r="I45" i="5"/>
  <c r="J46" i="5"/>
  <c r="B47" i="5"/>
  <c r="Q41" i="17"/>
  <c r="P41" i="17"/>
  <c r="O41" i="17"/>
  <c r="Q57" i="17"/>
  <c r="P57" i="17"/>
  <c r="O57" i="17"/>
  <c r="Q50" i="17"/>
  <c r="P50" i="17"/>
  <c r="O50" i="17"/>
  <c r="P44" i="17"/>
  <c r="Q44" i="17"/>
  <c r="O44" i="17"/>
  <c r="P43" i="17"/>
  <c r="O43" i="17"/>
  <c r="Q43" i="17"/>
  <c r="Q56" i="17"/>
  <c r="P56" i="17"/>
  <c r="O56" i="17"/>
  <c r="Q42" i="17"/>
  <c r="P42" i="17"/>
  <c r="O42" i="17"/>
  <c r="Q46" i="17"/>
  <c r="P46" i="17"/>
  <c r="O46" i="17"/>
  <c r="P48" i="17"/>
  <c r="O48" i="17"/>
  <c r="Q48" i="17"/>
  <c r="Q52" i="17"/>
  <c r="P52" i="17"/>
  <c r="O52" i="17"/>
  <c r="Q51" i="17"/>
  <c r="O51" i="17"/>
  <c r="P51" i="17"/>
  <c r="O40" i="17"/>
  <c r="Q40" i="17"/>
  <c r="P40" i="17"/>
  <c r="Q47" i="17"/>
  <c r="P47" i="17"/>
  <c r="O47" i="17"/>
  <c r="Q45" i="17"/>
  <c r="P45" i="17"/>
  <c r="O45" i="17"/>
  <c r="Q59" i="17"/>
  <c r="P59" i="17"/>
  <c r="O59" i="17"/>
  <c r="O54" i="17"/>
  <c r="Q54" i="17"/>
  <c r="P54" i="17"/>
  <c r="Q53" i="17"/>
  <c r="P53" i="17"/>
  <c r="O53" i="17"/>
  <c r="Q55" i="17"/>
  <c r="P55" i="17"/>
  <c r="O55" i="17"/>
  <c r="Q58" i="17"/>
  <c r="P58" i="17"/>
  <c r="O58" i="17"/>
  <c r="K31" i="17"/>
  <c r="L31" i="17" s="1"/>
  <c r="K20" i="17"/>
  <c r="L20" i="17" s="1"/>
  <c r="K21" i="17"/>
  <c r="L21" i="17" s="1"/>
  <c r="K34" i="17"/>
  <c r="L34" i="17" s="1"/>
  <c r="N34" i="17" s="1"/>
  <c r="Q34" i="17" s="1"/>
  <c r="K26" i="17"/>
  <c r="L26" i="17" s="1"/>
  <c r="K23" i="17"/>
  <c r="L23" i="17" s="1"/>
  <c r="N23" i="17" s="1"/>
  <c r="O23" i="17" s="1"/>
  <c r="K30" i="17"/>
  <c r="L30" i="17" s="1"/>
  <c r="K27" i="17"/>
  <c r="L27" i="17" s="1"/>
  <c r="N27" i="17" s="1"/>
  <c r="K38" i="17"/>
  <c r="L38" i="17" s="1"/>
  <c r="N38" i="17" s="1"/>
  <c r="O38" i="17" s="1"/>
  <c r="K29" i="17"/>
  <c r="L29" i="17" s="1"/>
  <c r="N29" i="17" s="1"/>
  <c r="O29" i="17" s="1"/>
  <c r="K24" i="17"/>
  <c r="L24" i="17" s="1"/>
  <c r="K39" i="17"/>
  <c r="L39" i="17" s="1"/>
  <c r="N39" i="17" s="1"/>
  <c r="P39" i="17" s="1"/>
  <c r="K33" i="17"/>
  <c r="L33" i="17" s="1"/>
  <c r="N33" i="17" s="1"/>
  <c r="P33" i="17" s="1"/>
  <c r="K25" i="17"/>
  <c r="L25" i="17" s="1"/>
  <c r="N25" i="17" s="1"/>
  <c r="Q25" i="17" s="1"/>
  <c r="K35" i="17"/>
  <c r="L35" i="17" s="1"/>
  <c r="N35" i="17" s="1"/>
  <c r="P35" i="17" s="1"/>
  <c r="K37" i="17"/>
  <c r="L37" i="17" s="1"/>
  <c r="N37" i="17" s="1"/>
  <c r="Q37" i="17" s="1"/>
  <c r="K22" i="17"/>
  <c r="L22" i="17" s="1"/>
  <c r="N22" i="17" s="1"/>
  <c r="P22" i="17" s="1"/>
  <c r="K28" i="17"/>
  <c r="L28" i="17" s="1"/>
  <c r="K32" i="17"/>
  <c r="L32" i="17" s="1"/>
  <c r="N32" i="17" s="1"/>
  <c r="P32" i="17" s="1"/>
  <c r="J69" i="17"/>
  <c r="Q36" i="17"/>
  <c r="P36" i="17"/>
  <c r="O36" i="17"/>
  <c r="E44" i="15" l="1"/>
  <c r="J44" i="15" s="1"/>
  <c r="E47" i="5"/>
  <c r="D47" i="5"/>
  <c r="F47" i="5"/>
  <c r="I46" i="5"/>
  <c r="J47" i="5"/>
  <c r="B48" i="5"/>
  <c r="O34" i="17"/>
  <c r="P34" i="17"/>
  <c r="Q23" i="17"/>
  <c r="Q39" i="17"/>
  <c r="O25" i="17"/>
  <c r="P23" i="17"/>
  <c r="O39" i="17"/>
  <c r="O37" i="17"/>
  <c r="Q35" i="17"/>
  <c r="O35" i="17"/>
  <c r="O33" i="17"/>
  <c r="Q38" i="17"/>
  <c r="P38" i="17"/>
  <c r="P37" i="17"/>
  <c r="Q33" i="17"/>
  <c r="P29" i="17"/>
  <c r="O32" i="17"/>
  <c r="Q32" i="17"/>
  <c r="K60" i="17"/>
  <c r="S67" i="17" s="1"/>
  <c r="P25" i="17"/>
  <c r="Q29" i="17"/>
  <c r="O22" i="17"/>
  <c r="Q22" i="17"/>
  <c r="Q27" i="17"/>
  <c r="P27" i="17"/>
  <c r="O27" i="17"/>
  <c r="M22" i="17"/>
  <c r="M21" i="17"/>
  <c r="M24" i="17"/>
  <c r="M30" i="17"/>
  <c r="M27" i="17"/>
  <c r="M31" i="17"/>
  <c r="M28" i="17"/>
  <c r="M26" i="17"/>
  <c r="M25" i="17"/>
  <c r="M32" i="17"/>
  <c r="M23" i="17"/>
  <c r="M29" i="17"/>
  <c r="M20" i="17"/>
  <c r="E45" i="15" l="1"/>
  <c r="J45" i="15" s="1"/>
  <c r="E48" i="5"/>
  <c r="D48" i="5"/>
  <c r="F48" i="5"/>
  <c r="I47" i="5"/>
  <c r="B49" i="5"/>
  <c r="J48" i="5"/>
  <c r="M61" i="17"/>
  <c r="N30" i="17" s="1"/>
  <c r="L61" i="17"/>
  <c r="E46" i="15" l="1"/>
  <c r="J46" i="15" s="1"/>
  <c r="D49" i="5"/>
  <c r="E49" i="5"/>
  <c r="F49" i="5"/>
  <c r="I48" i="5"/>
  <c r="C49" i="17"/>
  <c r="E49" i="17" s="1"/>
  <c r="G49" i="17" s="1"/>
  <c r="I49" i="17" s="1"/>
  <c r="J49" i="17" s="1"/>
  <c r="B50" i="5"/>
  <c r="J49" i="5"/>
  <c r="N20" i="17"/>
  <c r="N26" i="17"/>
  <c r="N21" i="17"/>
  <c r="N24" i="17"/>
  <c r="O30" i="17"/>
  <c r="Q30" i="17"/>
  <c r="P30" i="17"/>
  <c r="N31" i="17"/>
  <c r="N28" i="17"/>
  <c r="E47" i="15" l="1"/>
  <c r="J47" i="15" s="1"/>
  <c r="E50" i="5"/>
  <c r="D50" i="5"/>
  <c r="F50" i="5"/>
  <c r="I49" i="5"/>
  <c r="F49" i="17"/>
  <c r="K49" i="17"/>
  <c r="L49" i="17" s="1"/>
  <c r="N49" i="17" s="1"/>
  <c r="M49" i="17"/>
  <c r="J50" i="5"/>
  <c r="O20" i="17"/>
  <c r="Q20" i="17"/>
  <c r="P20" i="17"/>
  <c r="P26" i="17"/>
  <c r="Q26" i="17"/>
  <c r="O26" i="17"/>
  <c r="O21" i="17"/>
  <c r="P21" i="17"/>
  <c r="Q21" i="17"/>
  <c r="P31" i="17"/>
  <c r="Q31" i="17"/>
  <c r="O31" i="17"/>
  <c r="Q28" i="17"/>
  <c r="O28" i="17"/>
  <c r="P28" i="17"/>
  <c r="Q24" i="17"/>
  <c r="P24" i="17"/>
  <c r="O24" i="17"/>
  <c r="E48" i="15" l="1"/>
  <c r="J48" i="15" s="1"/>
  <c r="I50" i="5"/>
  <c r="Q49" i="17"/>
  <c r="P49" i="17"/>
  <c r="O49" i="17"/>
  <c r="D65" i="16"/>
  <c r="E49" i="15" l="1"/>
  <c r="J49" i="15" s="1"/>
  <c r="D68" i="16"/>
  <c r="D67" i="16"/>
  <c r="E21" i="16" l="1"/>
  <c r="G21" i="16" s="1"/>
  <c r="H21" i="16" s="1"/>
  <c r="E39" i="16"/>
  <c r="G39" i="16" s="1"/>
  <c r="H39" i="16" s="1"/>
  <c r="E27" i="16"/>
  <c r="G27" i="16" s="1"/>
  <c r="H27" i="16" s="1"/>
  <c r="E50" i="16"/>
  <c r="G50" i="16" s="1"/>
  <c r="H50" i="16" s="1"/>
  <c r="E26" i="16"/>
  <c r="G26" i="16" s="1"/>
  <c r="H26" i="16" s="1"/>
  <c r="E33" i="16"/>
  <c r="G33" i="16" s="1"/>
  <c r="H33" i="16" s="1"/>
  <c r="E42" i="16"/>
  <c r="G42" i="16" s="1"/>
  <c r="H42" i="16" s="1"/>
  <c r="E23" i="16"/>
  <c r="G23" i="16" s="1"/>
  <c r="H23" i="16" s="1"/>
  <c r="E43" i="16"/>
  <c r="G43" i="16" s="1"/>
  <c r="H43" i="16" s="1"/>
  <c r="E25" i="16"/>
  <c r="G25" i="16" s="1"/>
  <c r="H25" i="16" s="1"/>
  <c r="E55" i="16"/>
  <c r="G55" i="16" s="1"/>
  <c r="H55" i="16" s="1"/>
  <c r="E24" i="16"/>
  <c r="G24" i="16" s="1"/>
  <c r="H24" i="16" s="1"/>
  <c r="E41" i="16"/>
  <c r="G41" i="16" s="1"/>
  <c r="H41" i="16" s="1"/>
  <c r="E47" i="16"/>
  <c r="G47" i="16" s="1"/>
  <c r="H47" i="16" s="1"/>
  <c r="E46" i="16"/>
  <c r="G46" i="16" s="1"/>
  <c r="H46" i="16" s="1"/>
  <c r="E40" i="16"/>
  <c r="G40" i="16" s="1"/>
  <c r="H40" i="16" s="1"/>
  <c r="E32" i="16"/>
  <c r="G32" i="16" s="1"/>
  <c r="H32" i="16" s="1"/>
  <c r="E38" i="16"/>
  <c r="G38" i="16" s="1"/>
  <c r="H38" i="16" s="1"/>
  <c r="E29" i="16"/>
  <c r="G29" i="16" s="1"/>
  <c r="H29" i="16" s="1"/>
  <c r="E45" i="16"/>
  <c r="G45" i="16" s="1"/>
  <c r="H45" i="16" s="1"/>
  <c r="E56" i="16"/>
  <c r="G56" i="16" s="1"/>
  <c r="H56" i="16" s="1"/>
  <c r="E57" i="16"/>
  <c r="G57" i="16" s="1"/>
  <c r="H57" i="16" s="1"/>
  <c r="E34" i="16"/>
  <c r="G34" i="16" s="1"/>
  <c r="H34" i="16" s="1"/>
  <c r="E60" i="16"/>
  <c r="G60" i="16" s="1"/>
  <c r="H60" i="16" s="1"/>
  <c r="E30" i="16"/>
  <c r="G30" i="16" s="1"/>
  <c r="H30" i="16" s="1"/>
  <c r="E36" i="16"/>
  <c r="G36" i="16" s="1"/>
  <c r="H36" i="16" s="1"/>
  <c r="E31" i="16"/>
  <c r="G31" i="16" s="1"/>
  <c r="H31" i="16" s="1"/>
  <c r="E44" i="16"/>
  <c r="G44" i="16" s="1"/>
  <c r="H44" i="16" s="1"/>
  <c r="E52" i="16"/>
  <c r="G52" i="16" s="1"/>
  <c r="H52" i="16" s="1"/>
  <c r="E22" i="16"/>
  <c r="G22" i="16" s="1"/>
  <c r="H22" i="16" s="1"/>
  <c r="E28" i="16"/>
  <c r="G28" i="16" s="1"/>
  <c r="H28" i="16" s="1"/>
  <c r="E59" i="16"/>
  <c r="G59" i="16" s="1"/>
  <c r="H59" i="16" s="1"/>
  <c r="E54" i="16"/>
  <c r="G54" i="16" s="1"/>
  <c r="H54" i="16" s="1"/>
  <c r="E53" i="16"/>
  <c r="G53" i="16" s="1"/>
  <c r="H53" i="16" s="1"/>
  <c r="E37" i="16"/>
  <c r="G37" i="16" s="1"/>
  <c r="H37" i="16" s="1"/>
  <c r="E35" i="16"/>
  <c r="G35" i="16" s="1"/>
  <c r="H35" i="16" s="1"/>
  <c r="E48" i="16"/>
  <c r="G48" i="16" s="1"/>
  <c r="H48" i="16" s="1"/>
  <c r="E51" i="16"/>
  <c r="G51" i="16" s="1"/>
  <c r="H51" i="16" s="1"/>
  <c r="E49" i="16"/>
  <c r="G49" i="16" s="1"/>
  <c r="H49" i="16" s="1"/>
  <c r="E58" i="16"/>
  <c r="G58" i="16" s="1"/>
  <c r="H58" i="16" s="1"/>
  <c r="H61" i="16" l="1"/>
  <c r="P57" i="16" s="1"/>
  <c r="H66" i="16"/>
  <c r="H64" i="16"/>
  <c r="H63" i="16"/>
  <c r="H62" i="16"/>
  <c r="H17" i="16"/>
  <c r="I52" i="16" l="1"/>
  <c r="K52" i="16" s="1"/>
  <c r="N52" i="16" s="1"/>
  <c r="I21" i="16"/>
  <c r="H65" i="16"/>
  <c r="H67" i="16" s="1"/>
  <c r="I48" i="16"/>
  <c r="K48" i="16" s="1"/>
  <c r="M48" i="16" s="1"/>
  <c r="I50" i="16"/>
  <c r="K50" i="16" s="1"/>
  <c r="N50" i="16" s="1"/>
  <c r="I51" i="16"/>
  <c r="K51" i="16" s="1"/>
  <c r="N51" i="16" s="1"/>
  <c r="I54" i="16"/>
  <c r="I46" i="16"/>
  <c r="K46" i="16" s="1"/>
  <c r="L46" i="16" s="1"/>
  <c r="I47" i="16"/>
  <c r="K47" i="16" s="1"/>
  <c r="N47" i="16" s="1"/>
  <c r="I42" i="16"/>
  <c r="K42" i="16" s="1"/>
  <c r="L42" i="16" s="1"/>
  <c r="I45" i="16"/>
  <c r="K45" i="16" s="1"/>
  <c r="N45" i="16" s="1"/>
  <c r="I56" i="16"/>
  <c r="I57" i="16"/>
  <c r="I55" i="16"/>
  <c r="I49" i="16"/>
  <c r="K49" i="16" s="1"/>
  <c r="N49" i="16" s="1"/>
  <c r="I60" i="16"/>
  <c r="I59" i="16"/>
  <c r="I43" i="16"/>
  <c r="K43" i="16" s="1"/>
  <c r="M43" i="16" s="1"/>
  <c r="I41" i="16"/>
  <c r="K41" i="16" s="1"/>
  <c r="I58" i="16"/>
  <c r="I26" i="16"/>
  <c r="K26" i="16" s="1"/>
  <c r="N26" i="16" s="1"/>
  <c r="I53" i="16"/>
  <c r="I44" i="16"/>
  <c r="K44" i="16" s="1"/>
  <c r="I27" i="16"/>
  <c r="K27" i="16" s="1"/>
  <c r="I33" i="16"/>
  <c r="I29" i="16"/>
  <c r="I35" i="16"/>
  <c r="I28" i="16"/>
  <c r="I25" i="16"/>
  <c r="I32" i="16"/>
  <c r="K32" i="16" s="1"/>
  <c r="I36" i="16"/>
  <c r="I31" i="16"/>
  <c r="I23" i="16"/>
  <c r="I24" i="16"/>
  <c r="K24" i="16" s="1"/>
  <c r="I34" i="16"/>
  <c r="I30" i="16"/>
  <c r="K30" i="16" s="1"/>
  <c r="I40" i="16"/>
  <c r="I37" i="16"/>
  <c r="I38" i="16"/>
  <c r="I39" i="16"/>
  <c r="I22" i="16"/>
  <c r="L52" i="16" l="1"/>
  <c r="M52" i="16"/>
  <c r="J54" i="15"/>
  <c r="J55" i="15"/>
  <c r="J53" i="15"/>
  <c r="J52" i="15"/>
  <c r="L50" i="16"/>
  <c r="M50" i="16"/>
  <c r="M51" i="16"/>
  <c r="H68" i="16"/>
  <c r="H69" i="16" s="1"/>
  <c r="L51" i="16"/>
  <c r="I68" i="16"/>
  <c r="L48" i="16"/>
  <c r="N48" i="16"/>
  <c r="L47" i="16"/>
  <c r="M47" i="16"/>
  <c r="N46" i="16"/>
  <c r="M46" i="16"/>
  <c r="L49" i="16"/>
  <c r="N42" i="16"/>
  <c r="N43" i="16"/>
  <c r="M42" i="16"/>
  <c r="L45" i="16"/>
  <c r="M45" i="16"/>
  <c r="L43" i="16"/>
  <c r="M49" i="16"/>
  <c r="M26" i="16"/>
  <c r="M44" i="16"/>
  <c r="L44" i="16"/>
  <c r="N44" i="16"/>
  <c r="N41" i="16"/>
  <c r="M41" i="16"/>
  <c r="L41" i="16"/>
  <c r="L26" i="16"/>
  <c r="I65" i="16"/>
  <c r="N24" i="16"/>
  <c r="M24" i="16"/>
  <c r="L24" i="16"/>
  <c r="N32" i="16"/>
  <c r="M32" i="16"/>
  <c r="L32" i="16"/>
  <c r="M27" i="16"/>
  <c r="N27" i="16"/>
  <c r="L27" i="16"/>
  <c r="M30" i="16"/>
  <c r="N30" i="16"/>
  <c r="L30" i="16"/>
  <c r="J56" i="15" l="1"/>
  <c r="J53" i="16"/>
  <c r="J49" i="16"/>
  <c r="J43" i="16"/>
  <c r="J48" i="16"/>
  <c r="J45" i="16"/>
  <c r="J55" i="16"/>
  <c r="J52" i="16"/>
  <c r="J59" i="16"/>
  <c r="J42" i="16"/>
  <c r="J47" i="16"/>
  <c r="J50" i="16"/>
  <c r="J51" i="16"/>
  <c r="J54" i="16"/>
  <c r="J56" i="16"/>
  <c r="J46" i="16"/>
  <c r="J58" i="16"/>
  <c r="J60" i="16"/>
  <c r="J41" i="16"/>
  <c r="J44" i="16"/>
  <c r="J57" i="16"/>
  <c r="J33" i="16"/>
  <c r="J32" i="16"/>
  <c r="J26" i="16"/>
  <c r="J35" i="16"/>
  <c r="J30" i="16"/>
  <c r="J25" i="16"/>
  <c r="J31" i="16"/>
  <c r="J24" i="16"/>
  <c r="J28" i="16"/>
  <c r="J39" i="16"/>
  <c r="J29" i="16"/>
  <c r="J22" i="16"/>
  <c r="J27" i="16"/>
  <c r="J38" i="16"/>
  <c r="J40" i="16"/>
  <c r="J23" i="16"/>
  <c r="J21" i="16"/>
  <c r="J36" i="16"/>
  <c r="J34" i="16"/>
  <c r="J37" i="16"/>
  <c r="I62" i="16" l="1"/>
  <c r="J61" i="16"/>
  <c r="I61" i="16" s="1"/>
  <c r="K31" i="16" l="1"/>
  <c r="N31" i="16" s="1"/>
  <c r="K37" i="16"/>
  <c r="K56" i="16"/>
  <c r="K59" i="16"/>
  <c r="K57" i="16"/>
  <c r="K55" i="16"/>
  <c r="K60" i="16"/>
  <c r="K54" i="16"/>
  <c r="K39" i="16"/>
  <c r="K34" i="16"/>
  <c r="K58" i="16"/>
  <c r="K38" i="16"/>
  <c r="K36" i="16"/>
  <c r="K35" i="16"/>
  <c r="K53" i="16"/>
  <c r="K40" i="16"/>
  <c r="K29" i="16"/>
  <c r="M29" i="16" s="1"/>
  <c r="K33" i="16"/>
  <c r="K25" i="16"/>
  <c r="L25" i="16" s="1"/>
  <c r="K22" i="16"/>
  <c r="M22" i="16" s="1"/>
  <c r="K23" i="16"/>
  <c r="M23" i="16" s="1"/>
  <c r="K21" i="16"/>
  <c r="L21" i="16" s="1"/>
  <c r="K61" i="16"/>
  <c r="N61" i="16" s="1"/>
  <c r="K28" i="16"/>
  <c r="N28" i="16" s="1"/>
  <c r="M31" i="16" l="1"/>
  <c r="L31" i="16"/>
  <c r="L40" i="16"/>
  <c r="N40" i="16"/>
  <c r="M40" i="16"/>
  <c r="M54" i="16"/>
  <c r="N54" i="16"/>
  <c r="L54" i="16"/>
  <c r="N55" i="16"/>
  <c r="L55" i="16"/>
  <c r="M55" i="16"/>
  <c r="L36" i="16"/>
  <c r="M36" i="16"/>
  <c r="N36" i="16"/>
  <c r="L57" i="16"/>
  <c r="M57" i="16"/>
  <c r="N57" i="16"/>
  <c r="M53" i="16"/>
  <c r="L53" i="16"/>
  <c r="N53" i="16"/>
  <c r="N38" i="16"/>
  <c r="L38" i="16"/>
  <c r="M38" i="16"/>
  <c r="N59" i="16"/>
  <c r="L59" i="16"/>
  <c r="M59" i="16"/>
  <c r="N60" i="16"/>
  <c r="M60" i="16"/>
  <c r="L60" i="16"/>
  <c r="L58" i="16"/>
  <c r="N58" i="16"/>
  <c r="M58" i="16"/>
  <c r="N56" i="16"/>
  <c r="M56" i="16"/>
  <c r="L56" i="16"/>
  <c r="M34" i="16"/>
  <c r="L34" i="16"/>
  <c r="N34" i="16"/>
  <c r="M37" i="16"/>
  <c r="N37" i="16"/>
  <c r="L37" i="16"/>
  <c r="M35" i="16"/>
  <c r="L35" i="16"/>
  <c r="N35" i="16"/>
  <c r="M39" i="16"/>
  <c r="L39" i="16"/>
  <c r="N39" i="16"/>
  <c r="N29" i="16"/>
  <c r="L29" i="16"/>
  <c r="N33" i="16"/>
  <c r="L33" i="16"/>
  <c r="M33" i="16"/>
  <c r="M25" i="16"/>
  <c r="N25" i="16"/>
  <c r="L22" i="16"/>
  <c r="N22" i="16"/>
  <c r="M21" i="16"/>
  <c r="N21" i="16"/>
  <c r="L61" i="16"/>
  <c r="N23" i="16"/>
  <c r="L23" i="16"/>
  <c r="M61" i="16"/>
  <c r="L28" i="16"/>
  <c r="M28" i="16"/>
</calcChain>
</file>

<file path=xl/sharedStrings.xml><?xml version="1.0" encoding="utf-8"?>
<sst xmlns="http://schemas.openxmlformats.org/spreadsheetml/2006/main" count="3021" uniqueCount="528">
  <si>
    <t>Integrante que aporta experiencia</t>
  </si>
  <si>
    <t>RESUMEN EVALUACIÓN DE LA EXPERIENCIA GENERAL</t>
  </si>
  <si>
    <t>CUADRO No. 7</t>
  </si>
  <si>
    <t>CUADRO No. 3</t>
  </si>
  <si>
    <t>CALIFICACION</t>
  </si>
  <si>
    <t>OBTENIDA</t>
  </si>
  <si>
    <t>RESULTADO DE LA EVALUACIÓN TÉCNICA</t>
  </si>
  <si>
    <t>PERIODO</t>
  </si>
  <si>
    <t>SMLM</t>
  </si>
  <si>
    <t>INSTITUTO NACIONAL DE VÍAS</t>
  </si>
  <si>
    <t>LISTADO DE PROPONENTES</t>
  </si>
  <si>
    <t>PROPUESTA</t>
  </si>
  <si>
    <t>PROPONENTE</t>
  </si>
  <si>
    <t>NÚMERO</t>
  </si>
  <si>
    <t>(smml)</t>
  </si>
  <si>
    <t>CUADRO No. 2</t>
  </si>
  <si>
    <t>No. de</t>
  </si>
  <si>
    <t>Entidad</t>
  </si>
  <si>
    <t>Contrato o Resolución</t>
  </si>
  <si>
    <t>Fecha de</t>
  </si>
  <si>
    <t>VFA</t>
  </si>
  <si>
    <t>Orden</t>
  </si>
  <si>
    <t>Contratante</t>
  </si>
  <si>
    <t>No.</t>
  </si>
  <si>
    <t>Objeto</t>
  </si>
  <si>
    <t>TOTAL</t>
  </si>
  <si>
    <t>ADMISIBLE</t>
  </si>
  <si>
    <t>NO ADMISIBLE</t>
  </si>
  <si>
    <t>RECHAZADA</t>
  </si>
  <si>
    <t>MODULO
No.</t>
  </si>
  <si>
    <t>PRESUPUESTO
OFICIAL</t>
  </si>
  <si>
    <t>MOD.
PRESENTADOS</t>
  </si>
  <si>
    <t>PTO.
MODULOS</t>
  </si>
  <si>
    <t>MODULO No.1</t>
  </si>
  <si>
    <t>MODULO No.2</t>
  </si>
  <si>
    <t>MODULO No.3</t>
  </si>
  <si>
    <t>MODULO No.4</t>
  </si>
  <si>
    <t>MODULO No.5</t>
  </si>
  <si>
    <t>PRESUPUESTOS POR MODULOS</t>
  </si>
  <si>
    <t>Cumple con Experiencia (SI/NO)</t>
  </si>
  <si>
    <t>EXPERIENCIA</t>
  </si>
  <si>
    <t xml:space="preserve">CAPACIDAD </t>
  </si>
  <si>
    <t>RESIDUAL</t>
  </si>
  <si>
    <t>CONTRATO No.1</t>
  </si>
  <si>
    <t>CONTRATO No.2</t>
  </si>
  <si>
    <t>CONTRATO No.3</t>
  </si>
  <si>
    <t>CONTRATO No.4</t>
  </si>
  <si>
    <t>FECHA</t>
  </si>
  <si>
    <t>PARTICIPACION EN LOS PROCESOS CON INVIAS</t>
  </si>
  <si>
    <t>CUADRO No.4</t>
  </si>
  <si>
    <t>CMA-DO-XXX-001</t>
  </si>
  <si>
    <t>PROCESOS DONDE HA PRESENTADO
ESTOS CONTRATOS</t>
  </si>
  <si>
    <t>VFT</t>
  </si>
  <si>
    <t>PO TOTAL</t>
  </si>
  <si>
    <t>RESULTADO DE LA EVALUACIÓN</t>
  </si>
  <si>
    <t xml:space="preserve">Evaluación </t>
  </si>
  <si>
    <t xml:space="preserve">Evalucion </t>
  </si>
  <si>
    <t>Evaluacion</t>
  </si>
  <si>
    <t>Experiencia</t>
  </si>
  <si>
    <t>Disponibilidad</t>
  </si>
  <si>
    <t xml:space="preserve">Certificado </t>
  </si>
  <si>
    <t>Capacidad</t>
  </si>
  <si>
    <t>CALIFICACIÓN</t>
  </si>
  <si>
    <t>Jurídica</t>
  </si>
  <si>
    <t>Financiera</t>
  </si>
  <si>
    <t>Técnica</t>
  </si>
  <si>
    <t>Específica</t>
  </si>
  <si>
    <t>Operativa</t>
  </si>
  <si>
    <t>Calidad</t>
  </si>
  <si>
    <t>CONSORCIO VIAS Y EQUIPOS 2500 (MODULO 1)</t>
  </si>
  <si>
    <t xml:space="preserve">UNION TEMPORAL VIAS DEL NORTE (MODULOS 3 Y 4) </t>
  </si>
  <si>
    <t>P. S. I.   LTDA     (MODULO 4)</t>
  </si>
  <si>
    <t>CONSORCIO PAVICAR (MODULOS 3Y 4)</t>
  </si>
  <si>
    <t>MARIO ALBERTO HUERTAS COTE (MODULOS(3Y4)</t>
  </si>
  <si>
    <t>CONSORCIO UNIVERSAL(MODULOS 1Y2)</t>
  </si>
  <si>
    <t>RESULTADO DE LA EVALUACIÓN MODULO No. 1</t>
  </si>
  <si>
    <t>RESULTADO DE LA EVALUACIÓN MODULO No. 2</t>
  </si>
  <si>
    <t>RESULTADO DE LA EVALUACIÓN MODULO No. 3</t>
  </si>
  <si>
    <t>RESULTADO DE LA EVALUACIÓN MODULO No. 4</t>
  </si>
  <si>
    <t>PRIMERA SERIE</t>
  </si>
  <si>
    <t>SEGUNDA SERIE</t>
  </si>
  <si>
    <t>PROP. No.</t>
  </si>
  <si>
    <t>Propuestas</t>
  </si>
  <si>
    <t>%</t>
  </si>
  <si>
    <t>ADMISIBILID.</t>
  </si>
  <si>
    <t>PUNTAJE</t>
  </si>
  <si>
    <t>CON RESPECTO A PRESUPUESTO OFICIAL</t>
  </si>
  <si>
    <t>CON RESPECTO A PRECIO DE REFERENCIA ( 1 )</t>
  </si>
  <si>
    <t>CON RESPECTO A PRECIO DE REFERENCIA ( 2 )</t>
  </si>
  <si>
    <t>Porcentaje</t>
  </si>
  <si>
    <t>PROPUESTAS VALIDAS</t>
  </si>
  <si>
    <t>por debajo</t>
  </si>
  <si>
    <t>PRESUPUESTO OFICIAL</t>
  </si>
  <si>
    <r>
      <t>Media Aritmetica =</t>
    </r>
    <r>
      <rPr>
        <b/>
        <sz val="12"/>
        <rFont val="Arial"/>
        <family val="2"/>
      </rPr>
      <t>X</t>
    </r>
    <r>
      <rPr>
        <b/>
        <vertAlign val="subscript"/>
        <sz val="12"/>
        <rFont val="Arial"/>
        <family val="2"/>
      </rPr>
      <t>1</t>
    </r>
  </si>
  <si>
    <r>
      <t>Media Aritmetica =</t>
    </r>
    <r>
      <rPr>
        <b/>
        <sz val="12"/>
        <rFont val="Arial"/>
        <family val="2"/>
      </rPr>
      <t>X</t>
    </r>
    <r>
      <rPr>
        <b/>
        <vertAlign val="subscript"/>
        <sz val="12"/>
        <rFont val="Arial"/>
        <family val="2"/>
      </rPr>
      <t>2</t>
    </r>
  </si>
  <si>
    <r>
      <t xml:space="preserve">Mediana= </t>
    </r>
    <r>
      <rPr>
        <b/>
        <sz val="12"/>
        <rFont val="Arial"/>
        <family val="2"/>
      </rPr>
      <t>Me</t>
    </r>
    <r>
      <rPr>
        <b/>
        <vertAlign val="subscript"/>
        <sz val="12"/>
        <rFont val="Arial"/>
        <family val="2"/>
      </rPr>
      <t>1</t>
    </r>
  </si>
  <si>
    <r>
      <t xml:space="preserve">Mediana= </t>
    </r>
    <r>
      <rPr>
        <b/>
        <sz val="12"/>
        <rFont val="Arial"/>
        <family val="2"/>
      </rPr>
      <t>Me</t>
    </r>
    <r>
      <rPr>
        <b/>
        <vertAlign val="subscript"/>
        <sz val="12"/>
        <rFont val="Arial"/>
        <family val="2"/>
      </rPr>
      <t>2</t>
    </r>
  </si>
  <si>
    <r>
      <t>Desviación estandar =</t>
    </r>
    <r>
      <rPr>
        <b/>
        <sz val="12"/>
        <rFont val="Arial"/>
        <family val="2"/>
      </rPr>
      <t>σ</t>
    </r>
    <r>
      <rPr>
        <b/>
        <vertAlign val="subscript"/>
        <sz val="12"/>
        <rFont val="Arial"/>
        <family val="2"/>
      </rPr>
      <t>1</t>
    </r>
  </si>
  <si>
    <r>
      <t>Desviación estandar =</t>
    </r>
    <r>
      <rPr>
        <b/>
        <sz val="12"/>
        <rFont val="Arial"/>
        <family val="2"/>
      </rPr>
      <t>σ</t>
    </r>
    <r>
      <rPr>
        <b/>
        <vertAlign val="subscript"/>
        <sz val="12"/>
        <rFont val="Arial"/>
        <family val="2"/>
      </rPr>
      <t>2</t>
    </r>
  </si>
  <si>
    <r>
      <t xml:space="preserve">Valor 1 = </t>
    </r>
    <r>
      <rPr>
        <b/>
        <sz val="12"/>
        <rFont val="Arial"/>
        <family val="2"/>
      </rPr>
      <t>0,90*VFr</t>
    </r>
    <r>
      <rPr>
        <b/>
        <vertAlign val="subscript"/>
        <sz val="12"/>
        <rFont val="Arial"/>
        <family val="2"/>
      </rPr>
      <t>2</t>
    </r>
  </si>
  <si>
    <r>
      <t xml:space="preserve">Valor de facturacion de referencia 2 = </t>
    </r>
    <r>
      <rPr>
        <b/>
        <sz val="12"/>
        <rFont val="Arial"/>
        <family val="2"/>
      </rPr>
      <t>VFr</t>
    </r>
    <r>
      <rPr>
        <b/>
        <vertAlign val="subscript"/>
        <sz val="12"/>
        <rFont val="Arial"/>
        <family val="2"/>
      </rPr>
      <t>2</t>
    </r>
  </si>
  <si>
    <r>
      <t xml:space="preserve">Valor de facturacion de referencia1 = </t>
    </r>
    <r>
      <rPr>
        <b/>
        <sz val="12"/>
        <rFont val="Arial"/>
        <family val="2"/>
      </rPr>
      <t>VFr</t>
    </r>
    <r>
      <rPr>
        <b/>
        <vertAlign val="subscript"/>
        <sz val="12"/>
        <rFont val="Arial"/>
        <family val="2"/>
      </rPr>
      <t>1</t>
    </r>
  </si>
  <si>
    <t>VFr1 vs PO</t>
  </si>
  <si>
    <t>VFr2 vs PO</t>
  </si>
  <si>
    <r>
      <t>Limite inferior =</t>
    </r>
    <r>
      <rPr>
        <b/>
        <sz val="12"/>
        <rFont val="Arial"/>
        <family val="2"/>
      </rPr>
      <t>0,90*VFr</t>
    </r>
    <r>
      <rPr>
        <b/>
        <vertAlign val="subscript"/>
        <sz val="12"/>
        <rFont val="Arial"/>
        <family val="2"/>
      </rPr>
      <t>1</t>
    </r>
  </si>
  <si>
    <r>
      <t>Limite superior=</t>
    </r>
    <r>
      <rPr>
        <b/>
        <sz val="12"/>
        <rFont val="Arial"/>
        <family val="2"/>
      </rPr>
      <t>VFr</t>
    </r>
    <r>
      <rPr>
        <b/>
        <vertAlign val="subscript"/>
        <sz val="12"/>
        <rFont val="Arial"/>
        <family val="2"/>
      </rPr>
      <t>1</t>
    </r>
    <r>
      <rPr>
        <b/>
        <sz val="12"/>
        <rFont val="Arial"/>
        <family val="2"/>
      </rPr>
      <t>+3σ</t>
    </r>
    <r>
      <rPr>
        <b/>
        <vertAlign val="subscript"/>
        <sz val="12"/>
        <rFont val="Arial"/>
        <family val="2"/>
      </rPr>
      <t>1</t>
    </r>
  </si>
  <si>
    <r>
      <t>Valor 2 =</t>
    </r>
    <r>
      <rPr>
        <b/>
        <sz val="12"/>
        <rFont val="Arial"/>
        <family val="2"/>
      </rPr>
      <t xml:space="preserve"> VFr2-</t>
    </r>
    <r>
      <rPr>
        <b/>
        <sz val="14"/>
        <rFont val="Arial"/>
        <family val="2"/>
      </rPr>
      <t>σ</t>
    </r>
    <r>
      <rPr>
        <b/>
        <vertAlign val="subscript"/>
        <sz val="12"/>
        <rFont val="Arial"/>
        <family val="2"/>
      </rPr>
      <t>2</t>
    </r>
  </si>
  <si>
    <t>1 MODULO=</t>
  </si>
  <si>
    <t>2 MODULOS=</t>
  </si>
  <si>
    <t>3 MODULOS=</t>
  </si>
  <si>
    <t>4 MODULOS=</t>
  </si>
  <si>
    <t>5 MODULOS=</t>
  </si>
  <si>
    <t>6 MODULOS=</t>
  </si>
  <si>
    <t>CONCURSO DE MÉRITOS ABIERTO</t>
  </si>
  <si>
    <t>7 MODULOS=</t>
  </si>
  <si>
    <t>MODULO No.6</t>
  </si>
  <si>
    <t>MODULO No.7</t>
  </si>
  <si>
    <t>PARTICIPACION</t>
  </si>
  <si>
    <t>I, C, UT</t>
  </si>
  <si>
    <t>% de
participac.</t>
  </si>
  <si>
    <t>terminacion
Contrato</t>
  </si>
  <si>
    <t>No.
RUP</t>
  </si>
  <si>
    <t>SALARIO ACTUAL=</t>
  </si>
  <si>
    <t>PORCENTAJES</t>
  </si>
  <si>
    <t>Fecha un
Contrato</t>
  </si>
  <si>
    <t>FECHA MINIMA</t>
  </si>
  <si>
    <t>FECHA CIERRE</t>
  </si>
  <si>
    <t>Cumplimiento</t>
  </si>
  <si>
    <t xml:space="preserve">Contrato ultimos 5 años </t>
  </si>
  <si>
    <t>Año</t>
  </si>
  <si>
    <t>Salario mínimo diario</t>
  </si>
  <si>
    <t>Salario mínimo mensual</t>
  </si>
  <si>
    <t>SALARIO ACTUAL =</t>
  </si>
  <si>
    <t>No. PROPONENTES</t>
  </si>
  <si>
    <r>
      <t>Limite superior=</t>
    </r>
    <r>
      <rPr>
        <b/>
        <sz val="12"/>
        <rFont val="Arial"/>
        <family val="2"/>
      </rPr>
      <t>VFr</t>
    </r>
    <r>
      <rPr>
        <b/>
        <vertAlign val="subscript"/>
        <sz val="12"/>
        <rFont val="Arial"/>
        <family val="2"/>
      </rPr>
      <t>1</t>
    </r>
    <r>
      <rPr>
        <b/>
        <sz val="12"/>
        <rFont val="Arial"/>
        <family val="2"/>
      </rPr>
      <t>+σ</t>
    </r>
    <r>
      <rPr>
        <b/>
        <vertAlign val="subscript"/>
        <sz val="12"/>
        <rFont val="Arial"/>
        <family val="2"/>
      </rPr>
      <t>1</t>
    </r>
  </si>
  <si>
    <r>
      <t>Valor 1 =</t>
    </r>
    <r>
      <rPr>
        <b/>
        <sz val="10"/>
        <rFont val="Arial"/>
        <family val="2"/>
      </rPr>
      <t xml:space="preserve"> 1,10</t>
    </r>
    <r>
      <rPr>
        <b/>
        <sz val="12"/>
        <rFont val="Arial"/>
        <family val="2"/>
      </rPr>
      <t>*VFr</t>
    </r>
    <r>
      <rPr>
        <b/>
        <vertAlign val="subscript"/>
        <sz val="12"/>
        <rFont val="Arial"/>
        <family val="2"/>
      </rPr>
      <t>2</t>
    </r>
  </si>
  <si>
    <r>
      <t>Valor 2 =</t>
    </r>
    <r>
      <rPr>
        <b/>
        <sz val="12"/>
        <rFont val="Arial"/>
        <family val="2"/>
      </rPr>
      <t xml:space="preserve"> VFr2-0,8*</t>
    </r>
    <r>
      <rPr>
        <b/>
        <sz val="14"/>
        <rFont val="Arial"/>
        <family val="2"/>
      </rPr>
      <t>σ</t>
    </r>
    <r>
      <rPr>
        <b/>
        <vertAlign val="subscript"/>
        <sz val="12"/>
        <rFont val="Arial"/>
        <family val="2"/>
      </rPr>
      <t>2</t>
    </r>
  </si>
  <si>
    <t>VFc =(v1+v2)/2</t>
  </si>
  <si>
    <t>Contrato</t>
  </si>
  <si>
    <t>ejecutado en colombia</t>
  </si>
  <si>
    <t>COLOMBIA</t>
  </si>
  <si>
    <t>CONTRATO ULTIMOS 5 AÑOS</t>
  </si>
  <si>
    <t xml:space="preserve">CONTRATO EJECUTADO </t>
  </si>
  <si>
    <t>EN COLOMBIA</t>
  </si>
  <si>
    <t>ESPAÑA</t>
  </si>
  <si>
    <t xml:space="preserve">OTRA </t>
  </si>
  <si>
    <t>PAISES</t>
  </si>
  <si>
    <t xml:space="preserve">MODULO </t>
  </si>
  <si>
    <t>PENDIENTE</t>
  </si>
  <si>
    <t>ADMISION</t>
  </si>
  <si>
    <t>VALOR CONTRATO EN SMMLV SEGÚN RUP</t>
  </si>
  <si>
    <t xml:space="preserve">OBSERVACIONES </t>
  </si>
  <si>
    <t xml:space="preserve"> A LOS CONTRATOS</t>
  </si>
  <si>
    <t>NÚMERO DE INTEGRANTES</t>
  </si>
  <si>
    <t>NOMBRE O RAZÓN SOCIAL</t>
  </si>
  <si>
    <t>PROPONENTES</t>
  </si>
  <si>
    <t>CUENTA</t>
  </si>
  <si>
    <t>NUMERO</t>
  </si>
  <si>
    <t>NIT</t>
  </si>
  <si>
    <t>Porcentaje de participación para este proceso(%)</t>
  </si>
  <si>
    <t>PROPUESTA No.</t>
  </si>
  <si>
    <t>VERIFICACION DE NOMBRES REPETIDOS</t>
  </si>
  <si>
    <t>Vfrequerido</t>
  </si>
  <si>
    <t>PORCENTAJE</t>
  </si>
  <si>
    <t>PARTICIPAC CONSORCIO</t>
  </si>
  <si>
    <t>1</t>
  </si>
  <si>
    <t>INTEGRANTE</t>
  </si>
  <si>
    <t>PROMEDIO DE FACTURACIÓN PARA CONSORCIO O UNIÓN TEMPORAL</t>
  </si>
  <si>
    <t>PORCENTAJE DE PARTICIPACIÓN</t>
  </si>
  <si>
    <t>VFA TOTAL APORTADO</t>
  </si>
  <si>
    <t>PLAZO TOTAL APORTADO</t>
  </si>
  <si>
    <t>VTE APORTADO POR INTEGRANTE</t>
  </si>
  <si>
    <t>C</t>
  </si>
  <si>
    <t>SI</t>
  </si>
  <si>
    <t>INTEGRANTE LIDER CUMPLE &gt;EXP.</t>
  </si>
  <si>
    <t>CONCURSO DE MERITOS CMA-DO-SRN-100-2019</t>
  </si>
  <si>
    <t>CONSORCIO C &amp; J</t>
  </si>
  <si>
    <t>CONSORCIO RUTA SANTANDER 100</t>
  </si>
  <si>
    <t>CONSORCIO SIETE</t>
  </si>
  <si>
    <t>GIA INGENIERIA S.A.S</t>
  </si>
  <si>
    <t>CONSORCIO JJAB</t>
  </si>
  <si>
    <t>CONSORCIO JC SANTANDER</t>
  </si>
  <si>
    <t>ESTUDIOS TECNICOS Y ASESORIAS S.A</t>
  </si>
  <si>
    <t>CONSULTORIA BOGOTANA SAS</t>
  </si>
  <si>
    <t>RENE ARMANDO MARTINEZ DORADO</t>
  </si>
  <si>
    <t>CONSORCIO ADMON BM 100</t>
  </si>
  <si>
    <t>GNG INGENIERIA S.A.S</t>
  </si>
  <si>
    <t>RAMON IVAN ORDOÑEZ TEJADA</t>
  </si>
  <si>
    <t>CONSORCIO VIAS BICENTENARIO 2.0</t>
  </si>
  <si>
    <t>CONSORCIO INUC</t>
  </si>
  <si>
    <t>CONSORCIO CIVILES 100</t>
  </si>
  <si>
    <t>CONSORCIO ADMON IG 100</t>
  </si>
  <si>
    <t>CONSORCIO VIAL SANTANDER</t>
  </si>
  <si>
    <t>JAMES ALBERTO KAMMERER JIMENEZ</t>
  </si>
  <si>
    <t>CONSORCIO LEOS</t>
  </si>
  <si>
    <t>ut admon vial 2019 santander</t>
  </si>
  <si>
    <t>CONSORCIO ADMINISTRACION OPS</t>
  </si>
  <si>
    <t>CONSORCIO C&amp;C</t>
  </si>
  <si>
    <t>NELSON FREDY ARDILA GELVEZ</t>
  </si>
  <si>
    <t>CONSORCIO TERRA 100</t>
  </si>
  <si>
    <t>CONSORCIO ROCA</t>
  </si>
  <si>
    <t> CONSORCIO INTERADMIVIAL - SANTANDER</t>
  </si>
  <si>
    <t>CONSORCIO CAR-JASB</t>
  </si>
  <si>
    <t>CONSORCIO CJD</t>
  </si>
  <si>
    <t>GUILLERMO ALFONSO MEDINA ACEVEDO</t>
  </si>
  <si>
    <t>CONSORCIO PI</t>
  </si>
  <si>
    <t>CONSORCIO DP-SANTANDER 2019</t>
  </si>
  <si>
    <t>CONSORCIO ADM SANTANDER</t>
  </si>
  <si>
    <t>ARQUITECTURA E INGENIERIA DE CONSULTA S.A.S.</t>
  </si>
  <si>
    <t>CONSTRUCCIONES INTERVENTORIAS ISAZA INGENIERIA SAS</t>
  </si>
  <si>
    <t>CONSORCIO ADMINISTRADOR HS</t>
  </si>
  <si>
    <t>ADMINISTRACIÓN VIAL DE LAS CARRETERAS A CARGO DE LA TERRITORIAL SANTANDER</t>
  </si>
  <si>
    <t>777-2018</t>
  </si>
  <si>
    <t>AMINISTRACION VIAL SANTANDER GRUPO VI</t>
  </si>
  <si>
    <t>CYCOV SAS</t>
  </si>
  <si>
    <t>c</t>
  </si>
  <si>
    <t>JORGE EIVAR TULCAN LOSADA</t>
  </si>
  <si>
    <t>INVIAS</t>
  </si>
  <si>
    <t>674 - 2012</t>
  </si>
  <si>
    <t>INTERVENTORIA PARA EL MEJORAMIENTO Y MANTENIMIENTO DE LA CARRETERA IPIALES - LAS LAJAS, RUTA 25 TRAMO 25NR01, SECTOR PR0+0000 - 5+0870, DEPARTAMENTO DE NARIÑO.</t>
  </si>
  <si>
    <t>1688 - 2008</t>
  </si>
  <si>
    <t>LA ADMINISTRACIÓN DE MANTENIMIENTO VIAL E INTERVENTORÍA TERRITORIAL NARIÑO CÓDIGO 2502 VÍA CHACHAGUI - MOJARRAS PR32 (AEROPUERTO) AL PR124+065 (MOJARRAS) EN UNA LONGITUD TOTAL DE 92.00 KILÓMETROS.</t>
  </si>
  <si>
    <t>3952 - 2013</t>
  </si>
  <si>
    <t>ADMINISTRACIÓN VIAL DE LAS CARRETERAS NACIONALES A CARGO DE LA DIRECCIÓN TERRITORIAL CORDOBA, CÓDIGO 2513 VÍA CAUCASIA – PLANETA RICA – SECTOR CAUCASIA – PLANETA RICA, DEL PR0+0000 AL PR66+0894, CÓDIGO 2514 VÍA PLANETA RICA – SINCELEJO, SECTOR PLANETA RICA – LA YE, DEL PR0+0000 AL PR52+0000, EN UNA LONGITUD DE 119,67 KM. PARA INVERTIR EN EL DEPARTAMENTO DE CÓRDOBA.</t>
  </si>
  <si>
    <t>1124 - 2017</t>
  </si>
  <si>
    <t>LA INTERVENTORIA DEL MEJORAMIENTO Y MANTENIMIENTO DE LA CARRETERA CRUCE DON MATIAS - LOS LLANOS (RUTA 2510) - LOS LLANOS TARAZA (RUTA 2511) Y TARAZA - CAUCASIA (RUTA 2512), EN EL DEPARTAMENTO DE ANTIOQUIA.</t>
  </si>
  <si>
    <t>I</t>
  </si>
  <si>
    <t>OCTAVIO GUILLERMO BENAVIDES BURBANO</t>
  </si>
  <si>
    <t>INEXPOTRANS S.A.S.</t>
  </si>
  <si>
    <t>RAFAEL JAVIER GUISA RUEDA</t>
  </si>
  <si>
    <t>JAIME HERNANDO RINCÓN CHAPARRO</t>
  </si>
  <si>
    <t>GERMAN GERARDO GUIZA ROSERO</t>
  </si>
  <si>
    <t>1449-2017</t>
  </si>
  <si>
    <t>ADMINISTRACIÓN VIAL DE LAS CARRETERAS NACIONALES A CARGO DE LA DIRECCIÓN TERRITORIAL OCAÑA: CODIGO 4514 SAN ALBERTO – LA MATA, SECTOR SAN ALBERTO-LA MATA, PR 00+0000 AL PR99+0923; CODIGO 7007, AGUACLARA-OCAÑA – SECTOR AGUACLARA-OCAÑA PR 0+0000 A PR43+0000; AGUA CLARA - GAMARRA. PR0+000 - PR23+000 (SE EXCLUYE PASO POR EL CASCO URBANO DEL MUNICIPIO DE GAMARRA). AGUACLARA - AGUACHICA (4,00 KM); AGUACHICA - GAMARRA (15 KM), Y GAMARRA - PUERTO CAPULCO (4 KM), EN UNA LONGITUD DE 165,67 KMS,</t>
  </si>
  <si>
    <t>0560-2018</t>
  </si>
  <si>
    <t>ADMINISTRACIÓN VIAL DE LAS CARRETERAS NACIONALES A CARGO DE LA DIRECCIÓN TERRITORIAL TOLIMA CÓDIGO 4510 VIA PUERTO SALGAR-RIO ERMITAÑO, PR34+0060 – PR134+0424, Y VARIANTE PUERTO LIBRE</t>
  </si>
  <si>
    <t>708-2018</t>
  </si>
  <si>
    <t xml:space="preserve">ADMINISTRACIÓN VIAL DE LAS CARRETERAS NACIONALES A CARGO DE LA DIRECCIÓN TERRITORIAL OCAÑA,VIAS CODIGO 4514 SAN ALBERTO – LA MATA, DEL PR0+0000 AL PR99+0923; VIA CODIGO 7007 AGUACLARA – RIO DE ORO DEL PR0+0000 AL PR42+750, Y CARRETERA AGUACLARA – GAMARRA, DEL PR0+0000 AL PR23+000, VARIANTE DE LIBANO, VARIANTE DE MINAS, VARIANTE DE SAN MARTIN, VARIANTE MORRISON, VARIANTE DE JUNCAL, VARIANTE DE AGUACHICA, VARIANTE DE BESOTES, EN UNA LONGITUD DE 195.04KMS </t>
  </si>
  <si>
    <t>1003-2018</t>
  </si>
  <si>
    <t>ADMINISTRACION VIAL TERRITORIAL NARIÑO MODULO 4. CÓDIGO 2501B VÍA CEBADAL - SANDONÁ - PASTO SECTOR SANTA BARBARA - PASTO, PR 60+0000 - PR91+0000 LONGITUD 31,05 KMS. CÓDIGO 2502 VÍA PASTO - MOJARRAS SECTOR ACCESO AEROPUERTO - MOJARRAS, PR36+0000 - PR124+0599 LONGITUD 89,33 KMS. CÓDIGO 25NRD VÍA VARIANTE ORIENTAL DE PASTO SECTOR PR0+0000-PR21+0150, INCLUYE INTERSECCIÓN CATAMBUCO LONGITUD 27,85 KMS. VÍA PAR VIAL ALTO DE DAZA SECTOR PASTO - CANO, PR0+0000-PR6+0000 LONGITUD 6 KMS. CÓDIGO 2502 VÍA PASTO - MOJARRAS SECTOR PASTO-CHACHAGÜÍ PR5+0000-PR36+0000 LONGITUD 33,2 KMS. CÓDIGO 25NR04 VÍA ACCESOS AEROPUERTO SECTOR AEROPUERTO-CANO PR0+0000-PR0+0800 LONGITUD 0,8 KMS. LONGITUD TOTAL: 188,23 KMS”</t>
  </si>
  <si>
    <t>117-2000</t>
  </si>
  <si>
    <t xml:space="preserve">INTERVENTORIA PARA EL MANTENIMIENTO DE LA CARRETERA PLATO-BOSCONIA-VALLEDUPAR, MEDIANTE BOX-COULVERTS PR 16+800, PR 20+600 AL PR 23+0835, PR 64+0830 AL PR 66+0771, PR 76+0050, CUNETAS TRIANGULAR DEL PR 0+380 AL PR 0+0522, CUNETAS TRAPEZOIDAL DEL PR 67+0265 AL PR 68+0425, PARCHEO Y RENIVELACION PR 82+0500 AL PR 84+0000 Y PR 89+0500 AL PR 91+0000 </t>
  </si>
  <si>
    <t>1342-2005</t>
  </si>
  <si>
    <t>Interventoria para la rehabilitacion y conservacion de los puentes San Jose, San Antonio, Minas II, El Tigre, Teolinda, Las Flores, El Jobo y la Fe de  la Carretera  San Roque - La paz (4901).</t>
  </si>
  <si>
    <t>205-2014</t>
  </si>
  <si>
    <t>INTERVENTORIA TECNICA, ADMINISTRATIVA, FINANCIERA Y AMBIENTAL PARA EL MANTENIMIENTO DE VIAS PROGRAMA CAMINOS DE PROSPERIDAD, EN EL DEPARTAMENTO DE MAGDALENA MODULO 8.</t>
  </si>
  <si>
    <t>JJAB S.A.S - ZOMAC</t>
  </si>
  <si>
    <t>JUAN JOSE ARAQUE BLANCO</t>
  </si>
  <si>
    <t>INSTITUTO NACIONAL DE VIAS</t>
  </si>
  <si>
    <t>RPUT  037 DE 2003 Y RPUT-037-2-2-2-2003</t>
  </si>
  <si>
    <t>ADMINISTRACION DEL MANTENIMIENTO VIAL CON EL OBJETO DE ADELANTAR GESTIONES Y ACCIONES  TENDIENTES A LOGRAR EL MEJOTRAMIENTO Y UNA EFECTIVA Y OPORTUNA CONSERVAQCION DE LAS CARRETERAS NACIONALES, SECTORES: SANTA ANA - MOCOA ( PR 50 +0000 AL PR 77 0 1000), CODIGO 4502,MOCOA SAN JUAN DE VILLLOBOS (PR 0+000 AL PR 66 + 0000), CODIGO 4503, VILLAGARZON PUERTO BELLO-SAN JOSE DE FRAGUA ( PR 3 + 0000 AL PR 51+0460) CODIGO 6501 DE LAS CARRETERAS SANTA ANA - MOCOA- PITALITO, VILLAGARZON-SAN JOSE DEL FRAGUA A CARGO DE LA REGIONAL PUTUMAYO EN UNA LONGITUD DE CIENTO CUARENTA Y SEIS KILOMETROS CIENTO OCHENTA METROS (146,18 KM)</t>
  </si>
  <si>
    <t>N° 0941 DE 2015</t>
  </si>
  <si>
    <t>INTERVENTORIA TÉCNICA, ADMINISTRATIVA, FINANCIERA Y AMBIENTAL PARA EL MEJORAMIENTO, MANTENIMIENTO Y CONSERVACIÓN DE VIAS — CAMINOS DE PROSPERIDAD EN EL DEPARTAMENTO DEL VALLE. MODULO 5.</t>
  </si>
  <si>
    <t>CLARA ELENA MORENO ESPAÑA</t>
  </si>
  <si>
    <t>JAIME HERNANDO MORENO ESPAÑA</t>
  </si>
  <si>
    <t>JAHIR HERIBERTO PAZ BURBANO</t>
  </si>
  <si>
    <t>DEPARTAMENTO DE RISARALDA</t>
  </si>
  <si>
    <t>986 DE 2014</t>
  </si>
  <si>
    <t>Interventoria para obras de adecuacion, estabilizacion y drenaje sobre la via cachipay -Balboa - La Celia del departamento de Risaralda</t>
  </si>
  <si>
    <t>4172 DE 2013</t>
  </si>
  <si>
    <t>INTERVENTORÍA TECNICA, ADMINISTRATIVA, FINANCIERA Y AMBIENTAL PARA EL MEJORAMIENTO, MANTENIMIENTO Y CONSERVACION DE VÍAS - CAMINOS DE PROSPERIDAD EN EL DEPARTAMENTO DE ANTIOQUIA, MODULO 2</t>
  </si>
  <si>
    <t>B&amp;C S.A</t>
  </si>
  <si>
    <t>MSING SAS</t>
  </si>
  <si>
    <t>INSTITUTO NACIONAL DE VÍAS -INVIAS</t>
  </si>
  <si>
    <t>2079 de 2008</t>
  </si>
  <si>
    <t>INTERVENTORIA TECNICA, ADMINISTRATIVA Y FINANCIERA DE LOS PROYECTOS DE MEJORAMIENTO DE VÍAS RURALES MUNICIPALES EN EL DEPARTAMENTO DE CUNDINAMARCA GRUPO 39, MUNICIPIOS DE MUNICIPIOS DE SAN JUAN DE RIOSECO Y TOCANCIPA.</t>
  </si>
  <si>
    <t>ALCALDIA MUNICIPAL DE CIENAGA</t>
  </si>
  <si>
    <t>001 de 2013</t>
  </si>
  <si>
    <t>LA INTERVENTORÍA ADMINISTRATIVA, FINANCIERA Y TÉCNICA AL CONTRATO DE OBRAS PUBLICAS CUYO OBJETO ES CONSTRUCCION DE VIA-DIQUE PARA LA PROTECCION CONTRA INUNDACIONES EN EL TRAZADO DE LA VIA CIENAGA - SEVILLANO, EN EL MUNICIPIO DE CIENAGA DPTO DEL MAGDALENA.</t>
  </si>
  <si>
    <t>927-de 2018</t>
  </si>
  <si>
    <t>INTERVENTORIA PARA EL MEJORAMIENTO DE LA CARRETERA  VIA ALTERNA AL PUERTO DE SANTANMARTA, SECTOR MAMATOC TERMINAL MARITTIMO TRAMO (9007A) EN EL DEPARTAMENTO DEL MAGDALENA</t>
  </si>
  <si>
    <t>2419 DE 2007</t>
  </si>
  <si>
    <t>INTERVENTORIA PARA EL MEJORAMIENTO Y MANTENIMIENTO DE LA CARRETERA CHINCHINA- ESTACION URIBE SECTOR PR 42+000-PR 43+300 RUTA 29 TRAMO 2902</t>
  </si>
  <si>
    <t>ASDRUBAL DE JESUS GOMEZ ESPINDOLA</t>
  </si>
  <si>
    <t>JAIRO ORLANDO CASTILLO CARDOZO</t>
  </si>
  <si>
    <t>UCING LIMITADA</t>
  </si>
  <si>
    <t>INGENIERÍA DE ESTUDIOS Y ASESORÍAS S.A.S - INESAS</t>
  </si>
  <si>
    <t>FONADE</t>
  </si>
  <si>
    <t>Interventoría técnica, administrativa y de control presupuestal a los Estudios, Diseños y Construcción de las obras de estabilización, mejoramiento y mantenimiento de la carretera 1002 Junin - Pedregal, Sector PR 95 + 600 a PR 96 + 000, (Paso Nacional por Tuquerres).</t>
  </si>
  <si>
    <t>063</t>
  </si>
  <si>
    <t>GOBERNACIÓN DE CÓRDOBA</t>
  </si>
  <si>
    <t>400 / 2010</t>
  </si>
  <si>
    <t>IInterventoría técnica, Administrativa y Contable para el control y seguimiento a las obras de emergencia en las vías afectadas por la segunda ola invernal de 2008 en el Departamento de Córdoba</t>
  </si>
  <si>
    <t>012</t>
  </si>
  <si>
    <t>GOBERNACION DEL ATLANTICO</t>
  </si>
  <si>
    <t>0108*2014*000190</t>
  </si>
  <si>
    <t>INTERVENTORIA TECNICA, ADMINISTRATIVA  Y AM,BIENTAL  PARA  EL MEJORAMIENTO, PAVIMENTACIÓN VIA SANTA LUCIA - ALGODONAL- CAMPO DE LA CRUZ , SECTRO ALGODONAL - CAMPO DE LA CRUZ, TRAMO DEL K10 +500 AL K11 +665 EN EL DEPARTAMENTO DEL ATLANTICO</t>
  </si>
  <si>
    <t>Contrato No. 2254 de 2008</t>
  </si>
  <si>
    <t>Interventoría técnica, administrativa y financiera de los proyectos de mejoramiento de vías rurales municipales en el Departamento del Atlántico, Municipios de Santa Lucía y Soledad</t>
  </si>
  <si>
    <t>NICOLAS RAFAEL REDONDO MOLINA</t>
  </si>
  <si>
    <t>OSCAR ALBERTO LOPEZ NUÑEZ</t>
  </si>
  <si>
    <t>CONCEP S.A.S</t>
  </si>
  <si>
    <t>CONCEP SAS</t>
  </si>
  <si>
    <t>VICTOR HUGO BRAVO MARTÍNEZ</t>
  </si>
  <si>
    <t>WEG INGENIERÍA SAS</t>
  </si>
  <si>
    <t>GRMM SAS</t>
  </si>
  <si>
    <t>INFRALAR SAS</t>
  </si>
  <si>
    <t>208 DE 2014</t>
  </si>
  <si>
    <t>INTERVENTORÍA TÉCNICA, ADMINISTRATIVA, FINANCIERA Y AMBIENTAL PARA EL MEJORAMIENTO, MANTENIMIENTO Y CONSERVACIÓN DE VÍAS – CAMINOS DE PROSPERIDAD, EN EL DEPARTAMENTO DEL TOLIMA – MODULO 3</t>
  </si>
  <si>
    <t>1391 DE 2013</t>
  </si>
  <si>
    <t>INTERVENTORIA TECNICA, ADMINISTRATIVA, FINANCIERA Y AMBIENTAL PARA LA PAVIMENTACION SELLAMIENTO TRAMO CANAL DEL DIQUE, SECTOR SAN PADERO - SANTA LUCIA DE LA CARRETERA CALAMAR - SANTA LUCIA, DEPARTAMENTO DEL ATLANTICO</t>
  </si>
  <si>
    <t>924-94</t>
  </si>
  <si>
    <t xml:space="preserve">Consultoría, Asesoría e interventoría Técnica y administrativa de las Obras de Rehabilitación de los Sectores Barbosa - Vado Real y Barbosa - Tunja, de la Carretera Tunja - Barbosa - Bucaramanga </t>
  </si>
  <si>
    <t xml:space="preserve">GOBERNACION DE CUNDINAMARCA </t>
  </si>
  <si>
    <t>SOP-V-020-2001</t>
  </si>
  <si>
    <t>Interventoría Técnica y administrativa del Diseño, Construccion, mejoramiento ,mantenimiento y pavimentación de la  via Pacho - La Palma, Municipio de Pacho.</t>
  </si>
  <si>
    <t>1002 de 2016</t>
  </si>
  <si>
    <t xml:space="preserve">Administración vial de las carreteras nacionales a cargo de dirección territorial cundinamarca Grupo 3 ,  via Girardot - Bogotá, en una longitud de 143,09 kms. </t>
  </si>
  <si>
    <t xml:space="preserve"> OSAC SAS</t>
  </si>
  <si>
    <t xml:space="preserve">L E P Ingenieros SAS </t>
  </si>
  <si>
    <t>OSAC SAS</t>
  </si>
  <si>
    <t>LEP INGENIEROS SAS</t>
  </si>
  <si>
    <t>MYRIAM VIVIANA CASTELBLANCO</t>
  </si>
  <si>
    <t>SAE INGENIEROS SAS</t>
  </si>
  <si>
    <t>SIETE S.A.S.</t>
  </si>
  <si>
    <t>O.P.H. INGENIEROS ASOCIADOS
S.A.S.</t>
  </si>
  <si>
    <t>CAG INGENIERIA SAS</t>
  </si>
  <si>
    <t>CONCIAMCO SAS</t>
  </si>
  <si>
    <t>3728 DE 2013</t>
  </si>
  <si>
    <t>INTERVENTORIA TECNICA, ADMINISTRATIVAY AMBIENTAL PARA EL MANTENIMIENTO Y MEJORAMIENTO DE LAS VIAS CALDAS- LA CANO-RAIZAL Y CALDAS LA MIEL, MUNICIPIO DE CALDAS DEPARTAMENTO DE ANTIOQUIA.</t>
  </si>
  <si>
    <t>1552 DE 2014</t>
  </si>
  <si>
    <t>INTERVENTORIA DE LA OBRAS DE MEJORAMIENTO Y MANTENIMIENTODE LA CARRETERA PUERTO NOLASCO-NATAGA RUTA 24 HL 01DEPARTAMENTO DEL HUILA</t>
  </si>
  <si>
    <t>1320 DE 2015</t>
  </si>
  <si>
    <t>INTERVENTORIA DE LAS OBRAS DE MEJORAMIENTO Y MANTENIMIENTO DE LA CARRETERA LETICIA - TARAPACA RUTA 8501 DEPARTAMENTO DE AMAZONAS</t>
  </si>
  <si>
    <t>1280 DEL 2017</t>
  </si>
  <si>
    <t>POLICARPA Y LEIVA PASTO - NARIÑO</t>
  </si>
  <si>
    <t>TERRA INGENIEROS CIVILES LTDA</t>
  </si>
  <si>
    <t>TERRA PROYECTOS SAS</t>
  </si>
  <si>
    <t>GERARDO CORREDOR VILLALBA</t>
  </si>
  <si>
    <t>NOHORA MARIA ROJAS VERA</t>
  </si>
  <si>
    <t>PROYECTOS IAR SAS</t>
  </si>
  <si>
    <t>IAR PROYECTOS SAS</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</si>
  <si>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</si>
  <si>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</si>
  <si>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</si>
  <si>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2313-2009</t>
  </si>
  <si>
    <t>INTERVENTORÍA OBRAS DE EMERGENCIA EN LOS PR51+0000, PR86+0000 PR84+0200, PR53+0900, PR61+0000, PR6+0750 DE LA CARRETERA LA MANSA PRIMAVERA.</t>
  </si>
  <si>
    <t>IDU</t>
  </si>
  <si>
    <t>IDU-UEL-1-039-00-2001</t>
  </si>
  <si>
    <t>INTERVENTORÍA TÉCNICA, ADMINISTRATIVA, FINANCIERA Y AMBIENTAL A PRECIO GLOBAL FIJO PARA LA CONSTRUCCIÓN DE VÍAS EN LA LOCALIDAD DE USAQUÉN EN BOGOTÁ D.C.</t>
  </si>
  <si>
    <t>JORGE ALVARO SANCHEZ</t>
  </si>
  <si>
    <t>CARLOS CAVIEDES</t>
  </si>
  <si>
    <t>JORGE ALVARO SANCHEZ BLANCO</t>
  </si>
  <si>
    <t>CARLOS ERNESTO CAVIEDES BENAVIDES</t>
  </si>
  <si>
    <t>JOSE LUIS VALDERRAMA VELASCO</t>
  </si>
  <si>
    <t>DORA CRISTINA TORRES MAZABEL</t>
  </si>
  <si>
    <t>DANIEL ENRIQUE ORTIZ CASTILLO</t>
  </si>
  <si>
    <t>3333-2008</t>
  </si>
  <si>
    <t>Administración Vial de carreteras nacionales a cargo de la Direccion Territorial Caqueta Orrapihuasi-Florencia, ruta 20, tramo 2003A, sector Depresion el Vergel - Florencia(PR41+0742 - PR83+0537) Y carretera Florencia-Puerto Rico ruta 65, tramo 6503 sector Florencia - Puerto Rico(PR00+0000-PR96+0763), en una longitud de 137,99 kms</t>
  </si>
  <si>
    <t>MUNICIPIO DE TIMANA HUILA</t>
  </si>
  <si>
    <t>22-2001</t>
  </si>
  <si>
    <t>LA INTERVENTORIA DE LA CONSTRUCCION DE PAVIMENTO FLEXIBLE EN EL MUNICIPIO DE TIMANA DENTRO DEL PROYECTO DENOMINADO "MEJORAMIENTO DE INFRAESTRUCTURA VIAL URBANA MUNICIPAL"</t>
  </si>
  <si>
    <t>1365-2016</t>
  </si>
  <si>
    <t>ADMINISTRACIÓN VIAL DE LAS CARRETERAS NACIONALES A CARGO DE LA DIRECCIÓN TERRITORIAL HUILA CÓDIGO 4503 VÍA MOCOA-PITALITO SECTOR GAVIOTAS-TELECOM, PR 131+0680 - PR134+0610 (PASO URBANO POR PITALITO); CODIGO 2002 VIA POPAYÁN - LA PORTADA SECTOR RÍO MAZAMORRAS - ISNOS, PR67+0370 - PR125+0700; CODIGO 4504 VIA PITALITO – GARZÓN SECTOR TELECOM -TERMINAL, PR0+0000 - PR2+0180 (PASO URBANO POR PITALITO); CODIGO 2003 VIA ALTAMIRA - GABINETE - FLORENCIA SECTOR ALTAMIRA - GABINETE, PR0+0000 - PR38+0000; CODIGO 2003A,  VIA ORRAPIHUASSI - DEPRESIÓN EL VERGEL SECTOR ORRAPIHUASSI - DEPRESIÓN EL VERGEL, PR0+0000 - PR41+0742; CODIGO 4504 VIA PITALITO – GARZÓN SECTOR PASO URBANO POR GARZÓN, PR70+0165 - PR71+0697; CODIGO 4505 VIA GARZÓN - RÍO LORO – NEIVA SECTOR PASO URBANO POR GARZÓN, PR 0+0000  - PR1+1030, EN UNA LONGITUD DE 145.50 KM PARA INVERTIR EN EL DEPARTAMENTO DE HUILA</t>
  </si>
  <si>
    <t>1366-2016</t>
  </si>
  <si>
    <t>ADMINISTRACIÓN VIAL DE LAS CARRETERAS NACIONALES A CARGO DE LA DIRECCIÓN TERRITORIAL HUILA CÓDIGO 2402 VIA CANDELARIA-LABERINTO SECTOR CANDELARIA - LABERINTO, PR0+0000 - PR100+0368; CODIGO 3701 VIA GARZÓN-LA PLATA-GUADUALEJO SECTOR LA PLATA - VALENCIA, PR55+0352 - PR77+0000; CODIGO 24HL01 VIA PUERTO NOLASCO -NÁTAGA SECTOR PUERTO NOLASCO -NÁTAGA, PR 0+0000 - PR 12+0000; CODIGO 24HL02 VIA ACCESO A ITAIBE SECTOR ACCESO A ITAIBE (CRUCE RUTA 24 -ITAIBE), PR0+0000 - PR 5+0000; CODIGO 4301 VIA CRUCE TESALIA - TERUEL – PALERMO SECTOR CRUCE TESALIA - TERUEL,  PR0+0000 - PR49+0500; CODIGO 24HL03 VIA CRUCE RUTA 24- TESALIA SECTOR CRUCE RUTA 24 - TESALIA, PR 0+0000 - PR 3+0100, EN UNA LONGITUD DE 192.54 KM PARA INVERTIR EN EL DEPARTAMENTO DE HUILA</t>
  </si>
  <si>
    <t>JOSE LUIS VALDERRAMA</t>
  </si>
  <si>
    <t>INSTITUTO NACIONAL DE VIAS - INVIAS</t>
  </si>
  <si>
    <t>3903 DE 2013</t>
  </si>
  <si>
    <t>INTERVENTORIA PARA LA CONSTRUCCIÓN DEL PUENTE EL PIÑAL EN LA CARRETERA BUENAVENTURA-CRUCE RUTA 25 (BUGA) RUTA 4001. DEPARTAMENTO DEL VALLE</t>
  </si>
  <si>
    <t>4047 DE 2013</t>
  </si>
  <si>
    <t>INTEVENTORIA PARA LA CONSTRUCCION DEL PUENTE PASO DEL COLEGIO EN LA CARRETERA LA PLATA, LABERINTO, RUTA 2402 DEPARTAMENTO DEL HUILA.</t>
  </si>
  <si>
    <t>PI SAS - PROYECTOS DE INGENIERIA SAS</t>
  </si>
  <si>
    <t>PI S.A.S. LABORATORIO DE INGENIERIA S.A.S.</t>
  </si>
  <si>
    <t>BATEMAN INGENIERIA S.A.S</t>
  </si>
  <si>
    <t>INFRACOL INGENIERIA S.A.S</t>
  </si>
  <si>
    <t>CONSULTORIA Y CONSTRUCCIONES DARLEV S.A.S.</t>
  </si>
  <si>
    <t>SAMUEL IGNACIO PUERTO GIL</t>
  </si>
  <si>
    <t>URRA</t>
  </si>
  <si>
    <t>240-99</t>
  </si>
  <si>
    <t>INTERVENTORIA TECNICA, ADMINISTRATIVA, CONTABLE Y AMBIENTAL REQUERIDA PARA REHABILITACION DE LA VIA KM 15 - TIERRALTA, EN EL MUNICIPIO DE TIERRALTA, DEPARTAMENTO DE CORDOBA</t>
  </si>
  <si>
    <t>MUNICIPIO DE SAN ANTERO</t>
  </si>
  <si>
    <t>057 DE 1999</t>
  </si>
  <si>
    <t>GERENCIA E INTERVENTORIA PARA LAS OBRAS DE PAVIMENTACION DE LA VIA SAN ANTERO A LOS CASERIOS DE PLAYA BLANCA Y CISPATA</t>
  </si>
  <si>
    <t>UT</t>
  </si>
  <si>
    <t>GOBERNACION DE BOLIVAR</t>
  </si>
  <si>
    <t>SI-I-2311-2014</t>
  </si>
  <si>
    <t>INTERVENTORIA TECNICA, ADMINISTRATIVA Y FINANCIERA A CONSTRUCCIÓN DE 3.63 KM DE PAVIMENTO RIGIDO EN LAS CABECERAS MUNICIPALES DE CANTAGALLO (BARRIOS  23 DE ENERO Y SAN MARTÍN, 1.93 KM) Y MORALES (BARRIOS PARAISO Y BASTIDAS, 1.7 KM) EN EL DEPARTAMENTO DE BOLIVAR.</t>
  </si>
  <si>
    <t>ALCALDIA DE RIONEGRO</t>
  </si>
  <si>
    <t>563 DE 2015</t>
  </si>
  <si>
    <t>INTERVENTORIA LEGAL, TECNICA, ADMINISTRATIVA, FINANCIERA Y AMBIENTAL PARA LA PAVIMENTACIÓN DEL GRUPO IV SECTOR SUR - OCCIDENTAL, VEREDAS BARRIO BLANCO-SANTA TERESA; ZONA RURAL DEL MUNICIPIO DE RIONEGRO ANTIOQUIA.</t>
  </si>
  <si>
    <t>MIGUEL ALEJANDRO JIMENEZ DÍAZ</t>
  </si>
  <si>
    <t>CONSTRUDET Y COMPAÑÍA LTDA</t>
  </si>
  <si>
    <t>MIGUEL ALEJANDRO JIMENEZ DIAZ</t>
  </si>
  <si>
    <t>GOBERNACIÓN DE ANTIOQUIA</t>
  </si>
  <si>
    <t>460005566 de 2016</t>
  </si>
  <si>
    <t>INTERVENTORÍA TÉCNICA, ADMINISTRATIVA, AMBIENTAL, FINANCIERA Y LEGAL PARA EL MEJORAMIENTO, REHABILITACIÓN Y MANTENIMIENTO DE LAS VÍAS DE LAS SUBREGIONES DE NORDESTE Y MAGDALENA MEDIO DEL DEPARTAMENTO DE ANTIOQUIA</t>
  </si>
  <si>
    <t>0735 DE 2001</t>
  </si>
  <si>
    <t>INTERVENTORIA PARA EL MANTENIMIENTO DE LA CARRETERA GUATEQUE - LAS JUNTAS - EL SECRETO RUTA 56 TRAMO 5608</t>
  </si>
  <si>
    <t>MUNICIPIO DE MEDELLÍN</t>
  </si>
  <si>
    <t>4600053811 de 2014</t>
  </si>
  <si>
    <t>Interventoría  para la Construcción de Obras de Mejoramiento Vial en Diferentes Sitios de la Zona Rural del Municipio de Medellín (Programa de Planeación Local y Presupuesto Participativo 2012-2013)</t>
  </si>
  <si>
    <t>HACE INGENIEROS SAS</t>
  </si>
  <si>
    <t>SANDRA VIVIANA FRANCO FERRO</t>
  </si>
  <si>
    <t>095 DE 2003</t>
  </si>
  <si>
    <t>CONTINUACIÓN INTERVENTORÍA TÉCNICA, ADMINISTRATIVA, FINANCIERA Y AMBIENTAL PARA LA TERMINACIÓN DE LA AVDA. JOSÉ C. MUTIS DESDE LA AVDA. CIUDAD DE CALI  HASTA LA CRA 119, EN BOGOTÁ D.C.</t>
  </si>
  <si>
    <t>MUNICIPIO DE RISARALDA</t>
  </si>
  <si>
    <t>002 DE 2013</t>
  </si>
  <si>
    <t>INTERVENTORÍA TÉCNICA, ADMINISTRATIVA Y FINANCIERA AL CONTRATO DE OBRA PÚBLICA 008 DE 2013 QUE TIENE POR OBJETO: LA REHABILITACIÓN DE 1730 M2 DE CALLE CANAL CON ANDEN EN CONCRETO A AMBOS LADOS Y REHABILITACIÓN DE IMBORNALES COLECTORES CON EL FIN DE CONTROLAR LAS AGUAS LLUVIAS DE MUNICIPIO DE RISARALDA CALDAS</t>
  </si>
  <si>
    <t>MUNICIPIO DE ARANZAZU</t>
  </si>
  <si>
    <t>001-2015</t>
  </si>
  <si>
    <t>“INTERVENTORÍA TÉCNICA Y ADMINISTRATIVA PARA LA CONSTRUCCIÓN DE PAVIMENTOS EN EL MUNICIPIO DE ARANZAZU – CALDAS</t>
  </si>
  <si>
    <t>HACE INGENIEROS S.A.S</t>
  </si>
  <si>
    <t>SANDRA VIVIANA FRANCO</t>
  </si>
  <si>
    <t>NO</t>
  </si>
  <si>
    <t>MUNICIPIO DE FLORIDABLANCA</t>
  </si>
  <si>
    <t>MUNICIPIO DE ANCUYA</t>
  </si>
  <si>
    <t>MUNICIPIO DE CUASPUD CARLOSAMA</t>
  </si>
  <si>
    <t>1227 DE 2009</t>
  </si>
  <si>
    <t>FLO-CM-SINF-002-2013</t>
  </si>
  <si>
    <t>266-2015</t>
  </si>
  <si>
    <t>CM-01-2015</t>
  </si>
  <si>
    <t>INTERVENTORÍA DE LAS OBRAS DE MEJORAMIENTO Y MANTENIMIENTO DEL SECTOR PUENTE CAQUETA – SAN JUAN DE VILLALOBOS PR 20 – PR 66 DE LA CARRETERA MOCOA – PITALITO RUTA 4503 DIRECCIÓN TERRITORIAL PUTUMAYO.”</t>
  </si>
  <si>
    <t>”INTERVENTORIA TECNICA, ADMINISTRATIVA, FINANCIERA Y AMBIENTAL AL DISEÑO, CONSTRUCCIÓN, REHABILITACIÓN Y MANTENIMIENTO DE EJES VIALES: PARALELAS AUTOPISTA A BUCARAMANGA, LAGOS CALLE 30, VERSALLES, MOLINOS BAJOS-VILLABEL, ACCESO SUR CAÑAVERAL Y TRANSVERSAL ORIENTAL DEL MUNICIPIO DE FLORIDABLANCA.”</t>
  </si>
  <si>
    <t>CONTRATAR LA INTERVENTORIA TECNICA, LEGAL Y FINANCIERA PARA EL CONTRATO DE INTERVENTORIA DE MEJORAMIENTO Y CONSTRUCCIÓN PASO URBANO SANDONÁ ANCUYA - LINARES, DEPARTAMENTO DE NARIÑO</t>
  </si>
  <si>
    <t>CONTRATAR LA INTERVENTORIA TECNICA, LEGAL Y FINANCIERA DEL CONTRATO DE OBRA "MEJORAMIENTO DE LA VIA DEL CORDON FRONTERIZO COMPRENDIDO MUNICIPIO DE CUASPUD - CARLOSAMA Y EL PUENTE RIIO BLANCO MUNICIPIO DE IPIALES DEPARTAMENTO DE NARIÑO"</t>
  </si>
  <si>
    <t xml:space="preserve">INVIAS </t>
  </si>
  <si>
    <t>AEROCIVIL</t>
  </si>
  <si>
    <t>0600-2001</t>
  </si>
  <si>
    <t>1600558-H3-2016</t>
  </si>
  <si>
    <t>INTERVENTORIA DE LAS OBRAS DE EMERGENCIA Y REVISION ESTRUCTURAL DEL PUENTE LISGUARIA</t>
  </si>
  <si>
    <t>CONTRATAR LA INTERVENTORIA TECNICA, ADMINSITRATIVA DE LOS ESTUDIOS Y DISEÑOS Y OBRAS PARA EL MANTENIMIENTO DE LA PLATAFORMA, CALLE DE RODAJE, BERMAS DE PISTA DE AEROPUERTO</t>
  </si>
  <si>
    <t>1587 - 2016</t>
  </si>
  <si>
    <t>182 2013</t>
  </si>
  <si>
    <t>INTERVENTORIA PARA EL MEJORAMIENTO Y REHABIITACION DE LAS CARRETERAS COVEÑAS - SABANETA (RUTA 90SC02) EN EL DEPARTAMENTO DE SUCRE Y SABANETA - MOMIL EN EL DEPARTAMENTO DE CORDOBA</t>
  </si>
  <si>
    <t>INTERVENTORÍA TÉCNICA, ADMINISTRATIVA, FINANCIERA Y AMBIENTAL PARA EL MEJORAMIENTO Y MANTENIMIENTO Y CONSERVACIÓN DE VÍAS CAMINOS DE PROSPERIDAD EN EL DEPARTAMENTO DE SUCRE MÓDULO 10</t>
  </si>
  <si>
    <t>GOBERNACION DE CASANARE</t>
  </si>
  <si>
    <t>2113 DE 2004</t>
  </si>
  <si>
    <t>1457-2014</t>
  </si>
  <si>
    <t>1812-05</t>
  </si>
  <si>
    <t>1922/2014</t>
  </si>
  <si>
    <t>INTERVENTORIA TECNICA, ADMINISTRATIVA, FINANCIERA Y AMBIENTAL PARA EL ESTUDIO Y DISEÑO Y CONSTRUCCION DE UN PUENTE VEHICULAR</t>
  </si>
  <si>
    <t>INTERVENTORIA PARA ATENCION DE OBRAS DE EMERGENCIA EN LA CARRETERA MOCOA- PITALITO</t>
  </si>
  <si>
    <t>INTERVENTORIA TECNICA, ADMINISTRATIVA, FINANCIERA Y AMBIENTAL PARA EL MEJORAMIENTO DE LA RED TERCIARIA NACIONAL DEL DEPARTAMENTO DE CALDAS</t>
  </si>
  <si>
    <t>NTERVENTORIA TECNICA, ADMINISTRATIVA, FINANCIERA Y AMBIENTAL PARA LA ADECUACION, MEJORMAINETO, PAVIMENTACION DE NUEVAS VIAS EN EL CASCO URBANO</t>
  </si>
  <si>
    <t>626-2010</t>
  </si>
  <si>
    <t>572-2017</t>
  </si>
  <si>
    <t>1153-2018</t>
  </si>
  <si>
    <t>INTERVENTORIA PARA EL MANTENIMIENTO CARRETERA
PRESIDENTE-PAMPLONA, SECTOR PR3+0340 AL
PR6+0700, RUTA 55 TRAMO 5505</t>
  </si>
  <si>
    <t>INTERVENTORIA PARA EL MEJORAMIENTO Y
MANTENIMIENTO DE LA CARRETERA PUENTE AURRASANTAFE
DE ANTIOQUIA, RUTA 6204, EN EL
DEPARTAMENTO DE ANTIOQUIA, MODULO 2</t>
  </si>
  <si>
    <t>INTERVENTORÍA PARA EL MEJORAMIENTO Y
MANTENIMIENTO DE LA CARRETERA HOBO YAGUARÁ
SECTOR HOBO LETRÁN. RUTA 45HL01 ENTRE LOS
PR1+0350 Y PR23+0150 SELECCIÓN ABREVIADA.</t>
  </si>
  <si>
    <t>INTERVENTORIA DEL MEJORAMIENTO EN CONCRETO
ASFALTICO DE LA VIA ORRAPIHUASSI - CRUCE
MUNICIPIO DE ACEVEDO, PR 0+0000 AL PR 20+0400,
DEPARTAMENTO DEL HUILA, MINIMA CUANTIA</t>
  </si>
  <si>
    <t>1468-2012</t>
  </si>
  <si>
    <t>811-2017</t>
  </si>
  <si>
    <t>1056-2013</t>
  </si>
  <si>
    <t>INTERVENTORIA PARA EL MEJROAMIENTO Y MANTENIMIENTO DE LA CARRETERA YE DE ARJONA</t>
  </si>
  <si>
    <t xml:space="preserve">INTERVENTORIA TECNICA,ADMINSITRATIVA FINANCIERA Y AMBIENTAL PARA EL MANTENIMIENTO VIAS CAMINOS LA PROSPERIDAD </t>
  </si>
  <si>
    <t>INTERVENTORIA TECNICA, ADMINISTTRATIVA PARA LA CONSTRUCCION DE PAVIMENTO EN COCNRETO RIGIDO</t>
  </si>
  <si>
    <t>DEPARTAMENTO DEL CESAR</t>
  </si>
  <si>
    <t>Gobernación de Santander</t>
  </si>
  <si>
    <t>RB -059 - de 1999</t>
  </si>
  <si>
    <t>4600004528</t>
  </si>
  <si>
    <t>543 de 2001</t>
  </si>
  <si>
    <t>Interventoria, para la Rehabilitacion y Mantenimiento de la Carretera Briceño - Choconta - Tunja - Duitama.</t>
  </si>
  <si>
    <t>Interventoria para la atención de la emergencia vía Socorro - Simacota (muro en gavión K3+400 y K4+900)</t>
  </si>
  <si>
    <t>Ejercer la Interventoria Tecnica Administrativa Financiera y Ambiental para el Mantenimiento de la Via Usme</t>
  </si>
  <si>
    <t>Instituto
Nacional de
Vías</t>
  </si>
  <si>
    <t>707-
2017</t>
  </si>
  <si>
    <t>912-12</t>
  </si>
  <si>
    <t>INTERVENTORÍA PARA EL MEJORAMIENTO Y MANTENIMIENTO
DE LA CARRETERA ARMENIA - LA LINEA - CAJAMARCA. RUTA
40 . TRAMO 4003 PR 00+0000 -PR49+0800 EN LOS
DEPARTAMENTOS DE QUINDIO Y TOLIMA</t>
  </si>
  <si>
    <t>INTERVENTORIA MEJORAMIENTO Y MANTENIMIENTO DE LA
CARRETERA CAUYA - LA PINTADA, RUTA 2508, SECTORES
ENTRE EL PR PR0+000 A PR108+1445, DEPARTAMENTO DE
CALDAS Y ANTIOQUIA.</t>
  </si>
  <si>
    <t>INTITUTO NACIONAL
DE VIAS</t>
  </si>
  <si>
    <t>GOBERNACION DE
RISARALDA</t>
  </si>
  <si>
    <t>834 DE
2012OPH</t>
  </si>
  <si>
    <t>1270 DE 2016</t>
  </si>
  <si>
    <t>INTERVENTORÍA PARA EL MEJORAMIENTO Y MANTENIMIENTO DE LA CARRETERA CAUCASIA - PLANETA RICA (RUTA 2513) - LA YE
(RUTA 2514), EN EL DEPARTAMENTO DE CÓRDOBA. MÓDULO 1</t>
  </si>
  <si>
    <t>INTERVENTORIA PARA LA OBRA DE MEJORAMIENTO Y/O REHABILITACION DE LA VIA REMOLINOS - BELEN DE UMBRIA DESDE K0+000
- K14 + 000 DEPARTAMENTO DE RISARALDA</t>
  </si>
  <si>
    <t>147 DE 2014</t>
  </si>
  <si>
    <t>1566 DE 2016</t>
  </si>
  <si>
    <t>2014INTERVENTORIATECNICA,ADMINISTRATIVA,FINANCIERAYAMBIENTALPARAMANTENIMIENTODEVIASPROGRAMASCAMINOSDEPROSPERIDADENELDEPARTAMENTODEMETAYGUAVIAREMODULO 1C95</t>
  </si>
  <si>
    <t>ADMINISTRACIONVIALACARGODELATERRITORIALVALLE</t>
  </si>
  <si>
    <t>1094 de
2017</t>
  </si>
  <si>
    <t>255 de 1998</t>
  </si>
  <si>
    <t>INTERVENTORIA TÉCNICA, ADMINISTRATIVA,
FINANCIERA Y AMBIENTAL PARA LAS OBRAS
DERIVADAS DEL CONVENIO SUSCRITO POR LA
AGENCIA DE RENOVACIÓN DEL TERRITORIO
PARA IMPLEMENTAR EL PROYECTO DE RED
VÍAS TERCIARIAS PARA EL POSTCONFLICTO
EN EL MUNICIPIO DE BRICEÑO,
DEPARTAMENTO DE ANTIOQUIA</t>
  </si>
  <si>
    <t>INTERVENTORIA MEJORAMIENTO VIAS
LOCALIDADES CIUDAD BOLIVAR, SAN
CRISTOBAL, RAFAEL URIBE Y SUMAPAZ</t>
  </si>
  <si>
    <t>GOBERNACION DEL HUILA</t>
  </si>
  <si>
    <t>744/2013</t>
  </si>
  <si>
    <t>361/2010</t>
  </si>
  <si>
    <t>1299/2006</t>
  </si>
  <si>
    <t>2029/2016</t>
  </si>
  <si>
    <t>INTERVENTORIA TECNICA, ADMINSITRATIVA, CONTABLE, FINANCIERA , JURIDICA Y AMBIENTAL A LA CONSTRUCCIOND E PAVIMENTO FLEXIBLE DE LA VIA LA ARGENTINA- GALLEGO MITOS</t>
  </si>
  <si>
    <t>INTERVENTORIA TECNICA DE LOS ESTUDIOS Y DISEÑOS Y CONSTRUCCIONN DE 3 KM DE VIA EN PAVIMENTO FLEXIBLE DE LA VIA PALERMO-OSPINA</t>
  </si>
  <si>
    <t>INTERVENTORIA PARA EL MANTENIMIENTO DE LA CARRETERA PASTO- EL ECANO RUTA 2003</t>
  </si>
  <si>
    <t>ADMINISTRACION VIAL DE LASCARRTERAS NACIONALES  TERRITORIAL CAUCA.</t>
  </si>
  <si>
    <t>INSTITUTO NACIONAL
DE VIAS</t>
  </si>
  <si>
    <t>1543 DE
2012</t>
  </si>
  <si>
    <t>2088 DE
2011</t>
  </si>
  <si>
    <t>1696 DE
2014</t>
  </si>
  <si>
    <t>INTERVENTORIA PARA EL MANTENIMIENTO DE LA CARRETERA BOGOTÁ –
UBATE RUTA 45A 04, SECTOR ZIPAQUIRA – UBATE, PR26+000 AL
PR67+1134, DEPARTAMENTO DE CUNDINAMARCA</t>
  </si>
  <si>
    <t>INTERVENTORIA PARA EL MEJORAMIENTO Y MANTENIMIENTO DE LA
CARRETERA VALLEDUPAR - LA PAZ PR0+0000 - PR5+0100 Y PR12+0080 -
PR13+0486 DEPARTAMENTO DEL CESAR</t>
  </si>
  <si>
    <t>INTERVENTORIA DE LAS OBRAS DE MEJORAMIENTO Y MANTENIMIENTO
DE LA CARRETERA VALLEDUPAR - RIO SECO - SAN JUAN DEL CESAR,
SECTOR PR0+000 AL PR38+000 RUTA 8004A DEPARTAMENTO DEL CESAR</t>
  </si>
  <si>
    <t>030-96</t>
  </si>
  <si>
    <t>RSAN-851-
2005 RSAN-
851-1-2005</t>
  </si>
  <si>
    <t>738-2018</t>
  </si>
  <si>
    <t>Adelantar gestiones y acciones tendientes a
lograr un efectivo y oportuno mantenimiento
de las carreteras nacionales, así como la
dirección, coordinación, programación y
control del mantenimiento rutinario de los
sectores Bucaramanga - Rio Sogamoso, Anillo
Vial - Floridablanca - Palenque, Bucaramanga -
Cuestaboba a cargo de cuatro (4)
microempresaso grupos cooperativos
denominadas Nuevo Sol Ltda. Nuevo Porvenir
Ltda., Cocagir y el Picacho, en una longitud de
129 Kilometros.</t>
  </si>
  <si>
    <t>La administración de mantenimiento viale
interventoria de las carreteras nacionales a
cargo de la Territorial Santander Ruta 6206
Puerto Olaya - Cruce ruta 45, sector Puerto
Berrio - Cruce Ruta 45 PR 97+1261 - PR 114,
ruta 4511 Rio Ermitaño - La Lizama, sector Rio
Ermitaño - Cruce via Cimitarra PR 0- PR
64;Ruta 6207, 6208 y 62STA Transverdal del
Carare incluye variante Barbosa, sector
Transversal del carare incluye variante</t>
  </si>
  <si>
    <t>ADMINISTRACION VIAL DE LAS CARETERAS
A CARGO DEL INVIAS, DIRECCION
TERRITORIAL BOLIVAR VIA 7803 SECTOR LA
BODEGA - MOMPOS ´PR0+0000 - PR38+0000 Y
TALAIGUA PTE TALAIGUA DEL PR0+0000 AL
PR4+0450 Y VIA 7804 MOMPOZ GUAMAL
PR0+0000 - PR33+0900"</t>
  </si>
  <si>
    <t>INSTITUTO
NACIONAL DE
VIAS - INVIAS</t>
  </si>
  <si>
    <t>VIAS - INVIAS</t>
  </si>
  <si>
    <t>GOBERNACION
DEL ANTIOQUIA</t>
  </si>
  <si>
    <t>DEPARTAMENTO
DE HUILA</t>
  </si>
  <si>
    <t>OJ-179-2000</t>
  </si>
  <si>
    <t>2428-2008</t>
  </si>
  <si>
    <t>2015-SS-20-
2007</t>
  </si>
  <si>
    <t>618-2002</t>
  </si>
  <si>
    <t>INTERVENTORIA PARA EL MANTENIMIENTO DE LA CARRETERA
FRESNO - MARIQUITA EN LOS SECTORES PR 11+940 Y PR12+700</t>
  </si>
  <si>
    <t>INTERVENTORIA TECNICA , ADMINISTRATIVA FINANCIERA
,AMBIENTAL Y LEGAL PARA EL MANTENIMIENTO RUTINARIO DE LA
CONEXIÓN VIAL GUILLERMO GAVIRIA CORREA DESDE EL SECTOR
LEONCITO HASTA EL PR 39+600(RIO AURRA) Y LA ANTIGUA VIA
SANTA FE DE ANTIOQUIA MEDELLIN DESDE EL PR 16+000 (RIO
URRA ) HASTA EL PR 71+000 ( SAN CRISTOBAL ) Y LABORES D E
LIMPIEZA Y COMPLEMENTARIAS EN EL TUNEL FERNANDO GOMEZ
MARTINEZ</t>
  </si>
  <si>
    <t>LA INTERVENTORÍA TECNICA Y ADMINISTRATIVA PARA LA
CONSTRUCCIÓN DEL PUENTE EN VOLADIZOS SUCESIVOS “EL
JUNCAL” DE LA INTERCONEXIÓN VIAL RUTA 45 CON LA VÍA JUNCAL –
NEIVA, SECCION 10.90M/ANDEN DE 1.00M/BORDILLO DE 0.35/CARRIL
DE 3.65M/ BERNA DE 1.15 LONGITUD 215M</t>
  </si>
  <si>
    <t>828 DE 2018</t>
  </si>
  <si>
    <t>2702 DE 2007</t>
  </si>
  <si>
    <t>ADMINISTRACION VIAL DE LAS CARRETERAS NACIONALES A CARGO DE LA
DIRECCION TERRITORIAL CUNDINAMARCA, VIA BOGOTA - UBATE,
CODIGO45ACNB SECTOR VARIANTE PORTACHUELO PR3+0600-PR5+0160,
CODIGO 45ACND SECTOR VARIANTE PORTACHUELO - CASABLANCA PR0+0250
-PR7+0000 Y CODIGO 45A04 SECTOR ZIPAQUIRA - UBATE PR28+0200-PR67+1134.</t>
  </si>
  <si>
    <t>INTERVENTORIA DEL MEJORAMIENTO Y MANTENIMIENTO DE A
CARRETERA SANTO DOMINGO - PERLAS III - MINA BLANCA.
RUTA 30 TRAMO 3002,</t>
  </si>
  <si>
    <t>2294-2007</t>
  </si>
  <si>
    <t>R-VAL-028-2003
Y R-VAL-028-
2003-1</t>
  </si>
  <si>
    <t>INTERVENTORÍA DEL MEJORAMIENTO Y MANTENIMIENTO DEL TRAMO
PR8+000 AL PR10+500 DE LA CARRETERA NEIVA – PLATANILLAL –
BALSILLAS, RUTA 30 TRAMO 3001.</t>
  </si>
  <si>
    <t>INTERVENTORIA TÉCNICA Y ADMINISTRATIVA PARA LA CONSTRUCCIÓN
Y PAVIMENTACIÓN DEL RETORNO AL HOSPITAL DE LA VÍA ALTERNA
INTERNA A BUENAVENTURA DE LA CARRETERA BUENAVENTURA - BUGA</t>
  </si>
  <si>
    <t>VF REQUERIDO</t>
  </si>
  <si>
    <t>PO (SMMLV)</t>
  </si>
  <si>
    <t xml:space="preserve">VINCULACION DE </t>
  </si>
  <si>
    <t>INDUSTRIA NACIONAL</t>
  </si>
  <si>
    <t>APOYO A LA</t>
  </si>
  <si>
    <t>PERSONAL CON DISCAP.PLANT.</t>
  </si>
  <si>
    <t>APOYO A LA INDUSTRIA NAL.</t>
  </si>
  <si>
    <t>VINCULACION DE DISCAPACITADOS EN LA PLANTA</t>
  </si>
  <si>
    <t xml:space="preserve">VINCULACION DE DISCAPACITADOS EN LA PLANTA </t>
  </si>
  <si>
    <t>si</t>
  </si>
  <si>
    <t>no</t>
  </si>
  <si>
    <t>NO CUMPLE</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</si>
</sst>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_-* #,##0.00\ _P_t_s_-;\-* #,##0.00\ _P_t_s_-;_-* &quot;-&quot;??\ _P_t_s_-;_-@_-"/>
    <numFmt numFmtId="166" formatCode="&quot;NN&quot;\ 0"/>
    <numFmt numFmtId="167" formatCode="mmmm\ d\,\ yyyy"/>
    <numFmt numFmtId="168" formatCode="#,##0.000"/>
    <numFmt numFmtId="169" formatCode="&quot;$&quot;\ #,##0.00"/>
    <numFmt numFmtId="170" formatCode="&quot;TOT.MOD=&quot;\ 0"/>
    <numFmt numFmtId="171" formatCode="#,##0.0"/>
    <numFmt numFmtId="172" formatCode="_(* #,##0.00_);_(* \(#,##0.00\);_(* &quot;-&quot;??_);_(@_)"/>
    <numFmt numFmtId="173" formatCode="#,##0.00000000000"/>
    <numFmt numFmtId="174" formatCode="0.0%"/>
    <numFmt numFmtId="175" formatCode="&quot;MODULO No.&quot;\ 0"/>
    <numFmt numFmtId="176" formatCode="#,##0.000_ ;\-#,##0.000\ "/>
    <numFmt numFmtId="177" formatCode="yyyy\-mm\-dd;@"/>
    <numFmt numFmtId="178" formatCode="d\-mmm\-yyyy;@"/>
    <numFmt numFmtId="179" formatCode="d\-mm\-yyyy"/>
    <numFmt numFmtId="180" formatCode="[$$]\ #,##0.00;\-[$$]\ #,##0.00"/>
    <numFmt numFmtId="181" formatCode="#,##0.0000"/>
    <numFmt numFmtId="182" formatCode="0.000"/>
  </numFmts>
  <fonts count="86">
    <font>
      <sz val="10"/>
      <name val="Arial"/>
    </font>
    <font>
      <sz val="11"/>
      <color theme="1"/>
      <name val="Calibri"/>
      <family val="2"/>
      <scheme val="minor"/>
    </font>
    <font>
      <sz val="12"/>
      <color theme="1"/>
      <name val="Calibri"/>
      <family val="2"/>
      <scheme val="minor"/>
    </font>
    <font>
      <b/>
      <sz val="10"/>
      <name val="Arial"/>
      <family val="2"/>
    </font>
    <font>
      <sz val="10"/>
      <name val="Arial"/>
      <family val="2"/>
    </font>
    <font>
      <sz val="8"/>
      <name val="Arial"/>
      <family val="2"/>
    </font>
    <font>
      <b/>
      <sz val="14"/>
      <name val="Arial"/>
      <family val="2"/>
    </font>
    <font>
      <b/>
      <sz val="12"/>
      <name val="Arial"/>
      <family val="2"/>
    </font>
    <font>
      <b/>
      <sz val="10"/>
      <name val="Arial"/>
      <family val="2"/>
    </font>
    <font>
      <b/>
      <sz val="8"/>
      <name val="Arial"/>
      <family val="2"/>
    </font>
    <font>
      <b/>
      <sz val="8"/>
      <name val="Sans Serif 10cpi"/>
      <family val="3"/>
    </font>
    <font>
      <sz val="8"/>
      <color indexed="8"/>
      <name val="Arial"/>
      <family val="2"/>
    </font>
    <font>
      <sz val="8"/>
      <color indexed="56"/>
      <name val="Arial"/>
      <family val="2"/>
    </font>
    <font>
      <sz val="8"/>
      <name val="Arial"/>
      <family val="2"/>
    </font>
    <font>
      <sz val="8"/>
      <color indexed="14"/>
      <name val="Arial"/>
      <family val="2"/>
    </font>
    <font>
      <sz val="8"/>
      <color indexed="18"/>
      <name val="Arial"/>
      <family val="2"/>
    </font>
    <font>
      <sz val="10"/>
      <name val="Arial"/>
      <family val="2"/>
    </font>
    <font>
      <sz val="8"/>
      <color indexed="20"/>
      <name val="Arial"/>
      <family val="2"/>
    </font>
    <font>
      <sz val="10"/>
      <color indexed="10"/>
      <name val="Arial"/>
      <family val="2"/>
    </font>
    <font>
      <sz val="8"/>
      <color indexed="10"/>
      <name val="Arial"/>
      <family val="2"/>
    </font>
    <font>
      <b/>
      <sz val="9"/>
      <color indexed="10"/>
      <name val="Arial"/>
      <family val="2"/>
    </font>
    <font>
      <b/>
      <sz val="10"/>
      <color indexed="10"/>
      <name val="Arial"/>
      <family val="2"/>
    </font>
    <font>
      <sz val="10"/>
      <color indexed="9"/>
      <name val="Arial"/>
      <family val="2"/>
    </font>
    <font>
      <sz val="8"/>
      <name val="BankGothic Lt BT"/>
      <family val="2"/>
    </font>
    <font>
      <sz val="12"/>
      <name val="Arial"/>
      <family val="2"/>
    </font>
    <font>
      <sz val="6"/>
      <name val="Arial"/>
      <family val="2"/>
    </font>
    <font>
      <sz val="6"/>
      <color indexed="8"/>
      <name val="Arial"/>
      <family val="2"/>
    </font>
    <font>
      <b/>
      <sz val="7"/>
      <name val="Arial"/>
      <family val="2"/>
    </font>
    <font>
      <b/>
      <sz val="10"/>
      <name val="Sans Serif 10cpi"/>
      <family val="3"/>
    </font>
    <font>
      <b/>
      <sz val="10"/>
      <name val="Sans Serif 10cpi"/>
    </font>
    <font>
      <b/>
      <sz val="24"/>
      <color indexed="56"/>
      <name val="Arial"/>
      <family val="2"/>
    </font>
    <font>
      <sz val="10"/>
      <color indexed="56"/>
      <name val="Arial"/>
      <family val="2"/>
    </font>
    <font>
      <sz val="1"/>
      <name val="Arial"/>
      <family val="2"/>
    </font>
    <font>
      <b/>
      <sz val="12"/>
      <name val="Times New Roman"/>
      <family val="1"/>
    </font>
    <font>
      <sz val="10"/>
      <name val="Times New Roman"/>
      <family val="1"/>
    </font>
    <font>
      <b/>
      <sz val="10"/>
      <name val="Times New Roman"/>
      <family val="1"/>
    </font>
    <font>
      <b/>
      <sz val="14"/>
      <name val="Times New Roman"/>
      <family val="1"/>
    </font>
    <font>
      <b/>
      <sz val="16"/>
      <name val="Times New Roman"/>
      <family val="1"/>
    </font>
    <font>
      <b/>
      <sz val="10"/>
      <color indexed="10"/>
      <name val="Times New Roman"/>
      <family val="1"/>
    </font>
    <font>
      <b/>
      <u/>
      <sz val="12"/>
      <name val="Times New Roman"/>
      <family val="1"/>
    </font>
    <font>
      <sz val="8"/>
      <name val="Times New Roman"/>
      <family val="1"/>
    </font>
    <font>
      <b/>
      <sz val="12"/>
      <color indexed="12"/>
      <name val="Times New Roman"/>
      <family val="1"/>
    </font>
    <font>
      <b/>
      <sz val="14"/>
      <color indexed="10"/>
      <name val="Times New Roman"/>
      <family val="1"/>
    </font>
    <font>
      <sz val="5"/>
      <color indexed="9"/>
      <name val="Arial"/>
      <family val="2"/>
    </font>
    <font>
      <sz val="10"/>
      <name val="Arial"/>
      <family val="2"/>
    </font>
    <font>
      <b/>
      <sz val="8"/>
      <color indexed="56"/>
      <name val="Arial"/>
      <family val="2"/>
    </font>
    <font>
      <b/>
      <sz val="10"/>
      <color indexed="8"/>
      <name val="Arial"/>
      <family val="2"/>
    </font>
    <font>
      <b/>
      <sz val="20"/>
      <color indexed="40"/>
      <name val="Times New Roman"/>
      <family val="1"/>
    </font>
    <font>
      <b/>
      <sz val="20"/>
      <name val="Times New Roman"/>
      <family val="1"/>
    </font>
    <font>
      <b/>
      <sz val="6"/>
      <name val="Arial"/>
      <family val="2"/>
    </font>
    <font>
      <i/>
      <sz val="8"/>
      <name val="Arial"/>
      <family val="2"/>
    </font>
    <font>
      <b/>
      <i/>
      <sz val="8"/>
      <name val="Arial"/>
      <family val="2"/>
    </font>
    <font>
      <b/>
      <vertAlign val="subscript"/>
      <sz val="12"/>
      <name val="Arial"/>
      <family val="2"/>
    </font>
    <font>
      <sz val="10"/>
      <name val="Arial"/>
      <family val="2"/>
    </font>
    <font>
      <b/>
      <sz val="10"/>
      <color rgb="FFFF0000"/>
      <name val="Times New Roman"/>
      <family val="1"/>
    </font>
    <font>
      <b/>
      <sz val="11"/>
      <color theme="1"/>
      <name val="Calibri"/>
      <family val="2"/>
    </font>
    <font>
      <sz val="5"/>
      <color theme="0"/>
      <name val="Arial"/>
      <family val="2"/>
    </font>
    <font>
      <sz val="10"/>
      <color theme="0"/>
      <name val="Arial"/>
      <family val="2"/>
    </font>
    <font>
      <sz val="8"/>
      <color theme="0"/>
      <name val="BankGothic Lt BT"/>
      <family val="2"/>
    </font>
    <font>
      <sz val="8"/>
      <color theme="0"/>
      <name val="Arial"/>
      <family val="2"/>
    </font>
    <font>
      <b/>
      <sz val="12"/>
      <color theme="8" tint="-0.249977111117893"/>
      <name val="Arial"/>
      <family val="2"/>
    </font>
    <font>
      <sz val="20"/>
      <name val="Arial"/>
      <family val="2"/>
    </font>
    <font>
      <sz val="14"/>
      <name val="Times New Roman"/>
      <family val="1"/>
    </font>
    <font>
      <sz val="12"/>
      <color indexed="9"/>
      <name val="Arial"/>
      <family val="2"/>
    </font>
    <font>
      <sz val="8"/>
      <color indexed="33"/>
      <name val="Arial"/>
      <family val="2"/>
    </font>
    <font>
      <b/>
      <sz val="8"/>
      <name val="Arial Narrow"/>
      <family val="2"/>
    </font>
    <font>
      <b/>
      <sz val="10"/>
      <name val="Arial Narrow"/>
      <family val="2"/>
    </font>
    <font>
      <sz val="10"/>
      <name val="Arial Narrow"/>
      <family val="2"/>
    </font>
    <font>
      <sz val="12"/>
      <color theme="1"/>
      <name val="Calibri"/>
      <family val="2"/>
    </font>
    <font>
      <sz val="12"/>
      <color theme="1"/>
      <name val="Arial Narrow"/>
      <family val="2"/>
    </font>
    <font>
      <sz val="6"/>
      <color indexed="10"/>
      <name val="Arial Narrow"/>
      <family val="2"/>
    </font>
    <font>
      <sz val="8"/>
      <name val="Arial Narrow"/>
      <family val="2"/>
    </font>
    <font>
      <sz val="8"/>
      <color indexed="18"/>
      <name val="Arial Narrow"/>
      <family val="2"/>
    </font>
    <font>
      <b/>
      <sz val="9"/>
      <name val="Arial Narrow"/>
      <family val="2"/>
    </font>
    <font>
      <b/>
      <sz val="9"/>
      <name val="Arial"/>
      <family val="2"/>
    </font>
    <font>
      <b/>
      <sz val="14"/>
      <name val="Arial Narrow"/>
      <family val="2"/>
    </font>
    <font>
      <b/>
      <sz val="12"/>
      <name val="Arial Narrow"/>
      <family val="2"/>
    </font>
    <font>
      <b/>
      <sz val="12"/>
      <color theme="1"/>
      <name val="Arial Narrow"/>
      <family val="2"/>
    </font>
    <font>
      <sz val="10"/>
      <color indexed="10"/>
      <name val="Arial Narrow"/>
      <family val="2"/>
    </font>
    <font>
      <b/>
      <sz val="14"/>
      <color theme="1"/>
      <name val="Arial Narrow"/>
      <family val="2"/>
    </font>
    <font>
      <sz val="12"/>
      <name val="BankGothic Lt BT"/>
      <family val="2"/>
    </font>
    <font>
      <sz val="8"/>
      <color theme="0"/>
      <name val="Arial Narrow"/>
      <family val="2"/>
    </font>
    <font>
      <b/>
      <sz val="9"/>
      <color rgb="FFFFCC81"/>
      <name val="Arial Narrow"/>
      <family val="2"/>
    </font>
    <font>
      <b/>
      <sz val="8"/>
      <name val="BankGothic Lt BT"/>
      <family val="2"/>
    </font>
    <font>
      <b/>
      <sz val="8"/>
      <name val="BankGothic Lt BT"/>
    </font>
    <font>
      <sz val="8"/>
      <name val="BankGothic Lt BT"/>
    </font>
  </fonts>
  <fills count="25">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43"/>
        <bgColor indexed="64"/>
      </patternFill>
    </fill>
    <fill>
      <patternFill patternType="solid">
        <fgColor indexed="47"/>
        <bgColor indexed="64"/>
      </patternFill>
    </fill>
    <fill>
      <patternFill patternType="solid">
        <fgColor rgb="FF92D050"/>
        <bgColor indexed="64"/>
      </patternFill>
    </fill>
    <fill>
      <patternFill patternType="solid">
        <fgColor rgb="FFFFFF00"/>
        <bgColor indexed="64"/>
      </patternFill>
    </fill>
    <fill>
      <patternFill patternType="solid">
        <fgColor indexed="50"/>
        <bgColor indexed="64"/>
      </patternFill>
    </fill>
    <fill>
      <patternFill patternType="solid">
        <fgColor indexed="44"/>
        <bgColor indexed="64"/>
      </patternFill>
    </fill>
    <fill>
      <patternFill patternType="solid">
        <fgColor indexed="19"/>
        <bgColor indexed="64"/>
      </patternFill>
    </fill>
    <fill>
      <patternFill patternType="solid">
        <fgColor indexed="15"/>
        <bgColor indexed="64"/>
      </patternFill>
    </fill>
    <fill>
      <patternFill patternType="solid">
        <fgColor indexed="53"/>
        <bgColor indexed="64"/>
      </patternFill>
    </fill>
    <fill>
      <patternFill patternType="solid">
        <fgColor indexed="57"/>
        <bgColor indexed="64"/>
      </patternFill>
    </fill>
    <fill>
      <patternFill patternType="solid">
        <fgColor indexed="13"/>
        <bgColor indexed="64"/>
      </patternFill>
    </fill>
    <fill>
      <patternFill patternType="solid">
        <fgColor indexed="51"/>
        <bgColor indexed="64"/>
      </patternFill>
    </fill>
    <fill>
      <patternFill patternType="solid">
        <fgColor rgb="FFFFFFFF"/>
      </patternFill>
    </fill>
    <fill>
      <patternFill patternType="solid">
        <fgColor rgb="FFCFE0F1"/>
      </patternFill>
    </fill>
    <fill>
      <patternFill patternType="solid">
        <fgColor rgb="FFF2F5F9"/>
      </patternFill>
    </fill>
    <fill>
      <patternFill patternType="solid">
        <fgColor theme="5"/>
        <bgColor indexed="64"/>
      </patternFill>
    </fill>
    <fill>
      <patternFill patternType="solid">
        <fgColor theme="0"/>
        <bgColor indexed="64"/>
      </patternFill>
    </fill>
    <fill>
      <patternFill patternType="solid">
        <fgColor theme="9" tint="0.39997558519241921"/>
        <bgColor indexed="64"/>
      </patternFill>
    </fill>
    <fill>
      <patternFill patternType="solid">
        <fgColor rgb="FFFFCC81"/>
        <bgColor indexed="64"/>
      </patternFill>
    </fill>
    <fill>
      <patternFill patternType="solid">
        <fgColor rgb="FFFFFFFF"/>
        <bgColor indexed="64"/>
      </patternFill>
    </fill>
    <fill>
      <patternFill patternType="solid">
        <fgColor theme="9" tint="0.59999389629810485"/>
        <bgColor indexed="64"/>
      </patternFill>
    </fill>
  </fills>
  <borders count="158">
    <border>
      <left/>
      <right/>
      <top/>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double">
        <color indexed="64"/>
      </top>
      <bottom/>
      <diagonal/>
    </border>
    <border>
      <left/>
      <right/>
      <top style="thin">
        <color indexed="64"/>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right/>
      <top style="dotted">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style="thin">
        <color indexed="64"/>
      </left>
      <right style="double">
        <color indexed="64"/>
      </right>
      <top style="double">
        <color indexed="64"/>
      </top>
      <bottom/>
      <diagonal/>
    </border>
    <border>
      <left style="double">
        <color indexed="64"/>
      </left>
      <right/>
      <top/>
      <bottom/>
      <diagonal/>
    </border>
    <border>
      <left style="thin">
        <color indexed="64"/>
      </left>
      <right style="double">
        <color indexed="64"/>
      </right>
      <top/>
      <bottom style="double">
        <color indexed="64"/>
      </bottom>
      <diagonal/>
    </border>
    <border>
      <left style="thin">
        <color indexed="64"/>
      </left>
      <right style="double">
        <color indexed="64"/>
      </right>
      <top style="dotted">
        <color indexed="64"/>
      </top>
      <bottom style="double">
        <color indexed="64"/>
      </bottom>
      <diagonal/>
    </border>
    <border>
      <left/>
      <right style="thin">
        <color indexed="64"/>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bottom style="dotted">
        <color indexed="64"/>
      </bottom>
      <diagonal/>
    </border>
    <border>
      <left/>
      <right style="thin">
        <color indexed="64"/>
      </right>
      <top/>
      <bottom/>
      <diagonal/>
    </border>
    <border>
      <left style="thin">
        <color indexed="64"/>
      </left>
      <right style="thin">
        <color indexed="64"/>
      </right>
      <top/>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double">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bottom/>
      <diagonal/>
    </border>
    <border>
      <left style="thin">
        <color indexed="64"/>
      </left>
      <right style="double">
        <color indexed="64"/>
      </right>
      <top/>
      <bottom/>
      <diagonal/>
    </border>
    <border>
      <left/>
      <right style="double">
        <color indexed="64"/>
      </right>
      <top/>
      <bottom/>
      <diagonal/>
    </border>
    <border>
      <left style="double">
        <color indexed="64"/>
      </left>
      <right style="double">
        <color indexed="64"/>
      </right>
      <top style="hair">
        <color indexed="64"/>
      </top>
      <bottom style="hair">
        <color indexed="64"/>
      </bottom>
      <diagonal/>
    </border>
    <border>
      <left style="thin">
        <color indexed="64"/>
      </left>
      <right/>
      <top/>
      <bottom style="double">
        <color indexed="64"/>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style="double">
        <color indexed="64"/>
      </left>
      <right style="hair">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right style="double">
        <color indexed="64"/>
      </right>
      <top style="double">
        <color indexed="64"/>
      </top>
      <bottom style="hair">
        <color indexed="64"/>
      </bottom>
      <diagonal/>
    </border>
    <border>
      <left style="double">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double">
        <color indexed="64"/>
      </right>
      <top style="double">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double">
        <color indexed="64"/>
      </top>
      <bottom/>
      <diagonal/>
    </border>
    <border>
      <left style="thin">
        <color indexed="64"/>
      </left>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double">
        <color indexed="64"/>
      </top>
      <bottom style="hair">
        <color indexed="64"/>
      </bottom>
      <diagonal/>
    </border>
    <border>
      <left style="thin">
        <color indexed="64"/>
      </left>
      <right style="double">
        <color indexed="64"/>
      </right>
      <top style="double">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top/>
      <bottom style="hair">
        <color indexed="64"/>
      </bottom>
      <diagonal/>
    </border>
    <border>
      <left/>
      <right/>
      <top/>
      <bottom style="hair">
        <color indexed="64"/>
      </bottom>
      <diagonal/>
    </border>
    <border>
      <left/>
      <right style="double">
        <color indexed="64"/>
      </right>
      <top/>
      <bottom style="hair">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style="double">
        <color indexed="64"/>
      </left>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dotted">
        <color indexed="64"/>
      </bottom>
      <diagonal/>
    </border>
    <border>
      <left style="thin">
        <color indexed="64"/>
      </left>
      <right/>
      <top style="dotted">
        <color indexed="64"/>
      </top>
      <bottom style="double">
        <color indexed="64"/>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double">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hair">
        <color indexed="64"/>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dotted">
        <color indexed="64"/>
      </top>
      <bottom style="hair">
        <color indexed="64"/>
      </bottom>
      <diagonal/>
    </border>
    <border>
      <left style="medium">
        <color indexed="64"/>
      </left>
      <right style="medium">
        <color indexed="64"/>
      </right>
      <top style="dotted">
        <color indexed="64"/>
      </top>
      <bottom style="dotted">
        <color indexed="64"/>
      </bottom>
      <diagonal/>
    </border>
    <border>
      <left/>
      <right/>
      <top style="hair">
        <color indexed="64"/>
      </top>
      <bottom style="hair">
        <color indexed="64"/>
      </bottom>
      <diagonal/>
    </border>
    <border>
      <left/>
      <right style="thin">
        <color indexed="64"/>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ashed">
        <color indexed="64"/>
      </bottom>
      <diagonal/>
    </border>
    <border>
      <left style="medium">
        <color rgb="FF979991"/>
      </left>
      <right style="medium">
        <color rgb="FF979991"/>
      </right>
      <top style="medium">
        <color rgb="FF979991"/>
      </top>
      <bottom style="medium">
        <color rgb="FF979991"/>
      </bottom>
      <diagonal/>
    </border>
    <border>
      <left style="thin">
        <color indexed="64"/>
      </left>
      <right style="thin">
        <color indexed="64"/>
      </right>
      <top/>
      <bottom style="dotted">
        <color indexed="64"/>
      </bottom>
      <diagonal/>
    </border>
    <border>
      <left style="thin">
        <color indexed="64"/>
      </left>
      <right/>
      <top style="thin">
        <color indexed="64"/>
      </top>
      <bottom/>
      <diagonal/>
    </border>
    <border>
      <left style="thin">
        <color indexed="64"/>
      </left>
      <right/>
      <top style="dotted">
        <color indexed="64"/>
      </top>
      <bottom style="dotted">
        <color indexed="64"/>
      </bottom>
      <diagonal/>
    </border>
    <border>
      <left style="double">
        <color indexed="64"/>
      </left>
      <right style="double">
        <color indexed="64"/>
      </right>
      <top style="hair">
        <color indexed="64"/>
      </top>
      <bottom/>
      <diagonal/>
    </border>
    <border>
      <left style="double">
        <color indexed="64"/>
      </left>
      <right style="double">
        <color indexed="64"/>
      </right>
      <top/>
      <bottom/>
      <diagonal/>
    </border>
    <border>
      <left style="double">
        <color indexed="64"/>
      </left>
      <right style="double">
        <color indexed="64"/>
      </right>
      <top/>
      <bottom style="hair">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double">
        <color indexed="64"/>
      </left>
      <right style="thin">
        <color indexed="64"/>
      </right>
      <top/>
      <bottom style="medium">
        <color indexed="64"/>
      </bottom>
      <diagonal/>
    </border>
    <border>
      <left/>
      <right/>
      <top style="double">
        <color indexed="64"/>
      </top>
      <bottom style="thin">
        <color indexed="64"/>
      </bottom>
      <diagonal/>
    </border>
    <border>
      <left style="hair">
        <color indexed="64"/>
      </left>
      <right style="double">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double">
        <color indexed="64"/>
      </right>
      <top style="medium">
        <color indexed="64"/>
      </top>
      <bottom style="thin">
        <color indexed="64"/>
      </bottom>
      <diagonal/>
    </border>
    <border>
      <left style="double">
        <color indexed="64"/>
      </left>
      <right style="double">
        <color indexed="64"/>
      </right>
      <top style="medium">
        <color indexed="64"/>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style="double">
        <color indexed="64"/>
      </left>
      <right style="double">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style="medium">
        <color indexed="64"/>
      </bottom>
      <diagonal/>
    </border>
    <border>
      <left style="thin">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thin">
        <color indexed="64"/>
      </top>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14">
    <xf numFmtId="0" fontId="0" fillId="0" borderId="0"/>
    <xf numFmtId="165" fontId="4" fillId="0" borderId="0" applyFont="0" applyFill="0" applyBorder="0" applyAlignment="0" applyProtection="0"/>
    <xf numFmtId="0" fontId="24" fillId="0" borderId="0"/>
    <xf numFmtId="9" fontId="4" fillId="0" borderId="0" applyFont="0" applyFill="0" applyBorder="0" applyAlignment="0" applyProtection="0"/>
    <xf numFmtId="44" fontId="44" fillId="0" borderId="0" applyFont="0" applyFill="0" applyBorder="0" applyAlignment="0" applyProtection="0"/>
    <xf numFmtId="0" fontId="4" fillId="0" borderId="0"/>
    <xf numFmtId="165" fontId="4" fillId="0" borderId="0" applyFont="0" applyFill="0" applyBorder="0" applyAlignment="0" applyProtection="0"/>
    <xf numFmtId="41" fontId="44" fillId="0" borderId="0" applyFont="0" applyFill="0" applyBorder="0" applyAlignment="0" applyProtection="0"/>
    <xf numFmtId="42" fontId="53" fillId="0" borderId="0" applyFont="0" applyFill="0" applyBorder="0" applyAlignment="0" applyProtection="0"/>
    <xf numFmtId="0" fontId="2" fillId="0" borderId="0"/>
    <xf numFmtId="0" fontId="1" fillId="0" borderId="0"/>
    <xf numFmtId="9" fontId="4" fillId="0" borderId="0" applyFont="0" applyFill="0" applyBorder="0" applyAlignment="0" applyProtection="0"/>
    <xf numFmtId="0" fontId="4" fillId="0" borderId="0"/>
    <xf numFmtId="0" fontId="68" fillId="0" borderId="0"/>
  </cellStyleXfs>
  <cellXfs count="828">
    <xf numFmtId="0" fontId="0" fillId="0" borderId="0" xfId="0"/>
    <xf numFmtId="3" fontId="0" fillId="0" borderId="0" xfId="0" applyNumberFormat="1"/>
    <xf numFmtId="0" fontId="17" fillId="0" borderId="0" xfId="0" applyFont="1" applyAlignment="1">
      <alignment horizontal="center"/>
    </xf>
    <xf numFmtId="0" fontId="18" fillId="0" borderId="0" xfId="0" applyFont="1" applyAlignment="1">
      <alignment horizontal="center"/>
    </xf>
    <xf numFmtId="167" fontId="17" fillId="0" borderId="0" xfId="0" applyNumberFormat="1" applyFont="1" applyAlignment="1">
      <alignment horizontal="center"/>
    </xf>
    <xf numFmtId="4" fontId="17" fillId="0" borderId="0" xfId="0" applyNumberFormat="1" applyFont="1"/>
    <xf numFmtId="2" fontId="0" fillId="0" borderId="0" xfId="0" applyNumberFormat="1"/>
    <xf numFmtId="1" fontId="36" fillId="0" borderId="0" xfId="0" applyNumberFormat="1" applyFont="1" applyAlignment="1" applyProtection="1">
      <alignment horizontal="centerContinuous" vertical="center" wrapText="1"/>
      <protection hidden="1"/>
    </xf>
    <xf numFmtId="1" fontId="6" fillId="0" borderId="0" xfId="0" applyNumberFormat="1" applyFont="1" applyAlignment="1" applyProtection="1">
      <alignment vertical="center" wrapText="1"/>
      <protection hidden="1"/>
    </xf>
    <xf numFmtId="0" fontId="5" fillId="0" borderId="0" xfId="0" applyFont="1" applyProtection="1">
      <protection hidden="1"/>
    </xf>
    <xf numFmtId="1" fontId="33" fillId="0" borderId="0" xfId="0" applyNumberFormat="1" applyFont="1" applyAlignment="1" applyProtection="1">
      <alignment horizontal="centerContinuous" vertical="center" wrapText="1"/>
      <protection hidden="1"/>
    </xf>
    <xf numFmtId="1" fontId="7" fillId="0" borderId="0" xfId="0" applyNumberFormat="1" applyFont="1" applyAlignment="1" applyProtection="1">
      <alignment vertical="center" wrapText="1"/>
      <protection hidden="1"/>
    </xf>
    <xf numFmtId="1" fontId="35" fillId="0" borderId="0" xfId="0" applyNumberFormat="1" applyFont="1" applyAlignment="1" applyProtection="1">
      <alignment horizontal="centerContinuous" vertical="center" wrapText="1"/>
      <protection hidden="1"/>
    </xf>
    <xf numFmtId="1" fontId="8" fillId="0" borderId="0" xfId="0" applyNumberFormat="1" applyFont="1" applyAlignment="1" applyProtection="1">
      <alignment vertical="center" wrapText="1"/>
      <protection hidden="1"/>
    </xf>
    <xf numFmtId="1" fontId="20" fillId="0" borderId="0" xfId="0" applyNumberFormat="1" applyFont="1" applyAlignment="1" applyProtection="1">
      <alignment vertical="center" wrapText="1"/>
      <protection hidden="1"/>
    </xf>
    <xf numFmtId="1" fontId="38" fillId="0" borderId="0" xfId="0" applyNumberFormat="1" applyFont="1" applyAlignment="1" applyProtection="1">
      <alignment horizontal="centerContinuous" vertical="center" wrapText="1"/>
      <protection hidden="1"/>
    </xf>
    <xf numFmtId="1" fontId="21" fillId="0" borderId="0" xfId="0" applyNumberFormat="1" applyFont="1" applyAlignment="1" applyProtection="1">
      <alignment vertical="center" wrapText="1"/>
      <protection hidden="1"/>
    </xf>
    <xf numFmtId="0" fontId="5" fillId="0" borderId="0" xfId="0" applyFont="1" applyAlignment="1" applyProtection="1">
      <alignment horizontal="center" vertical="center"/>
      <protection hidden="1"/>
    </xf>
    <xf numFmtId="4" fontId="5" fillId="0" borderId="0" xfId="0" applyNumberFormat="1" applyFont="1" applyProtection="1">
      <protection hidden="1"/>
    </xf>
    <xf numFmtId="0" fontId="9" fillId="0" borderId="36" xfId="0" applyFont="1" applyBorder="1" applyAlignment="1" applyProtection="1">
      <alignment horizontal="center" vertical="center" wrapText="1"/>
      <protection hidden="1"/>
    </xf>
    <xf numFmtId="4" fontId="9" fillId="0" borderId="38" xfId="0" applyNumberFormat="1" applyFont="1" applyBorder="1" applyAlignment="1" applyProtection="1">
      <alignment horizontal="center" vertical="center" wrapText="1"/>
      <protection hidden="1"/>
    </xf>
    <xf numFmtId="0" fontId="32" fillId="0" borderId="39" xfId="0" applyFont="1" applyBorder="1" applyAlignment="1" applyProtection="1">
      <alignment horizontal="center" vertical="center" wrapText="1"/>
      <protection hidden="1"/>
    </xf>
    <xf numFmtId="4" fontId="9" fillId="0" borderId="40" xfId="0" applyNumberFormat="1" applyFont="1" applyBorder="1" applyAlignment="1" applyProtection="1">
      <alignment horizontal="center" vertical="center" wrapText="1"/>
      <protection hidden="1"/>
    </xf>
    <xf numFmtId="0" fontId="32" fillId="0" borderId="20" xfId="0" applyFont="1" applyBorder="1" applyAlignment="1" applyProtection="1">
      <alignment horizontal="center" vertical="center" wrapText="1"/>
      <protection hidden="1"/>
    </xf>
    <xf numFmtId="4" fontId="9" fillId="0" borderId="41" xfId="0" applyNumberFormat="1" applyFont="1" applyBorder="1" applyAlignment="1" applyProtection="1">
      <alignment horizontal="center" vertical="center" wrapText="1"/>
      <protection hidden="1"/>
    </xf>
    <xf numFmtId="0" fontId="16" fillId="0" borderId="0" xfId="0" applyFont="1" applyProtection="1">
      <protection hidden="1"/>
    </xf>
    <xf numFmtId="0" fontId="16" fillId="0" borderId="0" xfId="0" applyFont="1" applyAlignment="1" applyProtection="1">
      <alignment horizontal="center" vertical="center"/>
      <protection hidden="1"/>
    </xf>
    <xf numFmtId="0" fontId="18" fillId="0" borderId="0" xfId="0" applyFont="1" applyProtection="1">
      <protection hidden="1"/>
    </xf>
    <xf numFmtId="0" fontId="18" fillId="0" borderId="0" xfId="0" applyFont="1" applyAlignment="1" applyProtection="1">
      <alignment horizontal="center" vertical="center"/>
      <protection hidden="1"/>
    </xf>
    <xf numFmtId="0" fontId="31" fillId="0" borderId="0" xfId="0" applyFont="1" applyBorder="1" applyAlignment="1" applyProtection="1">
      <alignment horizontal="center" vertical="center"/>
      <protection hidden="1"/>
    </xf>
    <xf numFmtId="0" fontId="0" fillId="0" borderId="0" xfId="0" applyProtection="1">
      <protection hidden="1"/>
    </xf>
    <xf numFmtId="0" fontId="0" fillId="0" borderId="0" xfId="0" applyAlignment="1" applyProtection="1">
      <alignment horizontal="center" vertical="center"/>
      <protection hidden="1"/>
    </xf>
    <xf numFmtId="1" fontId="0" fillId="0" borderId="0" xfId="0" applyNumberFormat="1" applyAlignment="1" applyProtection="1">
      <alignment horizontal="centerContinuous" vertical="center"/>
      <protection hidden="1"/>
    </xf>
    <xf numFmtId="0" fontId="0" fillId="0" borderId="0" xfId="0" applyAlignment="1" applyProtection="1">
      <alignment horizontal="centerContinuous" vertical="center"/>
      <protection hidden="1"/>
    </xf>
    <xf numFmtId="1" fontId="27" fillId="0" borderId="24" xfId="0" applyNumberFormat="1" applyFont="1" applyBorder="1" applyAlignment="1" applyProtection="1">
      <alignment horizontal="centerContinuous"/>
      <protection hidden="1"/>
    </xf>
    <xf numFmtId="0" fontId="9" fillId="0" borderId="19" xfId="0" applyFont="1" applyBorder="1" applyAlignment="1" applyProtection="1">
      <alignment horizontal="center" vertical="center"/>
      <protection hidden="1"/>
    </xf>
    <xf numFmtId="1" fontId="27" fillId="0" borderId="25" xfId="0" applyNumberFormat="1" applyFont="1" applyBorder="1" applyAlignment="1" applyProtection="1">
      <alignment horizontal="centerContinuous"/>
      <protection hidden="1"/>
    </xf>
    <xf numFmtId="0" fontId="29" fillId="0" borderId="43" xfId="0" applyFont="1" applyBorder="1" applyAlignment="1" applyProtection="1">
      <alignment horizontal="center" vertical="center"/>
      <protection hidden="1"/>
    </xf>
    <xf numFmtId="0" fontId="10" fillId="0" borderId="0" xfId="0" applyFont="1" applyProtection="1">
      <protection hidden="1"/>
    </xf>
    <xf numFmtId="1" fontId="9" fillId="3" borderId="44" xfId="0" applyNumberFormat="1" applyFont="1" applyFill="1" applyBorder="1" applyAlignment="1" applyProtection="1">
      <alignment horizontal="centerContinuous"/>
      <protection hidden="1"/>
    </xf>
    <xf numFmtId="0" fontId="9" fillId="3" borderId="45" xfId="0" applyFont="1" applyFill="1" applyBorder="1" applyAlignment="1" applyProtection="1">
      <alignment horizontal="center" vertical="center"/>
      <protection hidden="1"/>
    </xf>
    <xf numFmtId="0" fontId="27" fillId="3" borderId="46" xfId="0" applyFont="1" applyFill="1" applyBorder="1" applyAlignment="1" applyProtection="1">
      <alignment horizontal="center" vertical="center" wrapText="1"/>
      <protection hidden="1"/>
    </xf>
    <xf numFmtId="0" fontId="27" fillId="3" borderId="47" xfId="0" applyFont="1" applyFill="1" applyBorder="1" applyAlignment="1" applyProtection="1">
      <alignment horizontal="center" vertical="center" wrapText="1"/>
      <protection hidden="1"/>
    </xf>
    <xf numFmtId="164" fontId="0" fillId="3" borderId="45" xfId="0" applyNumberFormat="1" applyFill="1" applyBorder="1" applyAlignment="1" applyProtection="1">
      <alignment horizontal="center"/>
      <protection hidden="1"/>
    </xf>
    <xf numFmtId="164" fontId="0" fillId="3" borderId="48" xfId="0" applyNumberFormat="1" applyFill="1" applyBorder="1" applyAlignment="1" applyProtection="1">
      <alignment horizontal="center"/>
      <protection hidden="1"/>
    </xf>
    <xf numFmtId="0" fontId="10" fillId="3" borderId="50" xfId="0" applyNumberFormat="1" applyFont="1" applyFill="1" applyBorder="1" applyProtection="1">
      <protection hidden="1"/>
    </xf>
    <xf numFmtId="0" fontId="10" fillId="3" borderId="51" xfId="0" applyNumberFormat="1" applyFont="1" applyFill="1" applyBorder="1" applyProtection="1">
      <protection hidden="1"/>
    </xf>
    <xf numFmtId="0" fontId="31" fillId="0" borderId="53" xfId="0" applyFont="1" applyBorder="1" applyAlignment="1" applyProtection="1">
      <alignment horizontal="center" vertical="center"/>
      <protection hidden="1"/>
    </xf>
    <xf numFmtId="4" fontId="0" fillId="0" borderId="54" xfId="0" applyNumberFormat="1" applyBorder="1" applyProtection="1">
      <protection hidden="1"/>
    </xf>
    <xf numFmtId="4" fontId="0" fillId="0" borderId="55" xfId="0" applyNumberFormat="1" applyBorder="1" applyProtection="1">
      <protection hidden="1"/>
    </xf>
    <xf numFmtId="4" fontId="0" fillId="0" borderId="42" xfId="0" applyNumberFormat="1" applyBorder="1" applyProtection="1">
      <protection hidden="1"/>
    </xf>
    <xf numFmtId="1" fontId="11" fillId="0" borderId="53" xfId="0" applyNumberFormat="1" applyFont="1" applyBorder="1" applyAlignment="1" applyProtection="1">
      <alignment horizontal="center" vertical="center"/>
      <protection hidden="1"/>
    </xf>
    <xf numFmtId="0" fontId="0" fillId="0" borderId="0" xfId="0" applyFill="1" applyProtection="1">
      <protection hidden="1"/>
    </xf>
    <xf numFmtId="1" fontId="0" fillId="0" borderId="0" xfId="0" applyNumberFormat="1" applyProtection="1">
      <protection hidden="1"/>
    </xf>
    <xf numFmtId="0" fontId="33" fillId="0" borderId="0" xfId="0" applyFont="1" applyAlignment="1" applyProtection="1">
      <alignment horizontal="centerContinuous" vertical="center" wrapText="1"/>
      <protection hidden="1"/>
    </xf>
    <xf numFmtId="0" fontId="34" fillId="0" borderId="0" xfId="0" applyFont="1" applyAlignment="1" applyProtection="1">
      <alignment horizontal="centerContinuous" vertical="center" wrapText="1"/>
      <protection hidden="1"/>
    </xf>
    <xf numFmtId="0" fontId="0" fillId="0" borderId="0" xfId="0" applyAlignment="1" applyProtection="1">
      <alignment horizontal="centerContinuous"/>
      <protection hidden="1"/>
    </xf>
    <xf numFmtId="0" fontId="9" fillId="0" borderId="1" xfId="0" applyFont="1" applyBorder="1" applyAlignment="1" applyProtection="1">
      <alignment horizontal="center" vertical="center"/>
      <protection hidden="1"/>
    </xf>
    <xf numFmtId="0" fontId="9" fillId="0" borderId="32" xfId="0" applyFont="1" applyBorder="1" applyAlignment="1" applyProtection="1">
      <alignment horizontal="center" vertical="center"/>
      <protection hidden="1"/>
    </xf>
    <xf numFmtId="0" fontId="9" fillId="0" borderId="40" xfId="0" applyFont="1" applyBorder="1" applyAlignment="1" applyProtection="1">
      <alignment horizontal="center" vertical="center"/>
      <protection hidden="1"/>
    </xf>
    <xf numFmtId="0" fontId="41" fillId="0" borderId="0" xfId="0" applyFont="1" applyAlignment="1" applyProtection="1">
      <alignment horizontal="centerContinuous" vertical="center" wrapText="1"/>
      <protection hidden="1"/>
    </xf>
    <xf numFmtId="0" fontId="35" fillId="0" borderId="0" xfId="0" applyFont="1" applyAlignment="1" applyProtection="1">
      <alignment horizontal="centerContinuous" vertical="center" wrapText="1"/>
      <protection hidden="1"/>
    </xf>
    <xf numFmtId="0" fontId="36" fillId="0" borderId="0" xfId="0" applyFont="1" applyAlignment="1" applyProtection="1">
      <alignment horizontal="centerContinuous" vertical="center" wrapText="1"/>
      <protection hidden="1"/>
    </xf>
    <xf numFmtId="0" fontId="16" fillId="0" borderId="0" xfId="0" applyFont="1" applyAlignment="1" applyProtection="1">
      <alignment horizontal="centerContinuous"/>
      <protection hidden="1"/>
    </xf>
    <xf numFmtId="3" fontId="0" fillId="0" borderId="0" xfId="0" applyNumberFormat="1" applyAlignment="1" applyProtection="1">
      <alignment horizontal="centerContinuous" vertical="center"/>
      <protection hidden="1"/>
    </xf>
    <xf numFmtId="0" fontId="13" fillId="0" borderId="0" xfId="0" applyFont="1" applyProtection="1">
      <protection hidden="1"/>
    </xf>
    <xf numFmtId="0" fontId="9" fillId="0" borderId="24" xfId="0" applyFont="1" applyBorder="1" applyAlignment="1" applyProtection="1">
      <alignment horizontal="centerContinuous"/>
      <protection hidden="1"/>
    </xf>
    <xf numFmtId="0" fontId="9" fillId="0" borderId="58" xfId="0" applyFont="1" applyBorder="1" applyAlignment="1" applyProtection="1">
      <alignment horizontal="center" vertical="center"/>
      <protection hidden="1"/>
    </xf>
    <xf numFmtId="0" fontId="9" fillId="0" borderId="19" xfId="0" applyFont="1" applyBorder="1" applyAlignment="1" applyProtection="1">
      <alignment horizontal="centerContinuous" vertical="center"/>
      <protection hidden="1"/>
    </xf>
    <xf numFmtId="0" fontId="9" fillId="0" borderId="39" xfId="0" applyFont="1" applyBorder="1" applyAlignment="1" applyProtection="1">
      <alignment horizontal="centerContinuous"/>
      <protection hidden="1"/>
    </xf>
    <xf numFmtId="0" fontId="9" fillId="0" borderId="59" xfId="0" applyFont="1" applyBorder="1" applyAlignment="1" applyProtection="1">
      <alignment horizontal="center" vertical="center"/>
      <protection hidden="1"/>
    </xf>
    <xf numFmtId="3" fontId="9" fillId="0" borderId="58" xfId="0" applyNumberFormat="1" applyFont="1" applyBorder="1" applyAlignment="1" applyProtection="1">
      <alignment horizontal="center" vertical="center"/>
      <protection hidden="1"/>
    </xf>
    <xf numFmtId="1" fontId="13" fillId="0" borderId="60" xfId="0" applyNumberFormat="1" applyFont="1" applyBorder="1" applyAlignment="1" applyProtection="1">
      <alignment horizontal="center" vertical="center"/>
      <protection hidden="1"/>
    </xf>
    <xf numFmtId="0" fontId="13" fillId="0" borderId="61" xfId="0" applyFont="1" applyBorder="1" applyAlignment="1" applyProtection="1">
      <alignment horizontal="centerContinuous" vertical="center" wrapText="1"/>
      <protection hidden="1"/>
    </xf>
    <xf numFmtId="3" fontId="9" fillId="0" borderId="62" xfId="0" applyNumberFormat="1" applyFont="1" applyBorder="1" applyAlignment="1" applyProtection="1">
      <alignment horizontal="center" vertical="center" wrapText="1"/>
      <protection hidden="1"/>
    </xf>
    <xf numFmtId="3" fontId="11" fillId="0" borderId="63" xfId="0" applyNumberFormat="1" applyFont="1" applyBorder="1" applyAlignment="1" applyProtection="1">
      <alignment horizontal="center"/>
      <protection hidden="1"/>
    </xf>
    <xf numFmtId="0" fontId="21" fillId="0" borderId="0" xfId="0" applyFont="1" applyProtection="1">
      <protection hidden="1"/>
    </xf>
    <xf numFmtId="0" fontId="13" fillId="0" borderId="0" xfId="0" quotePrefix="1" applyFont="1" applyBorder="1" applyAlignment="1" applyProtection="1">
      <alignment horizontal="left"/>
      <protection hidden="1"/>
    </xf>
    <xf numFmtId="0" fontId="0" fillId="0" borderId="0" xfId="0" applyBorder="1" applyAlignment="1" applyProtection="1">
      <alignment horizontal="centerContinuous" vertical="center" wrapText="1"/>
      <protection hidden="1"/>
    </xf>
    <xf numFmtId="3" fontId="0" fillId="0" borderId="0" xfId="0" applyNumberFormat="1" applyBorder="1" applyAlignment="1" applyProtection="1">
      <alignment horizontal="centerContinuous" vertical="center" wrapText="1"/>
      <protection hidden="1"/>
    </xf>
    <xf numFmtId="0" fontId="0" fillId="0" borderId="0" xfId="0" applyBorder="1" applyProtection="1">
      <protection hidden="1"/>
    </xf>
    <xf numFmtId="0" fontId="16" fillId="0" borderId="0" xfId="0" applyFont="1" applyBorder="1" applyProtection="1">
      <protection hidden="1"/>
    </xf>
    <xf numFmtId="0" fontId="0" fillId="0" borderId="0" xfId="0" applyAlignment="1" applyProtection="1">
      <alignment horizontal="centerContinuous" vertical="center" wrapText="1"/>
      <protection hidden="1"/>
    </xf>
    <xf numFmtId="3" fontId="0" fillId="0" borderId="0" xfId="0" applyNumberFormat="1" applyAlignment="1" applyProtection="1">
      <alignment horizontal="centerContinuous" vertical="center" wrapText="1"/>
      <protection hidden="1"/>
    </xf>
    <xf numFmtId="3" fontId="0" fillId="0" borderId="0" xfId="0" applyNumberFormat="1" applyProtection="1">
      <protection hidden="1"/>
    </xf>
    <xf numFmtId="1" fontId="42" fillId="0" borderId="0" xfId="0" applyNumberFormat="1" applyFont="1" applyAlignment="1" applyProtection="1">
      <alignment horizontal="centerContinuous" vertical="center" wrapText="1"/>
      <protection hidden="1"/>
    </xf>
    <xf numFmtId="1" fontId="41" fillId="0" borderId="0" xfId="0" applyNumberFormat="1" applyFont="1" applyAlignment="1" applyProtection="1">
      <alignment horizontal="centerContinuous" vertical="center" wrapText="1"/>
      <protection hidden="1"/>
    </xf>
    <xf numFmtId="1" fontId="13" fillId="0" borderId="53" xfId="0" applyNumberFormat="1" applyFont="1" applyBorder="1" applyAlignment="1" applyProtection="1">
      <alignment horizontal="center" vertical="center"/>
      <protection hidden="1"/>
    </xf>
    <xf numFmtId="0" fontId="13" fillId="0" borderId="57" xfId="0" applyFont="1" applyBorder="1" applyAlignment="1" applyProtection="1">
      <alignment horizontal="centerContinuous" vertical="center" wrapText="1"/>
      <protection hidden="1"/>
    </xf>
    <xf numFmtId="3" fontId="13" fillId="0" borderId="57" xfId="0" applyNumberFormat="1" applyFont="1" applyBorder="1" applyAlignment="1" applyProtection="1">
      <alignment horizontal="center"/>
      <protection hidden="1"/>
    </xf>
    <xf numFmtId="0" fontId="13" fillId="0" borderId="10" xfId="0" applyFont="1" applyBorder="1" applyAlignment="1" applyProtection="1">
      <alignment horizontal="center"/>
      <protection hidden="1"/>
    </xf>
    <xf numFmtId="4" fontId="13" fillId="0" borderId="21" xfId="0" applyNumberFormat="1" applyFont="1" applyBorder="1" applyProtection="1">
      <protection hidden="1"/>
    </xf>
    <xf numFmtId="3" fontId="13" fillId="0" borderId="64" xfId="0" applyNumberFormat="1" applyFont="1" applyBorder="1" applyAlignment="1" applyProtection="1">
      <alignment horizontal="center"/>
      <protection hidden="1"/>
    </xf>
    <xf numFmtId="0" fontId="16" fillId="0" borderId="65" xfId="0" applyFont="1" applyBorder="1" applyAlignment="1" applyProtection="1">
      <alignment horizontal="center"/>
      <protection hidden="1"/>
    </xf>
    <xf numFmtId="3" fontId="13" fillId="0" borderId="53" xfId="0" applyNumberFormat="1" applyFont="1" applyBorder="1" applyAlignment="1" applyProtection="1">
      <alignment horizontal="center"/>
      <protection hidden="1"/>
    </xf>
    <xf numFmtId="0" fontId="16" fillId="0" borderId="55" xfId="0" applyFont="1" applyBorder="1" applyAlignment="1" applyProtection="1">
      <alignment horizontal="center"/>
      <protection hidden="1"/>
    </xf>
    <xf numFmtId="3" fontId="13" fillId="0" borderId="66" xfId="0" applyNumberFormat="1" applyFont="1" applyBorder="1" applyAlignment="1" applyProtection="1">
      <alignment horizontal="center"/>
      <protection hidden="1"/>
    </xf>
    <xf numFmtId="0" fontId="16" fillId="0" borderId="67" xfId="0" applyFont="1" applyBorder="1" applyAlignment="1" applyProtection="1">
      <alignment horizontal="center"/>
      <protection hidden="1"/>
    </xf>
    <xf numFmtId="3" fontId="13" fillId="0" borderId="36" xfId="0" applyNumberFormat="1" applyFont="1" applyBorder="1" applyAlignment="1" applyProtection="1">
      <alignment horizontal="center"/>
      <protection hidden="1"/>
    </xf>
    <xf numFmtId="0" fontId="16" fillId="0" borderId="38" xfId="0" applyFont="1" applyBorder="1" applyAlignment="1" applyProtection="1">
      <alignment horizontal="center"/>
      <protection hidden="1"/>
    </xf>
    <xf numFmtId="14" fontId="22" fillId="0" borderId="0" xfId="0" applyNumberFormat="1" applyFont="1"/>
    <xf numFmtId="0" fontId="22" fillId="0" borderId="0" xfId="0" applyFont="1"/>
    <xf numFmtId="0" fontId="0" fillId="0" borderId="0" xfId="0" applyAlignment="1">
      <alignment horizontal="center" vertical="center"/>
    </xf>
    <xf numFmtId="0" fontId="0" fillId="0" borderId="61" xfId="0" applyBorder="1" applyAlignment="1">
      <alignment horizontal="center" vertical="center"/>
    </xf>
    <xf numFmtId="0" fontId="4" fillId="0" borderId="61" xfId="0" applyFont="1" applyBorder="1"/>
    <xf numFmtId="0" fontId="0" fillId="0" borderId="61" xfId="0" applyBorder="1"/>
    <xf numFmtId="15" fontId="0" fillId="0" borderId="61" xfId="0" applyNumberFormat="1" applyBorder="1" applyAlignment="1">
      <alignment horizontal="center" vertical="center"/>
    </xf>
    <xf numFmtId="0" fontId="8" fillId="6" borderId="61" xfId="0" applyFont="1" applyFill="1" applyBorder="1" applyAlignment="1">
      <alignment horizontal="center" vertical="center"/>
    </xf>
    <xf numFmtId="1" fontId="35" fillId="0" borderId="0" xfId="5" applyNumberFormat="1" applyFont="1" applyAlignment="1" applyProtection="1">
      <alignment horizontal="centerContinuous" vertical="center" wrapText="1"/>
      <protection hidden="1"/>
    </xf>
    <xf numFmtId="0" fontId="4" fillId="0" borderId="0" xfId="5" applyProtection="1">
      <protection hidden="1"/>
    </xf>
    <xf numFmtId="0" fontId="35" fillId="0" borderId="0" xfId="5" applyFont="1" applyAlignment="1" applyProtection="1">
      <alignment horizontal="centerContinuous" vertical="center" wrapText="1"/>
      <protection hidden="1"/>
    </xf>
    <xf numFmtId="0" fontId="34" fillId="0" borderId="0" xfId="5" applyFont="1" applyAlignment="1" applyProtection="1">
      <alignment horizontal="centerContinuous" vertical="center" wrapText="1"/>
      <protection hidden="1"/>
    </xf>
    <xf numFmtId="1" fontId="34" fillId="0" borderId="0" xfId="5" applyNumberFormat="1" applyFont="1" applyAlignment="1" applyProtection="1">
      <alignment horizontal="centerContinuous" vertical="center" wrapText="1"/>
      <protection hidden="1"/>
    </xf>
    <xf numFmtId="0" fontId="35" fillId="0" borderId="0" xfId="5" applyFont="1" applyAlignment="1" applyProtection="1">
      <alignment horizontal="center" wrapText="1"/>
      <protection hidden="1"/>
    </xf>
    <xf numFmtId="1" fontId="37" fillId="0" borderId="0" xfId="5" applyNumberFormat="1" applyFont="1" applyAlignment="1" applyProtection="1">
      <alignment horizontal="centerContinuous" vertical="center" wrapText="1"/>
      <protection hidden="1"/>
    </xf>
    <xf numFmtId="1" fontId="6" fillId="0" borderId="0" xfId="5" applyNumberFormat="1" applyFont="1" applyAlignment="1" applyProtection="1">
      <alignment horizontal="centerContinuous" vertical="center" wrapText="1"/>
      <protection hidden="1"/>
    </xf>
    <xf numFmtId="0" fontId="9" fillId="0" borderId="24" xfId="5" applyFont="1" applyBorder="1" applyAlignment="1" applyProtection="1">
      <alignment horizontal="centerContinuous"/>
      <protection hidden="1"/>
    </xf>
    <xf numFmtId="0" fontId="9" fillId="0" borderId="1" xfId="5" applyFont="1" applyBorder="1" applyAlignment="1" applyProtection="1">
      <alignment horizontal="center" vertical="center"/>
      <protection hidden="1"/>
    </xf>
    <xf numFmtId="1" fontId="9" fillId="0" borderId="1" xfId="5" applyNumberFormat="1" applyFont="1" applyBorder="1" applyAlignment="1" applyProtection="1">
      <alignment horizontal="center" vertical="center"/>
      <protection hidden="1"/>
    </xf>
    <xf numFmtId="1" fontId="9" fillId="0" borderId="58" xfId="5" applyNumberFormat="1" applyFont="1" applyBorder="1" applyAlignment="1" applyProtection="1">
      <alignment horizontal="center" vertical="center"/>
      <protection hidden="1"/>
    </xf>
    <xf numFmtId="0" fontId="9" fillId="0" borderId="19" xfId="5" applyFont="1" applyBorder="1" applyAlignment="1" applyProtection="1">
      <alignment horizontal="centerContinuous" vertical="center"/>
      <protection hidden="1"/>
    </xf>
    <xf numFmtId="0" fontId="9" fillId="0" borderId="39" xfId="5" applyFont="1" applyBorder="1" applyAlignment="1" applyProtection="1">
      <alignment horizontal="centerContinuous"/>
      <protection hidden="1"/>
    </xf>
    <xf numFmtId="0" fontId="9" fillId="0" borderId="32" xfId="5" applyFont="1" applyBorder="1" applyAlignment="1" applyProtection="1">
      <alignment horizontal="center" vertical="center"/>
      <protection hidden="1"/>
    </xf>
    <xf numFmtId="1" fontId="9" fillId="0" borderId="32" xfId="5" applyNumberFormat="1" applyFont="1" applyBorder="1" applyAlignment="1" applyProtection="1">
      <alignment horizontal="center" vertical="center"/>
      <protection hidden="1"/>
    </xf>
    <xf numFmtId="1" fontId="9" fillId="0" borderId="59" xfId="5" applyNumberFormat="1" applyFont="1" applyBorder="1" applyAlignment="1" applyProtection="1">
      <alignment horizontal="center" vertical="center"/>
      <protection hidden="1"/>
    </xf>
    <xf numFmtId="0" fontId="9" fillId="0" borderId="40" xfId="5" applyFont="1" applyBorder="1" applyAlignment="1" applyProtection="1">
      <alignment horizontal="center" vertical="center"/>
      <protection hidden="1"/>
    </xf>
    <xf numFmtId="0" fontId="9" fillId="0" borderId="19" xfId="5" applyFont="1" applyBorder="1" applyAlignment="1" applyProtection="1">
      <alignment horizontal="center" vertical="center"/>
      <protection hidden="1"/>
    </xf>
    <xf numFmtId="1" fontId="45" fillId="0" borderId="34" xfId="5" applyNumberFormat="1" applyFont="1" applyBorder="1" applyAlignment="1" applyProtection="1">
      <alignment horizontal="center" vertical="center"/>
      <protection hidden="1"/>
    </xf>
    <xf numFmtId="0" fontId="4" fillId="0" borderId="17" xfId="5" applyBorder="1" applyProtection="1">
      <protection hidden="1"/>
    </xf>
    <xf numFmtId="0" fontId="5" fillId="0" borderId="13" xfId="5" applyFont="1" applyBorder="1" applyAlignment="1" applyProtection="1">
      <alignment horizontal="center"/>
      <protection hidden="1"/>
    </xf>
    <xf numFmtId="1" fontId="5" fillId="0" borderId="13" xfId="5" applyNumberFormat="1" applyFont="1" applyBorder="1" applyAlignment="1" applyProtection="1">
      <alignment horizontal="center"/>
      <protection hidden="1"/>
    </xf>
    <xf numFmtId="1" fontId="5" fillId="0" borderId="87" xfId="5" applyNumberFormat="1" applyFont="1" applyBorder="1" applyAlignment="1" applyProtection="1">
      <alignment horizontal="center"/>
      <protection hidden="1"/>
    </xf>
    <xf numFmtId="4" fontId="5" fillId="0" borderId="22" xfId="5" applyNumberFormat="1" applyFont="1" applyBorder="1" applyProtection="1">
      <protection hidden="1"/>
    </xf>
    <xf numFmtId="1" fontId="5" fillId="0" borderId="64" xfId="5" applyNumberFormat="1" applyFont="1" applyBorder="1" applyAlignment="1" applyProtection="1">
      <alignment horizontal="center"/>
      <protection hidden="1"/>
    </xf>
    <xf numFmtId="0" fontId="4" fillId="0" borderId="88" xfId="5" applyBorder="1" applyProtection="1">
      <protection hidden="1"/>
    </xf>
    <xf numFmtId="0" fontId="4" fillId="0" borderId="89" xfId="5" applyBorder="1" applyProtection="1">
      <protection hidden="1"/>
    </xf>
    <xf numFmtId="0" fontId="5" fillId="0" borderId="64" xfId="5" applyFont="1" applyBorder="1" applyProtection="1">
      <protection hidden="1"/>
    </xf>
    <xf numFmtId="0" fontId="4" fillId="0" borderId="65" xfId="5" applyBorder="1" applyAlignment="1" applyProtection="1">
      <alignment horizontal="center"/>
      <protection hidden="1"/>
    </xf>
    <xf numFmtId="1" fontId="5" fillId="0" borderId="53" xfId="5" applyNumberFormat="1" applyFont="1" applyBorder="1" applyAlignment="1" applyProtection="1">
      <alignment horizontal="center"/>
      <protection hidden="1"/>
    </xf>
    <xf numFmtId="0" fontId="4" fillId="0" borderId="57" xfId="5" applyBorder="1" applyProtection="1">
      <protection hidden="1"/>
    </xf>
    <xf numFmtId="0" fontId="4" fillId="0" borderId="54" xfId="5" applyBorder="1" applyProtection="1">
      <protection hidden="1"/>
    </xf>
    <xf numFmtId="0" fontId="5" fillId="0" borderId="53" xfId="5" applyFont="1" applyBorder="1" applyProtection="1">
      <protection hidden="1"/>
    </xf>
    <xf numFmtId="0" fontId="4" fillId="0" borderId="55" xfId="5" applyBorder="1" applyAlignment="1" applyProtection="1">
      <alignment horizontal="center"/>
      <protection hidden="1"/>
    </xf>
    <xf numFmtId="3" fontId="5" fillId="0" borderId="90" xfId="5" applyNumberFormat="1" applyFont="1" applyBorder="1" applyAlignment="1" applyProtection="1">
      <alignment horizontal="center"/>
      <protection hidden="1"/>
    </xf>
    <xf numFmtId="0" fontId="4" fillId="0" borderId="91" xfId="5" applyBorder="1" applyProtection="1">
      <protection hidden="1"/>
    </xf>
    <xf numFmtId="0" fontId="4" fillId="0" borderId="92" xfId="5" applyBorder="1" applyProtection="1">
      <protection hidden="1"/>
    </xf>
    <xf numFmtId="0" fontId="5" fillId="0" borderId="90" xfId="5" applyFont="1" applyBorder="1" applyProtection="1">
      <protection hidden="1"/>
    </xf>
    <xf numFmtId="0" fontId="4" fillId="0" borderId="93" xfId="5" applyBorder="1" applyAlignment="1" applyProtection="1">
      <alignment horizontal="center"/>
      <protection hidden="1"/>
    </xf>
    <xf numFmtId="0" fontId="4" fillId="0" borderId="25" xfId="5" applyBorder="1" applyProtection="1">
      <protection hidden="1"/>
    </xf>
    <xf numFmtId="0" fontId="4" fillId="0" borderId="10" xfId="5" applyBorder="1" applyProtection="1">
      <protection hidden="1"/>
    </xf>
    <xf numFmtId="0" fontId="4" fillId="0" borderId="43" xfId="5" applyBorder="1" applyProtection="1">
      <protection hidden="1"/>
    </xf>
    <xf numFmtId="0" fontId="5" fillId="0" borderId="25" xfId="5" applyFont="1" applyBorder="1" applyProtection="1">
      <protection hidden="1"/>
    </xf>
    <xf numFmtId="0" fontId="4" fillId="0" borderId="21" xfId="5" applyBorder="1" applyAlignment="1" applyProtection="1">
      <alignment horizontal="center"/>
      <protection hidden="1"/>
    </xf>
    <xf numFmtId="1" fontId="6" fillId="5" borderId="0" xfId="5" applyNumberFormat="1" applyFont="1" applyFill="1" applyAlignment="1" applyProtection="1">
      <alignment horizontal="centerContinuous" vertical="center" wrapText="1"/>
      <protection hidden="1"/>
    </xf>
    <xf numFmtId="1" fontId="33" fillId="0" borderId="0" xfId="5" applyNumberFormat="1" applyFont="1" applyAlignment="1">
      <alignment horizontal="centerContinuous" vertical="center" wrapText="1"/>
    </xf>
    <xf numFmtId="0" fontId="6" fillId="0" borderId="0" xfId="5" applyFont="1" applyAlignment="1">
      <alignment horizontal="centerContinuous" vertical="center" wrapText="1"/>
    </xf>
    <xf numFmtId="0" fontId="4" fillId="0" borderId="0" xfId="5" applyAlignment="1">
      <alignment horizontal="left" vertical="top" wrapText="1"/>
    </xf>
    <xf numFmtId="0" fontId="4" fillId="0" borderId="0" xfId="5" applyAlignment="1">
      <alignment wrapText="1"/>
    </xf>
    <xf numFmtId="0" fontId="4" fillId="0" borderId="0" xfId="5"/>
    <xf numFmtId="0" fontId="7" fillId="0" borderId="0" xfId="5" applyFont="1" applyAlignment="1">
      <alignment horizontal="centerContinuous" vertical="center" wrapText="1"/>
    </xf>
    <xf numFmtId="0" fontId="46" fillId="0" borderId="0" xfId="5" applyFont="1" applyAlignment="1">
      <alignment horizontal="centerContinuous" vertical="center"/>
    </xf>
    <xf numFmtId="0" fontId="7" fillId="0" borderId="0" xfId="5" applyFont="1" applyAlignment="1">
      <alignment horizontal="centerContinuous" vertical="center"/>
    </xf>
    <xf numFmtId="0" fontId="8" fillId="0" borderId="0" xfId="5" applyFont="1" applyAlignment="1">
      <alignment horizontal="centerContinuous" vertical="center" wrapText="1"/>
    </xf>
    <xf numFmtId="0" fontId="4" fillId="0" borderId="0" xfId="5" applyAlignment="1">
      <alignment horizontal="centerContinuous" vertical="center" wrapText="1"/>
    </xf>
    <xf numFmtId="0" fontId="4" fillId="0" borderId="0" xfId="5" applyAlignment="1">
      <alignment horizontal="center"/>
    </xf>
    <xf numFmtId="165" fontId="4" fillId="0" borderId="0" xfId="1"/>
    <xf numFmtId="0" fontId="4" fillId="0" borderId="98" xfId="5" applyBorder="1" applyAlignment="1">
      <alignment horizontal="centerContinuous" vertical="center" wrapText="1"/>
    </xf>
    <xf numFmtId="0" fontId="4" fillId="0" borderId="0" xfId="5" applyAlignment="1">
      <alignment horizontal="center" vertical="center" wrapText="1"/>
    </xf>
    <xf numFmtId="0" fontId="4" fillId="0" borderId="99" xfId="5" applyBorder="1" applyAlignment="1">
      <alignment horizontal="center"/>
    </xf>
    <xf numFmtId="0" fontId="4" fillId="0" borderId="100" xfId="5" applyBorder="1"/>
    <xf numFmtId="165" fontId="4" fillId="0" borderId="100" xfId="1" applyBorder="1"/>
    <xf numFmtId="0" fontId="4" fillId="0" borderId="101" xfId="5" applyBorder="1"/>
    <xf numFmtId="0" fontId="9" fillId="2" borderId="94" xfId="5" applyFont="1" applyFill="1" applyBorder="1" applyAlignment="1">
      <alignment horizontal="centerContinuous" vertical="center"/>
    </xf>
    <xf numFmtId="0" fontId="9" fillId="2" borderId="102" xfId="5" applyFont="1" applyFill="1" applyBorder="1" applyAlignment="1">
      <alignment horizontal="centerContinuous" vertical="center"/>
    </xf>
    <xf numFmtId="0" fontId="9" fillId="2" borderId="97" xfId="5" applyFont="1" applyFill="1" applyBorder="1" applyAlignment="1">
      <alignment horizontal="centerContinuous" vertical="center"/>
    </xf>
    <xf numFmtId="0" fontId="9" fillId="2" borderId="106" xfId="5" applyFont="1" applyFill="1" applyBorder="1" applyAlignment="1">
      <alignment horizontal="center" vertical="center"/>
    </xf>
    <xf numFmtId="0" fontId="9" fillId="2" borderId="107" xfId="5" applyFont="1" applyFill="1" applyBorder="1" applyAlignment="1">
      <alignment horizontal="center" vertical="center"/>
    </xf>
    <xf numFmtId="0" fontId="9" fillId="2" borderId="108" xfId="5" applyFont="1" applyFill="1" applyBorder="1" applyAlignment="1">
      <alignment horizontal="center" vertical="center"/>
    </xf>
    <xf numFmtId="0" fontId="4" fillId="2" borderId="109" xfId="5" applyFill="1" applyBorder="1"/>
    <xf numFmtId="0" fontId="9" fillId="2" borderId="110" xfId="5" applyFont="1" applyFill="1" applyBorder="1" applyAlignment="1">
      <alignment horizontal="center"/>
    </xf>
    <xf numFmtId="0" fontId="50" fillId="2" borderId="111" xfId="5" applyFont="1" applyFill="1" applyBorder="1" applyAlignment="1">
      <alignment horizontal="center" vertical="center"/>
    </xf>
    <xf numFmtId="3" fontId="9" fillId="2" borderId="112" xfId="5" applyNumberFormat="1" applyFont="1" applyFill="1" applyBorder="1" applyAlignment="1">
      <alignment horizontal="center" vertical="center"/>
    </xf>
    <xf numFmtId="171" fontId="9" fillId="2" borderId="111" xfId="5" applyNumberFormat="1" applyFont="1" applyFill="1" applyBorder="1"/>
    <xf numFmtId="0" fontId="9" fillId="2" borderId="112" xfId="5" applyFont="1" applyFill="1" applyBorder="1" applyAlignment="1">
      <alignment horizontal="center" vertical="center"/>
    </xf>
    <xf numFmtId="0" fontId="9" fillId="9" borderId="110" xfId="5" applyFont="1" applyFill="1" applyBorder="1" applyAlignment="1">
      <alignment horizontal="center"/>
    </xf>
    <xf numFmtId="0" fontId="50" fillId="9" borderId="111" xfId="5" applyFont="1" applyFill="1" applyBorder="1" applyAlignment="1">
      <alignment horizontal="center" vertical="center"/>
    </xf>
    <xf numFmtId="165" fontId="9" fillId="9" borderId="112" xfId="1" applyFont="1" applyFill="1" applyBorder="1" applyAlignment="1">
      <alignment horizontal="center" vertical="center"/>
    </xf>
    <xf numFmtId="165" fontId="9" fillId="9" borderId="111" xfId="1" applyFont="1" applyFill="1" applyBorder="1" applyAlignment="1">
      <alignment horizontal="center" vertical="center"/>
    </xf>
    <xf numFmtId="171" fontId="9" fillId="9" borderId="111" xfId="5" applyNumberFormat="1" applyFont="1" applyFill="1" applyBorder="1"/>
    <xf numFmtId="0" fontId="9" fillId="9" borderId="112" xfId="5" applyFont="1" applyFill="1" applyBorder="1" applyAlignment="1" applyProtection="1">
      <alignment horizontal="center" vertical="center"/>
      <protection locked="0"/>
    </xf>
    <xf numFmtId="0" fontId="9" fillId="2" borderId="98" xfId="5" applyFont="1" applyFill="1" applyBorder="1" applyAlignment="1">
      <alignment horizontal="center"/>
    </xf>
    <xf numFmtId="0" fontId="50" fillId="2" borderId="0" xfId="5" applyFont="1" applyFill="1" applyAlignment="1">
      <alignment horizontal="center" vertical="center"/>
    </xf>
    <xf numFmtId="3" fontId="9" fillId="2" borderId="108" xfId="5" applyNumberFormat="1" applyFont="1" applyFill="1" applyBorder="1" applyAlignment="1">
      <alignment horizontal="center" vertical="center"/>
    </xf>
    <xf numFmtId="171" fontId="9" fillId="2" borderId="0" xfId="5" applyNumberFormat="1" applyFont="1" applyFill="1"/>
    <xf numFmtId="0" fontId="9" fillId="2" borderId="0" xfId="5" applyFont="1" applyFill="1" applyAlignment="1">
      <alignment horizontal="center" vertical="center"/>
    </xf>
    <xf numFmtId="0" fontId="4" fillId="11" borderId="114" xfId="5" applyFill="1" applyBorder="1" applyAlignment="1">
      <alignment horizontal="center"/>
    </xf>
    <xf numFmtId="0" fontId="4" fillId="11" borderId="114" xfId="5" applyFill="1" applyBorder="1"/>
    <xf numFmtId="165" fontId="4" fillId="11" borderId="114" xfId="1" applyFill="1" applyBorder="1"/>
    <xf numFmtId="165" fontId="4" fillId="11" borderId="109" xfId="1" applyFill="1" applyBorder="1"/>
    <xf numFmtId="0" fontId="4" fillId="11" borderId="109" xfId="5" applyFill="1" applyBorder="1"/>
    <xf numFmtId="0" fontId="4" fillId="11" borderId="108" xfId="5" applyFill="1" applyBorder="1"/>
    <xf numFmtId="0" fontId="9" fillId="12" borderId="115" xfId="5" applyFont="1" applyFill="1" applyBorder="1" applyAlignment="1">
      <alignment horizontal="center"/>
    </xf>
    <xf numFmtId="0" fontId="51" fillId="12" borderId="115" xfId="5" applyFont="1" applyFill="1" applyBorder="1" applyAlignment="1">
      <alignment horizontal="center" vertical="center"/>
    </xf>
    <xf numFmtId="172" fontId="9" fillId="12" borderId="116" xfId="6" applyNumberFormat="1" applyFont="1" applyFill="1" applyBorder="1" applyAlignment="1" applyProtection="1">
      <alignment vertical="center"/>
      <protection locked="0"/>
    </xf>
    <xf numFmtId="171" fontId="9" fillId="12" borderId="0" xfId="5" applyNumberFormat="1" applyFont="1" applyFill="1"/>
    <xf numFmtId="0" fontId="9" fillId="12" borderId="117" xfId="5" applyFont="1" applyFill="1" applyBorder="1" applyAlignment="1">
      <alignment horizontal="center" vertical="center"/>
    </xf>
    <xf numFmtId="0" fontId="4" fillId="12" borderId="109" xfId="5" applyFill="1" applyBorder="1"/>
    <xf numFmtId="0" fontId="4" fillId="12" borderId="114" xfId="5" applyFill="1" applyBorder="1" applyAlignment="1">
      <alignment horizontal="center"/>
    </xf>
    <xf numFmtId="0" fontId="4" fillId="12" borderId="114" xfId="5" applyFill="1" applyBorder="1"/>
    <xf numFmtId="165" fontId="4" fillId="12" borderId="114" xfId="1" applyFill="1" applyBorder="1"/>
    <xf numFmtId="165" fontId="4" fillId="12" borderId="109" xfId="1" applyFill="1" applyBorder="1"/>
    <xf numFmtId="168" fontId="8" fillId="12" borderId="108" xfId="5" applyNumberFormat="1" applyFont="1" applyFill="1" applyBorder="1"/>
    <xf numFmtId="0" fontId="4" fillId="12" borderId="118" xfId="5" applyFill="1" applyBorder="1" applyAlignment="1">
      <alignment horizontal="left" vertical="top" wrapText="1"/>
    </xf>
    <xf numFmtId="0" fontId="4" fillId="12" borderId="61" xfId="5" applyFill="1" applyBorder="1" applyAlignment="1">
      <alignment wrapText="1"/>
    </xf>
    <xf numFmtId="0" fontId="9" fillId="12" borderId="119" xfId="5" applyFont="1" applyFill="1" applyBorder="1" applyAlignment="1">
      <alignment horizontal="center"/>
    </xf>
    <xf numFmtId="0" fontId="51" fillId="12" borderId="119" xfId="5" applyFont="1" applyFill="1" applyBorder="1" applyAlignment="1">
      <alignment horizontal="center" vertical="center"/>
    </xf>
    <xf numFmtId="172" fontId="9" fillId="12" borderId="116" xfId="6" applyNumberFormat="1" applyFont="1" applyFill="1" applyBorder="1" applyAlignment="1">
      <alignment vertical="center"/>
    </xf>
    <xf numFmtId="1" fontId="5" fillId="2" borderId="120" xfId="5" applyNumberFormat="1" applyFont="1" applyFill="1" applyBorder="1" applyAlignment="1">
      <alignment horizontal="center" vertical="center"/>
    </xf>
    <xf numFmtId="1" fontId="9" fillId="2" borderId="120" xfId="5" applyNumberFormat="1" applyFont="1" applyFill="1" applyBorder="1" applyAlignment="1">
      <alignment horizontal="left" vertical="center"/>
    </xf>
    <xf numFmtId="173" fontId="5" fillId="2" borderId="117" xfId="5" applyNumberFormat="1" applyFont="1" applyFill="1" applyBorder="1"/>
    <xf numFmtId="4" fontId="49" fillId="2" borderId="117" xfId="5" applyNumberFormat="1" applyFont="1" applyFill="1" applyBorder="1" applyAlignment="1">
      <alignment horizontal="center"/>
    </xf>
    <xf numFmtId="0" fontId="9" fillId="2" borderId="109" xfId="5" applyFont="1" applyFill="1" applyBorder="1"/>
    <xf numFmtId="1" fontId="4" fillId="11" borderId="114" xfId="5" applyNumberFormat="1" applyFill="1" applyBorder="1" applyAlignment="1">
      <alignment horizontal="center"/>
    </xf>
    <xf numFmtId="0" fontId="5" fillId="11" borderId="114" xfId="5" applyFont="1" applyFill="1" applyBorder="1"/>
    <xf numFmtId="171" fontId="7" fillId="11" borderId="108" xfId="5" applyNumberFormat="1" applyFont="1" applyFill="1" applyBorder="1" applyAlignment="1">
      <alignment horizontal="center" vertical="center"/>
    </xf>
    <xf numFmtId="10" fontId="8" fillId="13" borderId="118" xfId="5" applyNumberFormat="1" applyFont="1" applyFill="1" applyBorder="1" applyAlignment="1">
      <alignment horizontal="center" vertical="top" wrapText="1"/>
    </xf>
    <xf numFmtId="10" fontId="8" fillId="13" borderId="61" xfId="5" applyNumberFormat="1" applyFont="1" applyFill="1" applyBorder="1" applyAlignment="1">
      <alignment horizontal="center" vertical="top" wrapText="1"/>
    </xf>
    <xf numFmtId="1" fontId="5" fillId="14" borderId="120" xfId="5" applyNumberFormat="1" applyFont="1" applyFill="1" applyBorder="1" applyAlignment="1">
      <alignment horizontal="center" vertical="center"/>
    </xf>
    <xf numFmtId="1" fontId="5" fillId="14" borderId="120" xfId="5" applyNumberFormat="1" applyFont="1" applyFill="1" applyBorder="1" applyAlignment="1">
      <alignment horizontal="left" vertical="center"/>
    </xf>
    <xf numFmtId="3" fontId="5" fillId="14" borderId="115" xfId="5" applyNumberFormat="1" applyFont="1" applyFill="1" applyBorder="1"/>
    <xf numFmtId="173" fontId="5" fillId="14" borderId="117" xfId="5" applyNumberFormat="1" applyFont="1" applyFill="1" applyBorder="1"/>
    <xf numFmtId="10" fontId="9" fillId="14" borderId="57" xfId="5" applyNumberFormat="1" applyFont="1" applyFill="1" applyBorder="1" applyAlignment="1">
      <alignment horizontal="center"/>
    </xf>
    <xf numFmtId="4" fontId="9" fillId="14" borderId="117" xfId="5" applyNumberFormat="1" applyFont="1" applyFill="1" applyBorder="1" applyAlignment="1">
      <alignment horizontal="center"/>
    </xf>
    <xf numFmtId="0" fontId="4" fillId="14" borderId="109" xfId="5" applyFill="1" applyBorder="1"/>
    <xf numFmtId="10" fontId="4" fillId="13" borderId="118" xfId="5" applyNumberFormat="1" applyFill="1" applyBorder="1" applyAlignment="1">
      <alignment horizontal="left" vertical="top" wrapText="1"/>
    </xf>
    <xf numFmtId="0" fontId="4" fillId="13" borderId="61" xfId="5" applyFill="1" applyBorder="1" applyAlignment="1">
      <alignment wrapText="1"/>
    </xf>
    <xf numFmtId="0" fontId="4" fillId="13" borderId="61" xfId="5" applyFill="1" applyBorder="1"/>
    <xf numFmtId="1" fontId="5" fillId="2" borderId="98" xfId="5" applyNumberFormat="1" applyFont="1" applyFill="1" applyBorder="1" applyAlignment="1">
      <alignment horizontal="center" vertical="center"/>
    </xf>
    <xf numFmtId="0" fontId="5" fillId="2" borderId="0" xfId="5" applyFont="1" applyFill="1" applyAlignment="1">
      <alignment horizontal="centerContinuous" vertical="center" wrapText="1"/>
    </xf>
    <xf numFmtId="4" fontId="5" fillId="2" borderId="0" xfId="5" applyNumberFormat="1" applyFont="1" applyFill="1"/>
    <xf numFmtId="3" fontId="5" fillId="2" borderId="0" xfId="5" applyNumberFormat="1" applyFont="1" applyFill="1"/>
    <xf numFmtId="0" fontId="4" fillId="2" borderId="121" xfId="5" applyFill="1" applyBorder="1"/>
    <xf numFmtId="0" fontId="4" fillId="11" borderId="122" xfId="5" applyFill="1" applyBorder="1" applyAlignment="1">
      <alignment horizontal="center"/>
    </xf>
    <xf numFmtId="0" fontId="4" fillId="11" borderId="122" xfId="5" applyFill="1" applyBorder="1"/>
    <xf numFmtId="0" fontId="4" fillId="13" borderId="118" xfId="5" applyFill="1" applyBorder="1" applyAlignment="1">
      <alignment horizontal="left" vertical="top" wrapText="1"/>
    </xf>
    <xf numFmtId="4" fontId="5" fillId="2" borderId="112" xfId="5" applyNumberFormat="1" applyFont="1" applyFill="1" applyBorder="1"/>
    <xf numFmtId="0" fontId="4" fillId="2" borderId="112" xfId="5" applyFill="1" applyBorder="1"/>
    <xf numFmtId="165" fontId="5" fillId="11" borderId="112" xfId="1" applyFont="1" applyFill="1" applyBorder="1"/>
    <xf numFmtId="0" fontId="4" fillId="11" borderId="112" xfId="5" applyFill="1" applyBorder="1"/>
    <xf numFmtId="4" fontId="9" fillId="13" borderId="112" xfId="5" applyNumberFormat="1" applyFont="1" applyFill="1" applyBorder="1" applyAlignment="1">
      <alignment horizontal="center"/>
    </xf>
    <xf numFmtId="174" fontId="9" fillId="13" borderId="112" xfId="5" applyNumberFormat="1" applyFont="1" applyFill="1" applyBorder="1" applyAlignment="1">
      <alignment horizontal="center"/>
    </xf>
    <xf numFmtId="10" fontId="5" fillId="2" borderId="112" xfId="5" applyNumberFormat="1" applyFont="1" applyFill="1" applyBorder="1"/>
    <xf numFmtId="10" fontId="9" fillId="13" borderId="112" xfId="5" applyNumberFormat="1" applyFont="1" applyFill="1" applyBorder="1" applyAlignment="1">
      <alignment horizontal="center"/>
    </xf>
    <xf numFmtId="0" fontId="4" fillId="0" borderId="95" xfId="5" applyBorder="1"/>
    <xf numFmtId="0" fontId="8" fillId="0" borderId="95" xfId="5" applyFont="1" applyBorder="1"/>
    <xf numFmtId="4" fontId="4" fillId="0" borderId="0" xfId="5" applyNumberFormat="1"/>
    <xf numFmtId="165" fontId="5" fillId="0" borderId="0" xfId="1" applyFont="1"/>
    <xf numFmtId="168" fontId="9" fillId="2" borderId="116" xfId="5" applyNumberFormat="1" applyFont="1" applyFill="1" applyBorder="1" applyAlignment="1">
      <alignment horizontal="center"/>
    </xf>
    <xf numFmtId="41" fontId="4" fillId="0" borderId="0" xfId="7" applyFont="1"/>
    <xf numFmtId="168" fontId="4" fillId="0" borderId="0" xfId="5" applyNumberFormat="1"/>
    <xf numFmtId="165" fontId="4" fillId="0" borderId="0" xfId="5" applyNumberFormat="1"/>
    <xf numFmtId="43" fontId="4" fillId="0" borderId="0" xfId="5" applyNumberFormat="1"/>
    <xf numFmtId="0" fontId="4" fillId="12" borderId="108" xfId="5" applyFill="1" applyBorder="1"/>
    <xf numFmtId="0" fontId="9" fillId="11" borderId="108" xfId="5" applyFont="1" applyFill="1" applyBorder="1"/>
    <xf numFmtId="4" fontId="9" fillId="13" borderId="108" xfId="5" applyNumberFormat="1" applyFont="1" applyFill="1" applyBorder="1" applyAlignment="1">
      <alignment horizontal="center"/>
    </xf>
    <xf numFmtId="10" fontId="9" fillId="13" borderId="108" xfId="5" applyNumberFormat="1" applyFont="1" applyFill="1" applyBorder="1" applyAlignment="1">
      <alignment horizontal="center"/>
    </xf>
    <xf numFmtId="168" fontId="9" fillId="11" borderId="108" xfId="5" applyNumberFormat="1" applyFont="1" applyFill="1" applyBorder="1"/>
    <xf numFmtId="9" fontId="10" fillId="3" borderId="52" xfId="3" applyFont="1" applyFill="1" applyBorder="1" applyProtection="1">
      <protection hidden="1"/>
    </xf>
    <xf numFmtId="175" fontId="4" fillId="2" borderId="103" xfId="5" applyNumberFormat="1" applyFill="1" applyBorder="1" applyAlignment="1">
      <alignment horizontal="center" vertical="center"/>
    </xf>
    <xf numFmtId="0" fontId="4" fillId="7" borderId="0" xfId="5" applyFill="1"/>
    <xf numFmtId="165" fontId="9" fillId="9" borderId="102" xfId="1" applyFont="1" applyFill="1" applyBorder="1" applyAlignment="1">
      <alignment horizontal="center" vertical="center"/>
    </xf>
    <xf numFmtId="165" fontId="9" fillId="9" borderId="105" xfId="1" applyFont="1" applyFill="1" applyBorder="1" applyAlignment="1">
      <alignment horizontal="center" vertical="center"/>
    </xf>
    <xf numFmtId="0" fontId="49" fillId="9" borderId="102" xfId="5" applyFont="1" applyFill="1" applyBorder="1" applyAlignment="1">
      <alignment horizontal="center" vertical="center"/>
    </xf>
    <xf numFmtId="0" fontId="49" fillId="9" borderId="105" xfId="5" applyFont="1" applyFill="1" applyBorder="1" applyAlignment="1">
      <alignment horizontal="center" vertical="center"/>
    </xf>
    <xf numFmtId="168" fontId="4" fillId="11" borderId="121" xfId="5" applyNumberFormat="1" applyFill="1" applyBorder="1"/>
    <xf numFmtId="10" fontId="9" fillId="2" borderId="57" xfId="5" applyNumberFormat="1" applyFont="1" applyFill="1" applyBorder="1" applyAlignment="1">
      <alignment horizontal="left"/>
    </xf>
    <xf numFmtId="168" fontId="5" fillId="2" borderId="112" xfId="5" applyNumberFormat="1" applyFont="1" applyFill="1" applyBorder="1"/>
    <xf numFmtId="168" fontId="5" fillId="15" borderId="112" xfId="5" applyNumberFormat="1" applyFont="1" applyFill="1" applyBorder="1"/>
    <xf numFmtId="176" fontId="5" fillId="11" borderId="112" xfId="1" applyNumberFormat="1" applyFont="1" applyFill="1" applyBorder="1"/>
    <xf numFmtId="176" fontId="5" fillId="11" borderId="114" xfId="1" applyNumberFormat="1" applyFont="1" applyFill="1" applyBorder="1"/>
    <xf numFmtId="176" fontId="5" fillId="8" borderId="114" xfId="1" applyNumberFormat="1" applyFont="1" applyFill="1" applyBorder="1"/>
    <xf numFmtId="176" fontId="5" fillId="10" borderId="122" xfId="1" applyNumberFormat="1" applyFont="1" applyFill="1" applyBorder="1"/>
    <xf numFmtId="176" fontId="5" fillId="8" borderId="109" xfId="1" applyNumberFormat="1" applyFont="1" applyFill="1" applyBorder="1"/>
    <xf numFmtId="176" fontId="5" fillId="10" borderId="121" xfId="1" applyNumberFormat="1" applyFont="1" applyFill="1" applyBorder="1"/>
    <xf numFmtId="0" fontId="4" fillId="12" borderId="109" xfId="5" applyFill="1" applyBorder="1" applyAlignment="1">
      <alignment horizontal="center" vertical="center"/>
    </xf>
    <xf numFmtId="0" fontId="9" fillId="11" borderId="109" xfId="5" applyFont="1" applyFill="1" applyBorder="1" applyAlignment="1">
      <alignment horizontal="center" vertical="center"/>
    </xf>
    <xf numFmtId="0" fontId="4" fillId="0" borderId="0" xfId="0" applyFont="1" applyBorder="1" applyProtection="1">
      <protection hidden="1"/>
    </xf>
    <xf numFmtId="9" fontId="0" fillId="0" borderId="0" xfId="3" applyFont="1" applyBorder="1" applyProtection="1">
      <protection hidden="1"/>
    </xf>
    <xf numFmtId="0" fontId="5" fillId="0" borderId="0" xfId="0" applyFont="1" applyFill="1" applyProtection="1">
      <protection hidden="1"/>
    </xf>
    <xf numFmtId="15" fontId="19" fillId="0" borderId="0" xfId="0" applyNumberFormat="1" applyFont="1" applyAlignment="1">
      <alignment horizontal="center"/>
    </xf>
    <xf numFmtId="0" fontId="18" fillId="0" borderId="110" xfId="0" applyFont="1" applyBorder="1" applyAlignment="1">
      <alignment horizontal="left"/>
    </xf>
    <xf numFmtId="3" fontId="0" fillId="0" borderId="111" xfId="0" applyNumberFormat="1" applyBorder="1"/>
    <xf numFmtId="177" fontId="3" fillId="0" borderId="0" xfId="0" applyNumberFormat="1" applyFont="1" applyAlignment="1">
      <alignment horizontal="center"/>
    </xf>
    <xf numFmtId="42" fontId="0" fillId="0" borderId="112" xfId="8" applyFont="1" applyBorder="1"/>
    <xf numFmtId="0" fontId="3" fillId="0" borderId="27" xfId="0" applyFont="1" applyBorder="1" applyAlignment="1" applyProtection="1">
      <alignment horizontal="center" vertical="center"/>
      <protection hidden="1"/>
    </xf>
    <xf numFmtId="0" fontId="3" fillId="0" borderId="74" xfId="0" applyFont="1" applyBorder="1" applyAlignment="1" applyProtection="1">
      <alignment vertical="center"/>
      <protection hidden="1"/>
    </xf>
    <xf numFmtId="44" fontId="10" fillId="3" borderId="52" xfId="4" applyFont="1" applyFill="1" applyBorder="1" applyAlignment="1" applyProtection="1">
      <alignment horizontal="center" vertical="center"/>
      <protection hidden="1"/>
    </xf>
    <xf numFmtId="4" fontId="0" fillId="0" borderId="42" xfId="0" applyNumberFormat="1" applyBorder="1" applyAlignment="1" applyProtection="1">
      <alignment horizontal="center" vertical="center"/>
      <protection hidden="1"/>
    </xf>
    <xf numFmtId="9" fontId="0" fillId="0" borderId="61" xfId="3" applyFont="1" applyBorder="1" applyAlignment="1">
      <alignment horizontal="center" vertical="center"/>
    </xf>
    <xf numFmtId="0" fontId="18" fillId="0" borderId="0" xfId="0" applyFont="1" applyBorder="1" applyProtection="1">
      <protection hidden="1"/>
    </xf>
    <xf numFmtId="0" fontId="10" fillId="0" borderId="0" xfId="0" applyFont="1" applyBorder="1" applyProtection="1">
      <protection hidden="1"/>
    </xf>
    <xf numFmtId="4" fontId="0" fillId="0" borderId="0" xfId="0" applyNumberFormat="1" applyBorder="1" applyProtection="1">
      <protection hidden="1"/>
    </xf>
    <xf numFmtId="3" fontId="0" fillId="0" borderId="0" xfId="0" applyNumberFormat="1" applyBorder="1" applyProtection="1">
      <protection hidden="1"/>
    </xf>
    <xf numFmtId="3" fontId="0" fillId="0" borderId="0" xfId="0" applyNumberFormat="1" applyFill="1" applyBorder="1" applyProtection="1">
      <protection hidden="1"/>
    </xf>
    <xf numFmtId="0" fontId="0" fillId="0" borderId="0" xfId="0" applyFill="1" applyBorder="1" applyProtection="1">
      <protection hidden="1"/>
    </xf>
    <xf numFmtId="179" fontId="17" fillId="0" borderId="0" xfId="0" applyNumberFormat="1" applyFont="1" applyAlignment="1">
      <alignment horizontal="center"/>
    </xf>
    <xf numFmtId="0" fontId="2" fillId="0" borderId="0" xfId="9"/>
    <xf numFmtId="0" fontId="55" fillId="16" borderId="125" xfId="9" applyFont="1" applyFill="1" applyBorder="1" applyAlignment="1">
      <alignment horizontal="center" vertical="center" wrapText="1"/>
    </xf>
    <xf numFmtId="1" fontId="2" fillId="17" borderId="125" xfId="9" applyNumberFormat="1" applyFill="1" applyBorder="1" applyAlignment="1">
      <alignment horizontal="right" vertical="center" wrapText="1"/>
    </xf>
    <xf numFmtId="180" fontId="2" fillId="18" borderId="125" xfId="9" applyNumberFormat="1" applyFill="1" applyBorder="1" applyAlignment="1">
      <alignment horizontal="right" vertical="center" wrapText="1"/>
    </xf>
    <xf numFmtId="180" fontId="2" fillId="16" borderId="125" xfId="9" applyNumberFormat="1" applyFill="1" applyBorder="1" applyAlignment="1">
      <alignment horizontal="right" vertical="center" wrapText="1"/>
    </xf>
    <xf numFmtId="0" fontId="2" fillId="0" borderId="125" xfId="9" applyBorder="1"/>
    <xf numFmtId="14" fontId="2" fillId="0" borderId="0" xfId="9" applyNumberFormat="1"/>
    <xf numFmtId="42" fontId="2" fillId="0" borderId="0" xfId="8" applyFont="1"/>
    <xf numFmtId="0" fontId="43" fillId="0" borderId="0" xfId="0" applyFont="1" applyProtection="1">
      <protection hidden="1"/>
    </xf>
    <xf numFmtId="1" fontId="36" fillId="0" borderId="0" xfId="0" applyNumberFormat="1" applyFont="1" applyAlignment="1" applyProtection="1">
      <alignment vertical="center" wrapText="1"/>
      <protection hidden="1"/>
    </xf>
    <xf numFmtId="0" fontId="33" fillId="0" borderId="0" xfId="0" applyFont="1" applyAlignment="1" applyProtection="1">
      <alignment vertical="center" wrapText="1"/>
      <protection hidden="1"/>
    </xf>
    <xf numFmtId="0" fontId="41" fillId="0" borderId="0" xfId="0" applyFont="1" applyAlignment="1" applyProtection="1">
      <alignment vertical="center" wrapText="1"/>
      <protection hidden="1"/>
    </xf>
    <xf numFmtId="0" fontId="35" fillId="0" borderId="0" xfId="0" applyFont="1" applyAlignment="1" applyProtection="1">
      <alignment vertical="center" wrapText="1"/>
      <protection hidden="1"/>
    </xf>
    <xf numFmtId="0" fontId="36" fillId="0" borderId="0" xfId="0" applyFont="1" applyAlignment="1" applyProtection="1">
      <alignment vertical="center" wrapText="1"/>
      <protection hidden="1"/>
    </xf>
    <xf numFmtId="0" fontId="34" fillId="0" borderId="0" xfId="0" applyFont="1" applyAlignment="1" applyProtection="1">
      <alignment vertical="center" wrapText="1"/>
      <protection hidden="1"/>
    </xf>
    <xf numFmtId="167" fontId="40" fillId="0" borderId="0" xfId="0" applyNumberFormat="1" applyFont="1" applyFill="1" applyAlignment="1" applyProtection="1">
      <alignment horizontal="centerContinuous" vertical="center" wrapText="1"/>
      <protection hidden="1"/>
    </xf>
    <xf numFmtId="9" fontId="9" fillId="0" borderId="2" xfId="3" applyFont="1" applyFill="1" applyBorder="1" applyAlignment="1" applyProtection="1">
      <alignment horizontal="center" vertical="center"/>
      <protection hidden="1"/>
    </xf>
    <xf numFmtId="15" fontId="9" fillId="0" borderId="3" xfId="0" applyNumberFormat="1" applyFont="1" applyFill="1" applyBorder="1" applyAlignment="1" applyProtection="1">
      <alignment horizontal="center" vertical="center" wrapText="1"/>
      <protection hidden="1"/>
    </xf>
    <xf numFmtId="15" fontId="9" fillId="0" borderId="4" xfId="0" applyNumberFormat="1" applyFont="1" applyFill="1" applyBorder="1" applyAlignment="1" applyProtection="1">
      <alignment horizontal="center" vertical="center"/>
      <protection hidden="1"/>
    </xf>
    <xf numFmtId="0" fontId="34" fillId="0" borderId="0" xfId="0" applyFont="1" applyFill="1" applyAlignment="1" applyProtection="1">
      <alignment horizontal="centerContinuous" vertical="center" wrapText="1"/>
      <protection hidden="1"/>
    </xf>
    <xf numFmtId="0" fontId="54" fillId="0" borderId="0" xfId="0" applyFont="1" applyFill="1" applyAlignment="1" applyProtection="1">
      <alignment horizontal="centerContinuous" vertical="center" wrapText="1"/>
      <protection hidden="1"/>
    </xf>
    <xf numFmtId="15" fontId="12" fillId="0" borderId="5" xfId="3" applyNumberFormat="1" applyFont="1" applyFill="1" applyBorder="1" applyAlignment="1" applyProtection="1">
      <alignment horizontal="center" vertical="center"/>
      <protection hidden="1"/>
    </xf>
    <xf numFmtId="0" fontId="9" fillId="0" borderId="0" xfId="0" applyFont="1" applyProtection="1">
      <protection hidden="1"/>
    </xf>
    <xf numFmtId="0" fontId="21" fillId="0" borderId="0" xfId="0" applyFont="1" applyAlignment="1" applyProtection="1">
      <alignment horizontal="left"/>
      <protection hidden="1"/>
    </xf>
    <xf numFmtId="0" fontId="22" fillId="0" borderId="0" xfId="0" applyFont="1" applyFill="1" applyAlignment="1" applyProtection="1">
      <alignment horizontal="centerContinuous" vertical="center"/>
      <protection hidden="1"/>
    </xf>
    <xf numFmtId="0" fontId="22" fillId="0" borderId="0" xfId="0" applyFont="1" applyAlignment="1" applyProtection="1">
      <alignment horizontal="centerContinuous" vertical="center"/>
      <protection hidden="1"/>
    </xf>
    <xf numFmtId="0" fontId="9" fillId="0" borderId="24" xfId="0" applyFont="1" applyBorder="1" applyAlignment="1" applyProtection="1">
      <alignment horizontal="center" vertical="center"/>
      <protection hidden="1"/>
    </xf>
    <xf numFmtId="0" fontId="9" fillId="0" borderId="8" xfId="0" applyFont="1" applyFill="1" applyBorder="1" applyAlignment="1" applyProtection="1">
      <alignment horizontal="center" vertical="center"/>
      <protection hidden="1"/>
    </xf>
    <xf numFmtId="0" fontId="9" fillId="0" borderId="25" xfId="0" applyFont="1" applyBorder="1" applyAlignment="1" applyProtection="1">
      <alignment horizontal="center" vertical="center"/>
      <protection hidden="1"/>
    </xf>
    <xf numFmtId="0" fontId="9" fillId="0" borderId="23" xfId="0" applyFont="1" applyFill="1" applyBorder="1" applyAlignment="1" applyProtection="1">
      <alignment horizontal="center" vertical="center"/>
      <protection hidden="1"/>
    </xf>
    <xf numFmtId="0" fontId="9" fillId="0" borderId="10" xfId="0" applyFont="1" applyFill="1" applyBorder="1" applyAlignment="1" applyProtection="1">
      <alignment horizontal="center" vertical="center"/>
      <protection hidden="1"/>
    </xf>
    <xf numFmtId="9" fontId="9" fillId="0" borderId="10" xfId="3" applyFont="1" applyFill="1" applyBorder="1" applyAlignment="1" applyProtection="1">
      <alignment horizontal="center" vertical="center"/>
      <protection hidden="1"/>
    </xf>
    <xf numFmtId="9" fontId="9" fillId="0" borderId="10" xfId="3" applyFont="1" applyFill="1" applyBorder="1" applyAlignment="1" applyProtection="1">
      <alignment horizontal="center" vertical="center" wrapText="1"/>
      <protection hidden="1"/>
    </xf>
    <xf numFmtId="0" fontId="9" fillId="0" borderId="6" xfId="0" applyFont="1" applyBorder="1" applyAlignment="1" applyProtection="1">
      <alignment horizontal="center" vertical="center" wrapText="1"/>
      <protection hidden="1"/>
    </xf>
    <xf numFmtId="0" fontId="9" fillId="0" borderId="9" xfId="0" applyFont="1" applyBorder="1" applyAlignment="1" applyProtection="1">
      <alignment horizontal="center" vertical="center"/>
      <protection hidden="1"/>
    </xf>
    <xf numFmtId="0" fontId="9" fillId="0" borderId="21" xfId="0" applyFont="1" applyFill="1" applyBorder="1" applyAlignment="1" applyProtection="1">
      <alignment horizontal="center" vertical="center"/>
      <protection hidden="1"/>
    </xf>
    <xf numFmtId="0" fontId="5" fillId="0" borderId="30" xfId="0" applyFont="1" applyBorder="1" applyAlignment="1" applyProtection="1">
      <alignment horizontal="center" vertical="center"/>
      <protection hidden="1"/>
    </xf>
    <xf numFmtId="0" fontId="9" fillId="0" borderId="31" xfId="0" applyFont="1" applyFill="1" applyBorder="1" applyAlignment="1" applyProtection="1">
      <alignment horizontal="center" vertical="center"/>
      <protection hidden="1"/>
    </xf>
    <xf numFmtId="0" fontId="9" fillId="0" borderId="32" xfId="0" applyFont="1" applyFill="1" applyBorder="1" applyAlignment="1" applyProtection="1">
      <alignment horizontal="center" vertical="center"/>
      <protection hidden="1"/>
    </xf>
    <xf numFmtId="9" fontId="9" fillId="0" borderId="31" xfId="3" applyFont="1" applyFill="1" applyBorder="1" applyAlignment="1" applyProtection="1">
      <alignment horizontal="center" vertical="center"/>
      <protection hidden="1"/>
    </xf>
    <xf numFmtId="9" fontId="9" fillId="0" borderId="31" xfId="3" applyFont="1" applyFill="1" applyBorder="1" applyAlignment="1" applyProtection="1">
      <alignment horizontal="center" vertical="center" wrapText="1"/>
      <protection hidden="1"/>
    </xf>
    <xf numFmtId="0" fontId="9" fillId="0" borderId="32" xfId="0" applyFont="1" applyBorder="1" applyAlignment="1" applyProtection="1">
      <alignment horizontal="center" vertical="center" wrapText="1"/>
      <protection hidden="1"/>
    </xf>
    <xf numFmtId="0" fontId="9" fillId="0" borderId="28" xfId="0" applyFont="1" applyBorder="1" applyAlignment="1" applyProtection="1">
      <alignment horizontal="center" vertical="center" wrapText="1"/>
      <protection hidden="1"/>
    </xf>
    <xf numFmtId="0" fontId="9" fillId="0" borderId="0" xfId="0" applyFont="1" applyBorder="1" applyAlignment="1" applyProtection="1">
      <alignment horizontal="center" vertical="center"/>
      <protection hidden="1"/>
    </xf>
    <xf numFmtId="0" fontId="9" fillId="0" borderId="40" xfId="0" applyFont="1" applyFill="1" applyBorder="1" applyAlignment="1" applyProtection="1">
      <alignment horizontal="center" vertical="center"/>
      <protection hidden="1"/>
    </xf>
    <xf numFmtId="0" fontId="43" fillId="0" borderId="0" xfId="0" applyFont="1" applyAlignment="1" applyProtection="1">
      <alignment vertical="center"/>
      <protection hidden="1"/>
    </xf>
    <xf numFmtId="1" fontId="23" fillId="0" borderId="28" xfId="2" applyNumberFormat="1" applyFont="1" applyFill="1" applyBorder="1" applyAlignment="1" applyProtection="1">
      <alignment horizontal="center" vertical="center" wrapText="1"/>
      <protection hidden="1"/>
    </xf>
    <xf numFmtId="0" fontId="0" fillId="0" borderId="0" xfId="0" applyAlignment="1" applyProtection="1">
      <alignment vertical="center"/>
      <protection hidden="1"/>
    </xf>
    <xf numFmtId="0" fontId="13" fillId="0" borderId="11" xfId="0" applyFont="1" applyBorder="1" applyAlignment="1" applyProtection="1">
      <alignment horizontal="center"/>
      <protection hidden="1"/>
    </xf>
    <xf numFmtId="0" fontId="13" fillId="0" borderId="12" xfId="0" applyFont="1" applyBorder="1" applyAlignment="1" applyProtection="1">
      <alignment horizontal="center"/>
      <protection hidden="1"/>
    </xf>
    <xf numFmtId="4" fontId="14" fillId="0" borderId="13" xfId="0" applyNumberFormat="1" applyFont="1" applyBorder="1" applyProtection="1">
      <protection hidden="1"/>
    </xf>
    <xf numFmtId="4" fontId="14" fillId="0" borderId="14" xfId="0" applyNumberFormat="1" applyFont="1" applyBorder="1" applyProtection="1">
      <protection hidden="1"/>
    </xf>
    <xf numFmtId="0" fontId="13" fillId="0" borderId="23" xfId="0" applyFont="1" applyBorder="1" applyAlignment="1" applyProtection="1">
      <alignment horizontal="center"/>
      <protection hidden="1"/>
    </xf>
    <xf numFmtId="0" fontId="13" fillId="0" borderId="13" xfId="0" applyFont="1" applyBorder="1" applyAlignment="1" applyProtection="1">
      <alignment horizontal="center"/>
      <protection hidden="1"/>
    </xf>
    <xf numFmtId="0" fontId="13" fillId="0" borderId="22" xfId="0" applyFont="1" applyBorder="1" applyAlignment="1" applyProtection="1">
      <alignment horizontal="center"/>
      <protection hidden="1"/>
    </xf>
    <xf numFmtId="0" fontId="56" fillId="0" borderId="0" xfId="0" applyFont="1" applyFill="1" applyProtection="1">
      <protection hidden="1"/>
    </xf>
    <xf numFmtId="0" fontId="0" fillId="0" borderId="26" xfId="0" applyBorder="1" applyProtection="1">
      <protection hidden="1"/>
    </xf>
    <xf numFmtId="0" fontId="0" fillId="0" borderId="18" xfId="0" applyBorder="1" applyProtection="1">
      <protection hidden="1"/>
    </xf>
    <xf numFmtId="0" fontId="9" fillId="2" borderId="15" xfId="0" applyFont="1" applyFill="1" applyBorder="1" applyProtection="1">
      <protection hidden="1"/>
    </xf>
    <xf numFmtId="168" fontId="60" fillId="2" borderId="38" xfId="0" applyNumberFormat="1" applyFont="1" applyFill="1" applyBorder="1" applyAlignment="1" applyProtection="1">
      <alignment horizontal="center"/>
      <protection hidden="1"/>
    </xf>
    <xf numFmtId="0" fontId="9" fillId="0" borderId="43" xfId="0" applyFont="1" applyFill="1" applyBorder="1" applyAlignment="1" applyProtection="1">
      <alignment horizontal="center" vertical="center"/>
      <protection hidden="1"/>
    </xf>
    <xf numFmtId="0" fontId="9" fillId="0" borderId="59" xfId="0" applyFont="1" applyFill="1" applyBorder="1" applyAlignment="1" applyProtection="1">
      <alignment horizontal="center" vertical="center"/>
      <protection hidden="1"/>
    </xf>
    <xf numFmtId="0" fontId="13" fillId="0" borderId="14" xfId="0" applyFont="1" applyBorder="1" applyAlignment="1" applyProtection="1">
      <alignment horizontal="center"/>
      <protection hidden="1"/>
    </xf>
    <xf numFmtId="4" fontId="7" fillId="0" borderId="27" xfId="0" applyNumberFormat="1" applyFont="1" applyBorder="1" applyAlignment="1" applyProtection="1">
      <alignment horizontal="center" vertical="center"/>
      <protection hidden="1"/>
    </xf>
    <xf numFmtId="3" fontId="5" fillId="0" borderId="57" xfId="0" applyNumberFormat="1" applyFont="1" applyBorder="1" applyAlignment="1" applyProtection="1">
      <alignment horizontal="center"/>
      <protection hidden="1"/>
    </xf>
    <xf numFmtId="1" fontId="59" fillId="0" borderId="25" xfId="0" applyNumberFormat="1" applyFont="1" applyBorder="1" applyAlignment="1" applyProtection="1">
      <alignment horizontal="center" vertical="center"/>
      <protection hidden="1"/>
    </xf>
    <xf numFmtId="0" fontId="57" fillId="0" borderId="17" xfId="5" applyFont="1" applyBorder="1" applyProtection="1">
      <protection hidden="1"/>
    </xf>
    <xf numFmtId="1" fontId="58" fillId="0" borderId="36" xfId="2" applyNumberFormat="1" applyFont="1" applyFill="1" applyBorder="1" applyAlignment="1" applyProtection="1">
      <alignment horizontal="center" vertical="center" wrapText="1"/>
      <protection hidden="1"/>
    </xf>
    <xf numFmtId="1" fontId="58" fillId="0" borderId="38" xfId="2" applyNumberFormat="1" applyFont="1" applyFill="1" applyBorder="1" applyAlignment="1" applyProtection="1">
      <alignment horizontal="center" vertical="center" wrapText="1"/>
      <protection hidden="1"/>
    </xf>
    <xf numFmtId="0" fontId="9" fillId="0" borderId="58" xfId="0" applyFont="1" applyBorder="1" applyAlignment="1" applyProtection="1">
      <alignment horizontal="centerContinuous" vertical="center" wrapText="1"/>
      <protection hidden="1"/>
    </xf>
    <xf numFmtId="3" fontId="13" fillId="0" borderId="62" xfId="0" applyNumberFormat="1" applyFont="1" applyBorder="1" applyAlignment="1" applyProtection="1">
      <alignment horizontal="center"/>
      <protection hidden="1"/>
    </xf>
    <xf numFmtId="3" fontId="13" fillId="0" borderId="62" xfId="0" applyNumberFormat="1" applyFont="1" applyBorder="1" applyAlignment="1" applyProtection="1">
      <alignment horizontal="center" vertical="center"/>
      <protection hidden="1"/>
    </xf>
    <xf numFmtId="1" fontId="59" fillId="0" borderId="90" xfId="0" applyNumberFormat="1" applyFont="1" applyBorder="1" applyAlignment="1" applyProtection="1">
      <alignment horizontal="center" vertical="center"/>
      <protection hidden="1"/>
    </xf>
    <xf numFmtId="0" fontId="9" fillId="2" borderId="16" xfId="0" applyFont="1" applyFill="1" applyBorder="1" applyProtection="1">
      <protection hidden="1"/>
    </xf>
    <xf numFmtId="0" fontId="4" fillId="0" borderId="0" xfId="0" applyFont="1"/>
    <xf numFmtId="166" fontId="12" fillId="0" borderId="55" xfId="0" applyNumberFormat="1" applyFont="1" applyBorder="1" applyAlignment="1" applyProtection="1">
      <alignment horizontal="center"/>
      <protection hidden="1"/>
    </xf>
    <xf numFmtId="1" fontId="33" fillId="0" borderId="0" xfId="5" applyNumberFormat="1" applyFont="1" applyAlignment="1" applyProtection="1">
      <alignment horizontal="centerContinuous" vertical="center" wrapText="1"/>
      <protection hidden="1"/>
    </xf>
    <xf numFmtId="0" fontId="6" fillId="0" borderId="0" xfId="5" applyFont="1" applyAlignment="1" applyProtection="1">
      <alignment horizontal="centerContinuous" vertical="center" wrapText="1"/>
      <protection hidden="1"/>
    </xf>
    <xf numFmtId="0" fontId="4" fillId="0" borderId="0" xfId="5" applyAlignment="1" applyProtection="1">
      <alignment horizontal="left" vertical="top" wrapText="1"/>
      <protection hidden="1"/>
    </xf>
    <xf numFmtId="0" fontId="4" fillId="0" borderId="0" xfId="5" applyAlignment="1" applyProtection="1">
      <alignment wrapText="1"/>
      <protection hidden="1"/>
    </xf>
    <xf numFmtId="0" fontId="4" fillId="0" borderId="0" xfId="5" applyFill="1" applyProtection="1">
      <protection hidden="1"/>
    </xf>
    <xf numFmtId="0" fontId="7" fillId="0" borderId="0" xfId="5" applyFont="1" applyAlignment="1" applyProtection="1">
      <alignment horizontal="centerContinuous" vertical="center" wrapText="1"/>
      <protection hidden="1"/>
    </xf>
    <xf numFmtId="0" fontId="46" fillId="0" borderId="0" xfId="5" applyFont="1" applyAlignment="1" applyProtection="1">
      <alignment horizontal="centerContinuous" vertical="center"/>
      <protection hidden="1"/>
    </xf>
    <xf numFmtId="0" fontId="7" fillId="0" borderId="0" xfId="5" applyFont="1" applyAlignment="1" applyProtection="1">
      <alignment horizontal="centerContinuous" vertical="center"/>
      <protection hidden="1"/>
    </xf>
    <xf numFmtId="0" fontId="8" fillId="0" borderId="0" xfId="5" applyFont="1" applyAlignment="1" applyProtection="1">
      <alignment horizontal="centerContinuous" vertical="center" wrapText="1"/>
      <protection hidden="1"/>
    </xf>
    <xf numFmtId="0" fontId="4" fillId="0" borderId="0" xfId="5" applyAlignment="1" applyProtection="1">
      <alignment horizontal="centerContinuous" vertical="center" wrapText="1"/>
      <protection hidden="1"/>
    </xf>
    <xf numFmtId="0" fontId="4" fillId="0" borderId="0" xfId="5" applyAlignment="1" applyProtection="1">
      <alignment horizontal="center"/>
      <protection hidden="1"/>
    </xf>
    <xf numFmtId="165" fontId="4" fillId="0" borderId="0" xfId="1" applyProtection="1">
      <protection hidden="1"/>
    </xf>
    <xf numFmtId="0" fontId="4" fillId="0" borderId="98" xfId="5" applyBorder="1" applyAlignment="1" applyProtection="1">
      <alignment horizontal="centerContinuous" vertical="center" wrapText="1"/>
      <protection hidden="1"/>
    </xf>
    <xf numFmtId="0" fontId="4" fillId="0" borderId="99" xfId="5" applyBorder="1" applyAlignment="1" applyProtection="1">
      <alignment horizontal="center"/>
      <protection hidden="1"/>
    </xf>
    <xf numFmtId="0" fontId="4" fillId="0" borderId="100" xfId="5" applyBorder="1" applyProtection="1">
      <protection hidden="1"/>
    </xf>
    <xf numFmtId="165" fontId="4" fillId="0" borderId="100" xfId="1" applyBorder="1" applyProtection="1">
      <protection hidden="1"/>
    </xf>
    <xf numFmtId="0" fontId="4" fillId="0" borderId="101" xfId="5" applyBorder="1" applyProtection="1">
      <protection hidden="1"/>
    </xf>
    <xf numFmtId="1" fontId="4" fillId="2" borderId="103" xfId="5" applyNumberFormat="1" applyFill="1" applyBorder="1" applyAlignment="1" applyProtection="1">
      <alignment horizontal="center" vertical="center"/>
      <protection hidden="1"/>
    </xf>
    <xf numFmtId="0" fontId="49" fillId="9" borderId="102" xfId="5" applyFont="1" applyFill="1" applyBorder="1" applyAlignment="1" applyProtection="1">
      <alignment horizontal="center" vertical="center"/>
      <protection hidden="1"/>
    </xf>
    <xf numFmtId="0" fontId="4" fillId="2" borderId="109" xfId="5" applyFill="1" applyBorder="1" applyAlignment="1" applyProtection="1">
      <alignment horizontal="center"/>
      <protection hidden="1"/>
    </xf>
    <xf numFmtId="0" fontId="49" fillId="9" borderId="105" xfId="5" applyFont="1" applyFill="1" applyBorder="1" applyAlignment="1" applyProtection="1">
      <alignment horizontal="center" vertical="center"/>
      <protection hidden="1"/>
    </xf>
    <xf numFmtId="0" fontId="9" fillId="2" borderId="110" xfId="5" applyFont="1" applyFill="1" applyBorder="1" applyAlignment="1" applyProtection="1">
      <alignment horizontal="center"/>
      <protection hidden="1"/>
    </xf>
    <xf numFmtId="0" fontId="50" fillId="2" borderId="111" xfId="5" applyFont="1" applyFill="1" applyBorder="1" applyAlignment="1" applyProtection="1">
      <alignment horizontal="center" vertical="center"/>
      <protection hidden="1"/>
    </xf>
    <xf numFmtId="3" fontId="9" fillId="2" borderId="112" xfId="5" applyNumberFormat="1" applyFont="1" applyFill="1" applyBorder="1" applyAlignment="1" applyProtection="1">
      <alignment horizontal="center" vertical="center"/>
      <protection hidden="1"/>
    </xf>
    <xf numFmtId="0" fontId="4" fillId="2" borderId="109" xfId="5" applyFill="1" applyBorder="1" applyProtection="1">
      <protection hidden="1"/>
    </xf>
    <xf numFmtId="0" fontId="9" fillId="9" borderId="110" xfId="5" applyFont="1" applyFill="1" applyBorder="1" applyAlignment="1" applyProtection="1">
      <alignment horizontal="center"/>
      <protection hidden="1"/>
    </xf>
    <xf numFmtId="0" fontId="50" fillId="9" borderId="111" xfId="5" applyFont="1" applyFill="1" applyBorder="1" applyAlignment="1" applyProtection="1">
      <alignment horizontal="center" vertical="center"/>
      <protection hidden="1"/>
    </xf>
    <xf numFmtId="165" fontId="9" fillId="9" borderId="112" xfId="1" applyFont="1" applyFill="1" applyBorder="1" applyAlignment="1" applyProtection="1">
      <alignment horizontal="center" vertical="center"/>
      <protection hidden="1"/>
    </xf>
    <xf numFmtId="171" fontId="9" fillId="9" borderId="111" xfId="5" applyNumberFormat="1" applyFont="1" applyFill="1" applyBorder="1" applyProtection="1">
      <protection hidden="1"/>
    </xf>
    <xf numFmtId="0" fontId="9" fillId="9" borderId="112" xfId="5" applyFont="1" applyFill="1" applyBorder="1" applyAlignment="1" applyProtection="1">
      <alignment horizontal="center" vertical="center"/>
      <protection hidden="1"/>
    </xf>
    <xf numFmtId="0" fontId="9" fillId="2" borderId="98" xfId="5" applyFont="1" applyFill="1" applyBorder="1" applyAlignment="1" applyProtection="1">
      <alignment horizontal="center"/>
      <protection hidden="1"/>
    </xf>
    <xf numFmtId="0" fontId="50" fillId="2" borderId="0" xfId="5" applyFont="1" applyFill="1" applyAlignment="1" applyProtection="1">
      <alignment horizontal="center" vertical="center"/>
      <protection hidden="1"/>
    </xf>
    <xf numFmtId="3" fontId="9" fillId="2" borderId="108" xfId="5" applyNumberFormat="1" applyFont="1" applyFill="1" applyBorder="1" applyAlignment="1" applyProtection="1">
      <alignment horizontal="center" vertical="center"/>
      <protection hidden="1"/>
    </xf>
    <xf numFmtId="0" fontId="4" fillId="11" borderId="114" xfId="5" applyFill="1" applyBorder="1" applyAlignment="1" applyProtection="1">
      <alignment horizontal="center"/>
      <protection hidden="1"/>
    </xf>
    <xf numFmtId="0" fontId="4" fillId="11" borderId="114" xfId="5" applyFill="1" applyBorder="1" applyProtection="1">
      <protection hidden="1"/>
    </xf>
    <xf numFmtId="165" fontId="4" fillId="11" borderId="114" xfId="1" applyFill="1" applyBorder="1" applyProtection="1">
      <protection hidden="1"/>
    </xf>
    <xf numFmtId="0" fontId="4" fillId="11" borderId="109" xfId="5" applyFill="1" applyBorder="1" applyProtection="1">
      <protection hidden="1"/>
    </xf>
    <xf numFmtId="0" fontId="4" fillId="11" borderId="108" xfId="5" applyFill="1" applyBorder="1" applyProtection="1">
      <protection hidden="1"/>
    </xf>
    <xf numFmtId="0" fontId="9" fillId="12" borderId="115" xfId="5" applyFont="1" applyFill="1" applyBorder="1" applyAlignment="1" applyProtection="1">
      <alignment horizontal="center"/>
      <protection hidden="1"/>
    </xf>
    <xf numFmtId="0" fontId="51" fillId="12" borderId="115" xfId="5" applyFont="1" applyFill="1" applyBorder="1" applyAlignment="1" applyProtection="1">
      <alignment horizontal="center" vertical="center"/>
      <protection hidden="1"/>
    </xf>
    <xf numFmtId="172" fontId="9" fillId="12" borderId="116" xfId="6" applyNumberFormat="1" applyFont="1" applyFill="1" applyBorder="1" applyAlignment="1" applyProtection="1">
      <alignment vertical="center"/>
      <protection hidden="1"/>
    </xf>
    <xf numFmtId="0" fontId="4" fillId="12" borderId="109" xfId="5" applyFill="1" applyBorder="1" applyProtection="1">
      <protection hidden="1"/>
    </xf>
    <xf numFmtId="0" fontId="4" fillId="12" borderId="114" xfId="5" applyFill="1" applyBorder="1" applyAlignment="1" applyProtection="1">
      <alignment horizontal="center"/>
      <protection hidden="1"/>
    </xf>
    <xf numFmtId="0" fontId="4" fillId="12" borderId="114" xfId="5" applyFill="1" applyBorder="1" applyProtection="1">
      <protection hidden="1"/>
    </xf>
    <xf numFmtId="165" fontId="4" fillId="12" borderId="114" xfId="1" applyFill="1" applyBorder="1" applyProtection="1">
      <protection hidden="1"/>
    </xf>
    <xf numFmtId="0" fontId="4" fillId="12" borderId="108" xfId="5" applyFill="1" applyBorder="1" applyProtection="1">
      <protection hidden="1"/>
    </xf>
    <xf numFmtId="168" fontId="8" fillId="12" borderId="108" xfId="5" applyNumberFormat="1" applyFont="1" applyFill="1" applyBorder="1" applyProtection="1">
      <protection hidden="1"/>
    </xf>
    <xf numFmtId="0" fontId="4" fillId="12" borderId="118" xfId="5" applyFill="1" applyBorder="1" applyAlignment="1" applyProtection="1">
      <alignment horizontal="left" vertical="top" wrapText="1"/>
      <protection hidden="1"/>
    </xf>
    <xf numFmtId="0" fontId="4" fillId="12" borderId="61" xfId="5" applyFill="1" applyBorder="1" applyAlignment="1" applyProtection="1">
      <alignment wrapText="1"/>
      <protection hidden="1"/>
    </xf>
    <xf numFmtId="165" fontId="4" fillId="0" borderId="0" xfId="5" applyNumberFormat="1" applyFill="1" applyProtection="1">
      <protection hidden="1"/>
    </xf>
    <xf numFmtId="0" fontId="9" fillId="12" borderId="119" xfId="5" applyFont="1" applyFill="1" applyBorder="1" applyAlignment="1" applyProtection="1">
      <alignment horizontal="center"/>
      <protection hidden="1"/>
    </xf>
    <xf numFmtId="0" fontId="51" fillId="12" borderId="119" xfId="5" applyFont="1" applyFill="1" applyBorder="1" applyAlignment="1" applyProtection="1">
      <alignment horizontal="center" vertical="center"/>
      <protection hidden="1"/>
    </xf>
    <xf numFmtId="1" fontId="5" fillId="2" borderId="120" xfId="5" applyNumberFormat="1" applyFont="1" applyFill="1" applyBorder="1" applyAlignment="1" applyProtection="1">
      <alignment horizontal="center" vertical="center"/>
      <protection hidden="1"/>
    </xf>
    <xf numFmtId="1" fontId="9" fillId="2" borderId="120" xfId="5" applyNumberFormat="1" applyFont="1" applyFill="1" applyBorder="1" applyAlignment="1" applyProtection="1">
      <alignment horizontal="left" vertical="center"/>
      <protection hidden="1"/>
    </xf>
    <xf numFmtId="168" fontId="9" fillId="2" borderId="116" xfId="5" applyNumberFormat="1" applyFont="1" applyFill="1" applyBorder="1" applyAlignment="1" applyProtection="1">
      <alignment horizontal="center"/>
      <protection hidden="1"/>
    </xf>
    <xf numFmtId="0" fontId="9" fillId="2" borderId="109" xfId="5" applyFont="1" applyFill="1" applyBorder="1" applyAlignment="1" applyProtection="1">
      <alignment horizontal="center" vertical="center"/>
      <protection hidden="1"/>
    </xf>
    <xf numFmtId="1" fontId="4" fillId="11" borderId="114" xfId="5" applyNumberFormat="1" applyFill="1" applyBorder="1" applyAlignment="1" applyProtection="1">
      <alignment horizontal="center"/>
      <protection hidden="1"/>
    </xf>
    <xf numFmtId="0" fontId="5" fillId="11" borderId="114" xfId="5" applyFont="1" applyFill="1" applyBorder="1" applyProtection="1">
      <protection hidden="1"/>
    </xf>
    <xf numFmtId="165" fontId="5" fillId="11" borderId="114" xfId="1" applyFont="1" applyFill="1" applyBorder="1" applyProtection="1">
      <protection hidden="1"/>
    </xf>
    <xf numFmtId="0" fontId="9" fillId="11" borderId="109" xfId="5" applyFont="1" applyFill="1" applyBorder="1" applyProtection="1">
      <protection hidden="1"/>
    </xf>
    <xf numFmtId="168" fontId="9" fillId="11" borderId="108" xfId="5" applyNumberFormat="1" applyFont="1" applyFill="1" applyBorder="1" applyProtection="1">
      <protection hidden="1"/>
    </xf>
    <xf numFmtId="171" fontId="7" fillId="11" borderId="108" xfId="5" applyNumberFormat="1" applyFont="1" applyFill="1" applyBorder="1" applyAlignment="1" applyProtection="1">
      <alignment horizontal="center" vertical="center"/>
      <protection hidden="1"/>
    </xf>
    <xf numFmtId="10" fontId="8" fillId="13" borderId="118" xfId="5" applyNumberFormat="1" applyFont="1" applyFill="1" applyBorder="1" applyAlignment="1" applyProtection="1">
      <alignment horizontal="center" vertical="top" wrapText="1"/>
      <protection hidden="1"/>
    </xf>
    <xf numFmtId="10" fontId="8" fillId="13" borderId="61" xfId="5" applyNumberFormat="1" applyFont="1" applyFill="1" applyBorder="1" applyAlignment="1" applyProtection="1">
      <alignment horizontal="center" vertical="top" wrapText="1"/>
      <protection hidden="1"/>
    </xf>
    <xf numFmtId="43" fontId="4" fillId="0" borderId="0" xfId="5" applyNumberFormat="1" applyFill="1" applyProtection="1">
      <protection hidden="1"/>
    </xf>
    <xf numFmtId="168" fontId="4" fillId="0" borderId="0" xfId="5" applyNumberFormat="1" applyFill="1" applyProtection="1">
      <protection hidden="1"/>
    </xf>
    <xf numFmtId="41" fontId="4" fillId="0" borderId="0" xfId="7" applyFont="1" applyFill="1" applyProtection="1">
      <protection hidden="1"/>
    </xf>
    <xf numFmtId="1" fontId="5" fillId="14" borderId="120" xfId="5" applyNumberFormat="1" applyFont="1" applyFill="1" applyBorder="1" applyAlignment="1" applyProtection="1">
      <alignment horizontal="center" vertical="center"/>
      <protection hidden="1"/>
    </xf>
    <xf numFmtId="1" fontId="5" fillId="14" borderId="120" xfId="5" applyNumberFormat="1" applyFont="1" applyFill="1" applyBorder="1" applyAlignment="1" applyProtection="1">
      <alignment horizontal="left" vertical="center"/>
      <protection hidden="1"/>
    </xf>
    <xf numFmtId="3" fontId="5" fillId="14" borderId="115" xfId="5" applyNumberFormat="1" applyFont="1" applyFill="1" applyBorder="1" applyProtection="1">
      <protection hidden="1"/>
    </xf>
    <xf numFmtId="0" fontId="4" fillId="14" borderId="109" xfId="5" applyFill="1" applyBorder="1" applyProtection="1">
      <protection hidden="1"/>
    </xf>
    <xf numFmtId="165" fontId="5" fillId="8" borderId="114" xfId="1" applyFont="1" applyFill="1" applyBorder="1" applyProtection="1">
      <protection hidden="1"/>
    </xf>
    <xf numFmtId="10" fontId="4" fillId="13" borderId="118" xfId="5" applyNumberFormat="1" applyFill="1" applyBorder="1" applyAlignment="1" applyProtection="1">
      <alignment horizontal="left" vertical="top" wrapText="1"/>
      <protection hidden="1"/>
    </xf>
    <xf numFmtId="0" fontId="4" fillId="13" borderId="61" xfId="5" applyFill="1" applyBorder="1" applyAlignment="1" applyProtection="1">
      <alignment wrapText="1"/>
      <protection hidden="1"/>
    </xf>
    <xf numFmtId="0" fontId="4" fillId="13" borderId="61" xfId="5" applyFill="1" applyBorder="1" applyProtection="1">
      <protection hidden="1"/>
    </xf>
    <xf numFmtId="1" fontId="5" fillId="2" borderId="98" xfId="5" applyNumberFormat="1" applyFont="1" applyFill="1" applyBorder="1" applyAlignment="1" applyProtection="1">
      <alignment horizontal="center" vertical="center"/>
      <protection hidden="1"/>
    </xf>
    <xf numFmtId="0" fontId="5" fillId="2" borderId="0" xfId="5" applyFont="1" applyFill="1" applyAlignment="1" applyProtection="1">
      <alignment horizontal="centerContinuous" vertical="center" wrapText="1"/>
      <protection hidden="1"/>
    </xf>
    <xf numFmtId="4" fontId="5" fillId="2" borderId="0" xfId="5" applyNumberFormat="1" applyFont="1" applyFill="1" applyProtection="1">
      <protection hidden="1"/>
    </xf>
    <xf numFmtId="0" fontId="4" fillId="2" borderId="121" xfId="5" applyFill="1" applyBorder="1" applyProtection="1">
      <protection hidden="1"/>
    </xf>
    <xf numFmtId="0" fontId="4" fillId="11" borderId="122" xfId="5" applyFill="1" applyBorder="1" applyAlignment="1" applyProtection="1">
      <alignment horizontal="center"/>
      <protection hidden="1"/>
    </xf>
    <xf numFmtId="0" fontId="4" fillId="11" borderId="122" xfId="5" applyFill="1" applyBorder="1" applyProtection="1">
      <protection hidden="1"/>
    </xf>
    <xf numFmtId="165" fontId="5" fillId="10" borderId="122" xfId="1" applyFont="1" applyFill="1" applyBorder="1" applyProtection="1">
      <protection hidden="1"/>
    </xf>
    <xf numFmtId="168" fontId="4" fillId="11" borderId="121" xfId="5" applyNumberFormat="1" applyFill="1" applyBorder="1" applyProtection="1">
      <protection hidden="1"/>
    </xf>
    <xf numFmtId="0" fontId="4" fillId="13" borderId="118" xfId="5" applyFill="1" applyBorder="1" applyAlignment="1" applyProtection="1">
      <alignment horizontal="left" vertical="top" wrapText="1"/>
      <protection hidden="1"/>
    </xf>
    <xf numFmtId="4" fontId="5" fillId="2" borderId="112" xfId="5" applyNumberFormat="1" applyFont="1" applyFill="1" applyBorder="1" applyProtection="1">
      <protection hidden="1"/>
    </xf>
    <xf numFmtId="0" fontId="4" fillId="2" borderId="112" xfId="5" applyFill="1" applyBorder="1" applyProtection="1">
      <protection hidden="1"/>
    </xf>
    <xf numFmtId="165" fontId="5" fillId="11" borderId="112" xfId="1" applyFont="1" applyFill="1" applyBorder="1" applyProtection="1">
      <protection hidden="1"/>
    </xf>
    <xf numFmtId="0" fontId="4" fillId="11" borderId="112" xfId="5" applyFill="1" applyBorder="1" applyProtection="1">
      <protection hidden="1"/>
    </xf>
    <xf numFmtId="4" fontId="9" fillId="13" borderId="112" xfId="5" applyNumberFormat="1" applyFont="1" applyFill="1" applyBorder="1" applyAlignment="1" applyProtection="1">
      <alignment horizontal="center"/>
      <protection hidden="1"/>
    </xf>
    <xf numFmtId="4" fontId="9" fillId="13" borderId="108" xfId="5" applyNumberFormat="1" applyFont="1" applyFill="1" applyBorder="1" applyAlignment="1" applyProtection="1">
      <alignment horizontal="center"/>
      <protection hidden="1"/>
    </xf>
    <xf numFmtId="10" fontId="5" fillId="2" borderId="112" xfId="5" applyNumberFormat="1" applyFont="1" applyFill="1" applyBorder="1" applyProtection="1">
      <protection hidden="1"/>
    </xf>
    <xf numFmtId="10" fontId="9" fillId="13" borderId="112" xfId="5" applyNumberFormat="1" applyFont="1" applyFill="1" applyBorder="1" applyAlignment="1" applyProtection="1">
      <alignment horizontal="center"/>
      <protection hidden="1"/>
    </xf>
    <xf numFmtId="10" fontId="9" fillId="13" borderId="108" xfId="5" applyNumberFormat="1" applyFont="1" applyFill="1" applyBorder="1" applyAlignment="1" applyProtection="1">
      <alignment horizontal="center"/>
      <protection hidden="1"/>
    </xf>
    <xf numFmtId="4" fontId="5" fillId="15" borderId="112" xfId="5" applyNumberFormat="1" applyFont="1" applyFill="1" applyBorder="1" applyProtection="1">
      <protection hidden="1"/>
    </xf>
    <xf numFmtId="165" fontId="4" fillId="11" borderId="112" xfId="5" applyNumberFormat="1" applyFill="1" applyBorder="1" applyProtection="1">
      <protection hidden="1"/>
    </xf>
    <xf numFmtId="0" fontId="4" fillId="0" borderId="95" xfId="5" applyBorder="1" applyProtection="1">
      <protection hidden="1"/>
    </xf>
    <xf numFmtId="4" fontId="4" fillId="0" borderId="95" xfId="5" applyNumberFormat="1" applyBorder="1" applyProtection="1">
      <protection hidden="1"/>
    </xf>
    <xf numFmtId="0" fontId="8" fillId="0" borderId="95" xfId="5" applyFont="1" applyBorder="1" applyProtection="1">
      <protection hidden="1"/>
    </xf>
    <xf numFmtId="165" fontId="5" fillId="0" borderId="0" xfId="1" applyFont="1" applyProtection="1">
      <protection hidden="1"/>
    </xf>
    <xf numFmtId="0" fontId="4" fillId="0" borderId="0" xfId="5" applyBorder="1" applyProtection="1">
      <protection hidden="1"/>
    </xf>
    <xf numFmtId="4" fontId="4" fillId="0" borderId="0" xfId="5" applyNumberFormat="1" applyProtection="1">
      <protection hidden="1"/>
    </xf>
    <xf numFmtId="2" fontId="4" fillId="0" borderId="0" xfId="5" applyNumberFormat="1" applyProtection="1">
      <protection hidden="1"/>
    </xf>
    <xf numFmtId="0" fontId="3" fillId="0" borderId="112" xfId="5" applyFont="1" applyBorder="1" applyAlignment="1" applyProtection="1">
      <alignment vertical="center"/>
      <protection hidden="1"/>
    </xf>
    <xf numFmtId="165" fontId="8" fillId="0" borderId="112" xfId="5" applyNumberFormat="1" applyFont="1" applyBorder="1" applyAlignment="1" applyProtection="1">
      <alignment vertical="center"/>
      <protection hidden="1"/>
    </xf>
    <xf numFmtId="1" fontId="21" fillId="0" borderId="0" xfId="0" applyNumberFormat="1" applyFont="1" applyAlignment="1" applyProtection="1">
      <alignment horizontal="centerContinuous" vertical="center" wrapText="1"/>
      <protection hidden="1"/>
    </xf>
    <xf numFmtId="0" fontId="3" fillId="0" borderId="0" xfId="0" applyFont="1" applyAlignment="1" applyProtection="1">
      <alignment horizontal="centerContinuous" wrapText="1"/>
      <protection hidden="1"/>
    </xf>
    <xf numFmtId="0" fontId="9" fillId="0" borderId="0" xfId="0" applyFont="1" applyAlignment="1" applyProtection="1">
      <alignment horizontal="centerContinuous" wrapText="1"/>
      <protection hidden="1"/>
    </xf>
    <xf numFmtId="0" fontId="62" fillId="0" borderId="0" xfId="0" applyFont="1" applyAlignment="1" applyProtection="1">
      <alignment horizontal="centerContinuous" wrapText="1"/>
      <protection hidden="1"/>
    </xf>
    <xf numFmtId="0" fontId="63" fillId="0" borderId="0" xfId="0" applyFont="1" applyFill="1" applyProtection="1">
      <protection hidden="1"/>
    </xf>
    <xf numFmtId="0" fontId="4" fillId="19" borderId="0" xfId="0" applyFont="1" applyFill="1"/>
    <xf numFmtId="0" fontId="9" fillId="0" borderId="17" xfId="0" applyFont="1" applyBorder="1" applyAlignment="1" applyProtection="1">
      <alignment horizontal="center"/>
      <protection hidden="1"/>
    </xf>
    <xf numFmtId="0" fontId="9" fillId="0" borderId="18" xfId="0" applyFont="1" applyBorder="1" applyAlignment="1" applyProtection="1">
      <alignment horizontal="center"/>
      <protection hidden="1"/>
    </xf>
    <xf numFmtId="181" fontId="24" fillId="0" borderId="1" xfId="0" applyNumberFormat="1" applyFont="1" applyFill="1" applyBorder="1" applyAlignment="1" applyProtection="1">
      <alignment horizontal="center" vertical="center"/>
      <protection hidden="1"/>
    </xf>
    <xf numFmtId="0" fontId="5" fillId="0" borderId="0" xfId="0" applyFont="1" applyFill="1" applyBorder="1" applyProtection="1">
      <protection hidden="1"/>
    </xf>
    <xf numFmtId="165" fontId="9" fillId="0" borderId="0" xfId="1" applyFont="1" applyFill="1" applyBorder="1" applyProtection="1">
      <protection hidden="1"/>
    </xf>
    <xf numFmtId="165" fontId="5" fillId="0" borderId="0" xfId="1" applyFont="1" applyFill="1" applyBorder="1" applyProtection="1">
      <protection hidden="1"/>
    </xf>
    <xf numFmtId="0" fontId="5" fillId="0" borderId="0" xfId="0" applyFont="1" applyBorder="1" applyAlignment="1" applyProtection="1">
      <alignment vertical="center"/>
      <protection hidden="1"/>
    </xf>
    <xf numFmtId="170" fontId="24" fillId="0" borderId="36" xfId="0" applyNumberFormat="1" applyFont="1" applyBorder="1" applyAlignment="1" applyProtection="1">
      <alignment horizontal="center" vertical="center"/>
      <protection hidden="1"/>
    </xf>
    <xf numFmtId="4" fontId="24" fillId="0" borderId="38" xfId="0" applyNumberFormat="1" applyFont="1" applyBorder="1" applyProtection="1">
      <protection hidden="1"/>
    </xf>
    <xf numFmtId="0" fontId="7" fillId="0" borderId="1" xfId="0" applyFont="1" applyBorder="1" applyAlignment="1" applyProtection="1">
      <alignment horizontal="center" vertical="center"/>
      <protection hidden="1"/>
    </xf>
    <xf numFmtId="0" fontId="7" fillId="0" borderId="10" xfId="0" applyFont="1" applyBorder="1" applyAlignment="1" applyProtection="1">
      <alignment horizontal="center" vertical="center" wrapText="1"/>
      <protection hidden="1"/>
    </xf>
    <xf numFmtId="168" fontId="24" fillId="0" borderId="40" xfId="0" applyNumberFormat="1" applyFont="1" applyFill="1" applyBorder="1" applyAlignment="1" applyProtection="1">
      <alignment vertical="center"/>
      <protection hidden="1"/>
    </xf>
    <xf numFmtId="168" fontId="24" fillId="0" borderId="63" xfId="0" applyNumberFormat="1" applyFont="1" applyFill="1" applyBorder="1" applyAlignment="1" applyProtection="1">
      <alignment vertical="center"/>
      <protection hidden="1"/>
    </xf>
    <xf numFmtId="0" fontId="1" fillId="0" borderId="0" xfId="10"/>
    <xf numFmtId="0" fontId="4" fillId="0" borderId="20" xfId="5" applyBorder="1"/>
    <xf numFmtId="9" fontId="11" fillId="0" borderId="9" xfId="11" applyFont="1" applyBorder="1" applyAlignment="1">
      <alignment horizontal="center" vertical="center"/>
    </xf>
    <xf numFmtId="0" fontId="64" fillId="0" borderId="9" xfId="5" applyFont="1" applyBorder="1" applyAlignment="1">
      <alignment horizontal="center"/>
    </xf>
    <xf numFmtId="1" fontId="11" fillId="0" borderId="9" xfId="5" applyNumberFormat="1" applyFont="1" applyBorder="1" applyAlignment="1">
      <alignment horizontal="center" vertical="center"/>
    </xf>
    <xf numFmtId="0" fontId="4" fillId="0" borderId="61" xfId="5" applyBorder="1" applyAlignment="1">
      <alignment horizontal="center" vertical="center"/>
    </xf>
    <xf numFmtId="1" fontId="5" fillId="0" borderId="132" xfId="5" applyNumberFormat="1" applyFont="1" applyBorder="1" applyAlignment="1">
      <alignment horizontal="center" vertical="center" wrapText="1"/>
    </xf>
    <xf numFmtId="166" fontId="5" fillId="0" borderId="133" xfId="5" applyNumberFormat="1" applyFont="1" applyBorder="1" applyAlignment="1">
      <alignment horizontal="left" vertical="center" wrapText="1"/>
    </xf>
    <xf numFmtId="0" fontId="5" fillId="0" borderId="133" xfId="5" applyFont="1" applyBorder="1" applyAlignment="1">
      <alignment horizontal="center" vertical="center" wrapText="1"/>
    </xf>
    <xf numFmtId="0" fontId="5" fillId="0" borderId="134" xfId="5" applyFont="1" applyBorder="1" applyAlignment="1">
      <alignment horizontal="center" vertical="center" wrapText="1"/>
    </xf>
    <xf numFmtId="0" fontId="10" fillId="0" borderId="0" xfId="5" applyFont="1"/>
    <xf numFmtId="0" fontId="10" fillId="0" borderId="118" xfId="5" applyFont="1" applyBorder="1" applyAlignment="1">
      <alignment horizontal="center" vertical="center"/>
    </xf>
    <xf numFmtId="0" fontId="10" fillId="0" borderId="62" xfId="5" applyFont="1" applyBorder="1" applyAlignment="1">
      <alignment horizontal="center" vertical="center"/>
    </xf>
    <xf numFmtId="0" fontId="10" fillId="0" borderId="20" xfId="5" applyFont="1" applyBorder="1"/>
    <xf numFmtId="0" fontId="9" fillId="0" borderId="135" xfId="5" applyFont="1" applyBorder="1" applyAlignment="1">
      <alignment vertical="center"/>
    </xf>
    <xf numFmtId="0" fontId="9" fillId="0" borderId="136" xfId="5" applyFont="1" applyBorder="1" applyAlignment="1">
      <alignment vertical="center"/>
    </xf>
    <xf numFmtId="0" fontId="3" fillId="0" borderId="0" xfId="5" applyFont="1" applyAlignment="1">
      <alignment horizontal="centerContinuous" vertical="center" wrapText="1"/>
    </xf>
    <xf numFmtId="0" fontId="66" fillId="0" borderId="0" xfId="5" applyFont="1" applyAlignment="1">
      <alignment horizontal="centerContinuous" vertical="center" wrapText="1"/>
    </xf>
    <xf numFmtId="0" fontId="18" fillId="0" borderId="0" xfId="5" applyFont="1"/>
    <xf numFmtId="0" fontId="67" fillId="20" borderId="0" xfId="12" applyFont="1" applyFill="1" applyProtection="1">
      <protection hidden="1"/>
    </xf>
    <xf numFmtId="4" fontId="67" fillId="20" borderId="0" xfId="12" applyNumberFormat="1" applyFont="1" applyFill="1" applyProtection="1">
      <protection hidden="1"/>
    </xf>
    <xf numFmtId="0" fontId="69" fillId="20" borderId="0" xfId="13" applyFont="1" applyFill="1"/>
    <xf numFmtId="0" fontId="70" fillId="20" borderId="0" xfId="12" applyFont="1" applyFill="1" applyAlignment="1" applyProtection="1">
      <alignment horizontal="justify" vertical="center"/>
      <protection locked="0"/>
    </xf>
    <xf numFmtId="0" fontId="71" fillId="20" borderId="0" xfId="13" applyFont="1" applyFill="1"/>
    <xf numFmtId="49" fontId="72" fillId="20" borderId="83" xfId="12" applyNumberFormat="1" applyFont="1" applyFill="1" applyBorder="1" applyAlignment="1" applyProtection="1">
      <alignment vertical="center"/>
      <protection hidden="1"/>
    </xf>
    <xf numFmtId="49" fontId="72" fillId="20" borderId="18" xfId="12" applyNumberFormat="1" applyFont="1" applyFill="1" applyBorder="1" applyAlignment="1" applyProtection="1">
      <alignment vertical="center"/>
      <protection hidden="1"/>
    </xf>
    <xf numFmtId="0" fontId="69" fillId="20" borderId="76" xfId="13" applyFont="1" applyFill="1" applyBorder="1"/>
    <xf numFmtId="0" fontId="67" fillId="0" borderId="0" xfId="12" applyFont="1" applyProtection="1">
      <protection hidden="1"/>
    </xf>
    <xf numFmtId="10" fontId="9" fillId="0" borderId="141" xfId="5" applyNumberFormat="1" applyFont="1" applyBorder="1" applyAlignment="1">
      <alignment horizontal="center" vertical="center" wrapText="1"/>
    </xf>
    <xf numFmtId="10" fontId="9" fillId="0" borderId="142" xfId="5" applyNumberFormat="1" applyFont="1" applyBorder="1" applyAlignment="1">
      <alignment horizontal="center" vertical="center" wrapText="1"/>
    </xf>
    <xf numFmtId="0" fontId="9" fillId="0" borderId="143" xfId="5" applyFont="1" applyBorder="1" applyAlignment="1">
      <alignment horizontal="left" vertical="center" wrapText="1"/>
    </xf>
    <xf numFmtId="0" fontId="9" fillId="20" borderId="134" xfId="5" applyFont="1" applyFill="1" applyBorder="1" applyAlignment="1">
      <alignment horizontal="center" vertical="center" wrapText="1"/>
    </xf>
    <xf numFmtId="1" fontId="9" fillId="20" borderId="144" xfId="5" applyNumberFormat="1" applyFont="1" applyFill="1" applyBorder="1" applyAlignment="1">
      <alignment horizontal="center" vertical="center" wrapText="1"/>
    </xf>
    <xf numFmtId="4" fontId="65" fillId="20" borderId="145" xfId="12" applyNumberFormat="1" applyFont="1" applyFill="1" applyBorder="1" applyAlignment="1" applyProtection="1">
      <alignment horizontal="center" vertical="center"/>
      <protection hidden="1"/>
    </xf>
    <xf numFmtId="4" fontId="65" fillId="20" borderId="135" xfId="12" applyNumberFormat="1" applyFont="1" applyFill="1" applyBorder="1" applyAlignment="1" applyProtection="1">
      <alignment horizontal="center" vertical="center"/>
      <protection hidden="1"/>
    </xf>
    <xf numFmtId="0" fontId="65" fillId="20" borderId="135" xfId="12" applyFont="1" applyFill="1" applyBorder="1" applyAlignment="1" applyProtection="1">
      <alignment horizontal="center" vertical="center"/>
      <protection hidden="1"/>
    </xf>
    <xf numFmtId="0" fontId="65" fillId="20" borderId="136" xfId="12" applyFont="1" applyFill="1" applyBorder="1" applyAlignment="1" applyProtection="1">
      <alignment horizontal="center"/>
      <protection hidden="1"/>
    </xf>
    <xf numFmtId="0" fontId="69" fillId="20" borderId="146" xfId="13" applyFont="1" applyFill="1" applyBorder="1"/>
    <xf numFmtId="4" fontId="75" fillId="20" borderId="0" xfId="12" applyNumberFormat="1" applyFont="1" applyFill="1" applyAlignment="1" applyProtection="1">
      <alignment horizontal="centerContinuous" vertical="center"/>
      <protection hidden="1"/>
    </xf>
    <xf numFmtId="0" fontId="75" fillId="20" borderId="0" xfId="12" applyFont="1" applyFill="1" applyAlignment="1" applyProtection="1">
      <alignment horizontal="centerContinuous" vertical="center"/>
      <protection hidden="1"/>
    </xf>
    <xf numFmtId="0" fontId="75" fillId="20" borderId="0" xfId="12" applyFont="1" applyFill="1" applyAlignment="1" applyProtection="1">
      <alignment horizontal="centerContinuous"/>
      <protection hidden="1"/>
    </xf>
    <xf numFmtId="1" fontId="75" fillId="20" borderId="0" xfId="5" applyNumberFormat="1" applyFont="1" applyFill="1" applyAlignment="1">
      <alignment horizontal="centerContinuous" vertical="center" wrapText="1"/>
    </xf>
    <xf numFmtId="1" fontId="77" fillId="20" borderId="0" xfId="13" applyNumberFormat="1" applyFont="1" applyFill="1"/>
    <xf numFmtId="1" fontId="77" fillId="20" borderId="0" xfId="13" applyNumberFormat="1" applyFont="1" applyFill="1" applyAlignment="1">
      <alignment horizontal="centerContinuous"/>
    </xf>
    <xf numFmtId="0" fontId="78" fillId="0" borderId="0" xfId="12" applyFont="1" applyProtection="1">
      <protection hidden="1"/>
    </xf>
    <xf numFmtId="0" fontId="78" fillId="20" borderId="0" xfId="12" applyFont="1" applyFill="1" applyProtection="1">
      <protection hidden="1"/>
    </xf>
    <xf numFmtId="0" fontId="76" fillId="21" borderId="1" xfId="5" applyFont="1" applyFill="1" applyBorder="1" applyAlignment="1">
      <alignment horizontal="center" vertical="center"/>
    </xf>
    <xf numFmtId="0" fontId="76" fillId="21" borderId="138" xfId="5" applyFont="1" applyFill="1" applyBorder="1" applyAlignment="1">
      <alignment horizontal="center" vertical="center"/>
    </xf>
    <xf numFmtId="0" fontId="73" fillId="21" borderId="137" xfId="5" applyFont="1" applyFill="1" applyBorder="1" applyAlignment="1">
      <alignment horizontal="center" vertical="center" wrapText="1"/>
    </xf>
    <xf numFmtId="166" fontId="5" fillId="23" borderId="133" xfId="5" applyNumberFormat="1" applyFont="1" applyFill="1" applyBorder="1" applyAlignment="1">
      <alignment horizontal="left" vertical="center" wrapText="1"/>
    </xf>
    <xf numFmtId="181" fontId="24" fillId="0" borderId="32" xfId="0" applyNumberFormat="1" applyFont="1" applyFill="1" applyBorder="1" applyAlignment="1" applyProtection="1">
      <alignment horizontal="center" vertical="center"/>
      <protection hidden="1"/>
    </xf>
    <xf numFmtId="181" fontId="24" fillId="0" borderId="61" xfId="0" applyNumberFormat="1" applyFont="1" applyFill="1" applyBorder="1" applyAlignment="1" applyProtection="1">
      <alignment horizontal="center" vertical="center"/>
      <protection hidden="1"/>
    </xf>
    <xf numFmtId="0" fontId="9" fillId="0" borderId="20" xfId="0" applyFont="1" applyBorder="1" applyAlignment="1" applyProtection="1">
      <protection hidden="1"/>
    </xf>
    <xf numFmtId="0" fontId="9" fillId="0" borderId="0" xfId="0" applyFont="1" applyBorder="1" applyAlignment="1" applyProtection="1">
      <protection hidden="1"/>
    </xf>
    <xf numFmtId="0" fontId="9" fillId="0" borderId="17" xfId="0" applyFont="1" applyBorder="1" applyAlignment="1" applyProtection="1">
      <protection hidden="1"/>
    </xf>
    <xf numFmtId="0" fontId="9" fillId="0" borderId="18" xfId="0" applyFont="1" applyBorder="1" applyAlignment="1" applyProtection="1">
      <protection hidden="1"/>
    </xf>
    <xf numFmtId="167" fontId="62" fillId="0" borderId="0" xfId="0" applyNumberFormat="1" applyFont="1" applyFill="1" applyAlignment="1" applyProtection="1">
      <alignment horizontal="centerContinuous" vertical="center" wrapText="1"/>
      <protection hidden="1"/>
    </xf>
    <xf numFmtId="10" fontId="9" fillId="0" borderId="142" xfId="3" applyNumberFormat="1" applyFont="1" applyBorder="1" applyAlignment="1">
      <alignment horizontal="center" vertical="center" wrapText="1"/>
    </xf>
    <xf numFmtId="0" fontId="9" fillId="24" borderId="32" xfId="0" applyFont="1" applyFill="1" applyBorder="1" applyAlignment="1" applyProtection="1">
      <alignment horizontal="center" vertical="center" wrapText="1"/>
      <protection hidden="1"/>
    </xf>
    <xf numFmtId="1" fontId="23" fillId="24" borderId="28" xfId="2" applyNumberFormat="1" applyFont="1" applyFill="1" applyBorder="1" applyAlignment="1" applyProtection="1">
      <alignment horizontal="center" vertical="center" wrapText="1"/>
      <protection hidden="1"/>
    </xf>
    <xf numFmtId="0" fontId="9" fillId="21" borderId="1" xfId="0" applyFont="1" applyFill="1" applyBorder="1" applyAlignment="1" applyProtection="1">
      <alignment horizontal="center" vertical="center"/>
      <protection hidden="1"/>
    </xf>
    <xf numFmtId="1" fontId="58" fillId="21" borderId="36" xfId="2" applyNumberFormat="1" applyFont="1" applyFill="1" applyBorder="1" applyAlignment="1" applyProtection="1">
      <alignment horizontal="center" vertical="center" wrapText="1"/>
      <protection hidden="1"/>
    </xf>
    <xf numFmtId="15" fontId="0" fillId="0" borderId="0" xfId="0" applyNumberFormat="1" applyFill="1" applyProtection="1">
      <protection hidden="1"/>
    </xf>
    <xf numFmtId="0" fontId="9" fillId="0" borderId="75" xfId="0" applyFont="1" applyBorder="1" applyAlignment="1" applyProtection="1">
      <alignment horizontal="center"/>
      <protection hidden="1"/>
    </xf>
    <xf numFmtId="0" fontId="9" fillId="0" borderId="76" xfId="0" applyFont="1" applyBorder="1" applyAlignment="1" applyProtection="1">
      <alignment horizontal="center"/>
      <protection hidden="1"/>
    </xf>
    <xf numFmtId="0" fontId="9" fillId="0" borderId="15" xfId="0" applyFont="1" applyBorder="1" applyAlignment="1" applyProtection="1">
      <alignment horizontal="center"/>
      <protection hidden="1"/>
    </xf>
    <xf numFmtId="0" fontId="9" fillId="0" borderId="16" xfId="0" applyFont="1" applyBorder="1" applyAlignment="1" applyProtection="1">
      <alignment horizontal="center"/>
      <protection hidden="1"/>
    </xf>
    <xf numFmtId="0" fontId="0" fillId="0" borderId="16" xfId="0" applyBorder="1" applyProtection="1">
      <protection hidden="1"/>
    </xf>
    <xf numFmtId="0" fontId="0" fillId="0" borderId="77" xfId="0" applyBorder="1" applyProtection="1">
      <protection hidden="1"/>
    </xf>
    <xf numFmtId="0" fontId="0" fillId="0" borderId="78" xfId="0" applyBorder="1" applyProtection="1">
      <protection hidden="1"/>
    </xf>
    <xf numFmtId="0" fontId="6" fillId="21" borderId="10" xfId="0" applyFont="1" applyFill="1" applyBorder="1" applyAlignment="1" applyProtection="1">
      <alignment horizontal="center" vertical="center" wrapText="1"/>
      <protection hidden="1"/>
    </xf>
    <xf numFmtId="1" fontId="59" fillId="0" borderId="82" xfId="5" applyNumberFormat="1" applyFont="1" applyBorder="1" applyAlignment="1">
      <alignment horizontal="center" vertical="center"/>
    </xf>
    <xf numFmtId="1" fontId="75" fillId="20" borderId="0" xfId="5" applyNumberFormat="1" applyFont="1" applyFill="1" applyAlignment="1">
      <alignment vertical="center" wrapText="1"/>
    </xf>
    <xf numFmtId="0" fontId="67" fillId="20" borderId="0" xfId="12" applyFont="1" applyFill="1" applyAlignment="1" applyProtection="1">
      <alignment horizontal="centerContinuous"/>
      <protection hidden="1"/>
    </xf>
    <xf numFmtId="1" fontId="79" fillId="20" borderId="0" xfId="13" applyNumberFormat="1" applyFont="1" applyFill="1" applyAlignment="1">
      <alignment horizontal="centerContinuous"/>
    </xf>
    <xf numFmtId="0" fontId="67" fillId="20" borderId="0" xfId="12" applyFont="1" applyFill="1" applyAlignment="1" applyProtection="1">
      <alignment horizontal="centerContinuous" wrapText="1"/>
      <protection hidden="1"/>
    </xf>
    <xf numFmtId="0" fontId="81" fillId="20" borderId="17" xfId="12" applyNumberFormat="1" applyFont="1" applyFill="1" applyBorder="1" applyAlignment="1" applyProtection="1">
      <alignment vertical="center"/>
      <protection hidden="1"/>
    </xf>
    <xf numFmtId="0" fontId="9" fillId="21" borderId="0" xfId="0" applyFont="1" applyFill="1" applyBorder="1" applyAlignment="1" applyProtection="1">
      <alignment horizontal="center" vertical="center"/>
      <protection hidden="1"/>
    </xf>
    <xf numFmtId="0" fontId="6" fillId="21" borderId="0" xfId="0" applyFont="1" applyFill="1" applyBorder="1" applyAlignment="1" applyProtection="1">
      <alignment horizontal="center" vertical="center" wrapText="1"/>
      <protection hidden="1"/>
    </xf>
    <xf numFmtId="0" fontId="9" fillId="24" borderId="0" xfId="0" applyFont="1" applyFill="1" applyBorder="1" applyAlignment="1" applyProtection="1">
      <alignment horizontal="center" vertical="center" wrapText="1"/>
      <protection hidden="1"/>
    </xf>
    <xf numFmtId="2" fontId="80" fillId="24" borderId="0" xfId="2" applyNumberFormat="1" applyFont="1" applyFill="1" applyBorder="1" applyAlignment="1" applyProtection="1">
      <alignment horizontal="center" vertical="center" wrapText="1"/>
      <protection hidden="1"/>
    </xf>
    <xf numFmtId="1" fontId="23" fillId="24" borderId="0" xfId="2" applyNumberFormat="1" applyFont="1" applyFill="1" applyBorder="1" applyAlignment="1" applyProtection="1">
      <alignment horizontal="center" vertical="center" wrapText="1"/>
      <protection hidden="1"/>
    </xf>
    <xf numFmtId="1" fontId="58" fillId="21" borderId="0" xfId="2" applyNumberFormat="1" applyFont="1" applyFill="1" applyBorder="1" applyAlignment="1" applyProtection="1">
      <alignment horizontal="center" vertical="center" wrapText="1"/>
      <protection hidden="1"/>
    </xf>
    <xf numFmtId="9" fontId="4" fillId="0" borderId="0" xfId="3" applyFont="1" applyProtection="1">
      <protection hidden="1"/>
    </xf>
    <xf numFmtId="1" fontId="58" fillId="0" borderId="153" xfId="2" applyNumberFormat="1" applyFont="1" applyFill="1" applyBorder="1" applyAlignment="1" applyProtection="1">
      <alignment horizontal="center" vertical="center" wrapText="1"/>
      <protection hidden="1"/>
    </xf>
    <xf numFmtId="0" fontId="9" fillId="0" borderId="59" xfId="0" applyFont="1" applyBorder="1" applyAlignment="1" applyProtection="1">
      <alignment horizontal="center" vertical="center" wrapText="1"/>
      <protection hidden="1"/>
    </xf>
    <xf numFmtId="0" fontId="7" fillId="0" borderId="59" xfId="0" applyFont="1" applyBorder="1" applyAlignment="1" applyProtection="1">
      <alignment horizontal="center" vertical="center" wrapText="1"/>
      <protection hidden="1"/>
    </xf>
    <xf numFmtId="1" fontId="58" fillId="0" borderId="58" xfId="2" applyNumberFormat="1" applyFont="1" applyFill="1" applyBorder="1" applyAlignment="1" applyProtection="1">
      <alignment horizontal="center" vertical="center" wrapText="1"/>
      <protection hidden="1"/>
    </xf>
    <xf numFmtId="1" fontId="58" fillId="0" borderId="61" xfId="2" applyNumberFormat="1" applyFont="1" applyFill="1" applyBorder="1" applyAlignment="1" applyProtection="1">
      <alignment horizontal="center" vertical="center" wrapText="1"/>
      <protection hidden="1"/>
    </xf>
    <xf numFmtId="1" fontId="67" fillId="0" borderId="118" xfId="5" applyNumberFormat="1" applyFont="1" applyBorder="1" applyAlignment="1" applyProtection="1">
      <alignment horizontal="center" vertical="center" wrapText="1"/>
      <protection hidden="1"/>
    </xf>
    <xf numFmtId="2" fontId="67" fillId="0" borderId="62" xfId="5" applyNumberFormat="1" applyFont="1" applyBorder="1" applyAlignment="1" applyProtection="1">
      <alignment horizontal="center" vertical="center" wrapText="1"/>
      <protection hidden="1"/>
    </xf>
    <xf numFmtId="10" fontId="67" fillId="0" borderId="61" xfId="5" applyNumberFormat="1" applyFont="1" applyBorder="1" applyAlignment="1" applyProtection="1">
      <alignment horizontal="center" vertical="center" wrapText="1"/>
      <protection hidden="1"/>
    </xf>
    <xf numFmtId="168" fontId="67" fillId="0" borderId="61" xfId="5" applyNumberFormat="1" applyFont="1" applyBorder="1" applyAlignment="1" applyProtection="1">
      <alignment horizontal="center" vertical="center" wrapText="1"/>
      <protection hidden="1"/>
    </xf>
    <xf numFmtId="168" fontId="67" fillId="0" borderId="59" xfId="5" applyNumberFormat="1" applyFont="1" applyBorder="1" applyAlignment="1" applyProtection="1">
      <alignment horizontal="center" vertical="center" wrapText="1"/>
      <protection hidden="1"/>
    </xf>
    <xf numFmtId="1" fontId="67" fillId="0" borderId="104" xfId="5" applyNumberFormat="1" applyFont="1" applyBorder="1" applyAlignment="1" applyProtection="1">
      <alignment horizontal="center" vertical="center" wrapText="1"/>
      <protection hidden="1"/>
    </xf>
    <xf numFmtId="0" fontId="73" fillId="22" borderId="151" xfId="5" applyFont="1" applyFill="1" applyBorder="1" applyAlignment="1" applyProtection="1">
      <alignment vertical="center" wrapText="1"/>
      <protection hidden="1"/>
    </xf>
    <xf numFmtId="168" fontId="82" fillId="22" borderId="151" xfId="5" applyNumberFormat="1" applyFont="1" applyFill="1" applyBorder="1" applyAlignment="1" applyProtection="1">
      <alignment vertical="center" wrapText="1"/>
      <protection hidden="1"/>
    </xf>
    <xf numFmtId="0" fontId="73" fillId="22" borderId="100" xfId="5" applyFont="1" applyFill="1" applyBorder="1" applyAlignment="1" applyProtection="1">
      <alignment vertical="center" wrapText="1"/>
      <protection hidden="1"/>
    </xf>
    <xf numFmtId="0" fontId="73" fillId="0" borderId="59" xfId="5" applyFont="1" applyFill="1" applyBorder="1" applyAlignment="1" applyProtection="1">
      <alignment vertical="center" wrapText="1"/>
      <protection hidden="1"/>
    </xf>
    <xf numFmtId="182" fontId="67" fillId="0" borderId="118" xfId="5" applyNumberFormat="1" applyFont="1" applyBorder="1" applyAlignment="1" applyProtection="1">
      <alignment horizontal="center" vertical="center" wrapText="1"/>
      <protection hidden="1"/>
    </xf>
    <xf numFmtId="0" fontId="82" fillId="22" borderId="151" xfId="5" applyFont="1" applyFill="1" applyBorder="1" applyAlignment="1" applyProtection="1">
      <alignment vertical="center" wrapText="1"/>
      <protection hidden="1"/>
    </xf>
    <xf numFmtId="10" fontId="67" fillId="0" borderId="28" xfId="5" applyNumberFormat="1" applyFont="1" applyBorder="1" applyAlignment="1" applyProtection="1">
      <alignment horizontal="center" vertical="center" wrapText="1"/>
      <protection hidden="1"/>
    </xf>
    <xf numFmtId="168" fontId="67" fillId="0" borderId="28" xfId="5" applyNumberFormat="1" applyFont="1" applyBorder="1" applyAlignment="1" applyProtection="1">
      <alignment horizontal="center" vertical="center" wrapText="1"/>
      <protection hidden="1"/>
    </xf>
    <xf numFmtId="182" fontId="67" fillId="0" borderId="28" xfId="5" applyNumberFormat="1" applyFont="1" applyBorder="1" applyAlignment="1" applyProtection="1">
      <alignment horizontal="center" vertical="center" wrapText="1"/>
      <protection hidden="1"/>
    </xf>
    <xf numFmtId="0" fontId="13" fillId="0" borderId="126" xfId="0" applyFont="1" applyBorder="1" applyAlignment="1" applyProtection="1">
      <alignment horizontal="center" vertical="center"/>
      <protection locked="0"/>
    </xf>
    <xf numFmtId="49" fontId="23" fillId="0" borderId="28" xfId="2" applyNumberFormat="1" applyFont="1" applyFill="1" applyBorder="1" applyAlignment="1" applyProtection="1">
      <alignment horizontal="center" vertical="center" wrapText="1"/>
      <protection locked="0"/>
    </xf>
    <xf numFmtId="49" fontId="23" fillId="0" borderId="127" xfId="2" applyNumberFormat="1" applyFont="1" applyFill="1" applyBorder="1" applyAlignment="1" applyProtection="1">
      <alignment horizontal="center" vertical="center" wrapText="1"/>
      <protection locked="0"/>
    </xf>
    <xf numFmtId="169" fontId="23" fillId="0" borderId="28" xfId="2" applyNumberFormat="1" applyFont="1" applyFill="1" applyBorder="1" applyAlignment="1" applyProtection="1">
      <alignment horizontal="justify" vertical="top" wrapText="1"/>
      <protection locked="0"/>
    </xf>
    <xf numFmtId="49" fontId="15" fillId="0" borderId="31" xfId="3" applyNumberFormat="1" applyFont="1" applyFill="1" applyBorder="1" applyAlignment="1" applyProtection="1">
      <alignment horizontal="center" vertical="center"/>
      <protection locked="0"/>
    </xf>
    <xf numFmtId="9" fontId="15" fillId="0" borderId="31" xfId="3" applyFont="1" applyFill="1" applyBorder="1" applyAlignment="1" applyProtection="1">
      <alignment horizontal="center" vertical="center"/>
      <protection locked="0"/>
    </xf>
    <xf numFmtId="3" fontId="15" fillId="0" borderId="32" xfId="0" applyNumberFormat="1" applyFont="1" applyFill="1" applyBorder="1" applyAlignment="1" applyProtection="1">
      <alignment horizontal="center" vertical="center"/>
      <protection locked="0"/>
    </xf>
    <xf numFmtId="0" fontId="4" fillId="0" borderId="28" xfId="0" applyFont="1" applyFill="1" applyBorder="1" applyAlignment="1" applyProtection="1">
      <alignment horizontal="center" vertical="center" wrapText="1"/>
      <protection locked="0"/>
    </xf>
    <xf numFmtId="178" fontId="12" fillId="0" borderId="123" xfId="0" applyNumberFormat="1" applyFont="1" applyFill="1" applyBorder="1" applyAlignment="1" applyProtection="1">
      <alignment horizontal="center" vertical="center"/>
      <protection locked="0"/>
    </xf>
    <xf numFmtId="4" fontId="0" fillId="0" borderId="28" xfId="0" applyNumberFormat="1" applyBorder="1" applyAlignment="1" applyProtection="1">
      <alignment horizontal="center" vertical="center" wrapText="1"/>
      <protection locked="0"/>
    </xf>
    <xf numFmtId="0" fontId="13" fillId="0" borderId="29" xfId="0" applyFont="1" applyBorder="1" applyAlignment="1" applyProtection="1">
      <alignment horizontal="center" vertical="center"/>
      <protection locked="0"/>
    </xf>
    <xf numFmtId="49" fontId="23" fillId="0" borderId="29" xfId="2" applyNumberFormat="1" applyFont="1" applyFill="1" applyBorder="1" applyAlignment="1" applyProtection="1">
      <alignment horizontal="center" vertical="center" wrapText="1"/>
      <protection locked="0"/>
    </xf>
    <xf numFmtId="49" fontId="23" fillId="0" borderId="128" xfId="2" applyNumberFormat="1" applyFont="1" applyFill="1" applyBorder="1" applyAlignment="1" applyProtection="1">
      <alignment horizontal="center" vertical="center" wrapText="1"/>
      <protection locked="0"/>
    </xf>
    <xf numFmtId="169" fontId="23" fillId="0" borderId="29" xfId="2" applyNumberFormat="1" applyFont="1" applyFill="1" applyBorder="1" applyAlignment="1" applyProtection="1">
      <alignment horizontal="justify" vertical="top" wrapText="1"/>
      <protection locked="0"/>
    </xf>
    <xf numFmtId="49" fontId="15" fillId="0" borderId="35" xfId="3" applyNumberFormat="1" applyFont="1" applyFill="1" applyBorder="1" applyAlignment="1" applyProtection="1">
      <alignment horizontal="center" vertical="center"/>
      <protection locked="0"/>
    </xf>
    <xf numFmtId="9" fontId="15" fillId="0" borderId="35" xfId="3" applyFont="1" applyFill="1" applyBorder="1" applyAlignment="1" applyProtection="1">
      <alignment horizontal="center" vertical="center"/>
      <protection locked="0"/>
    </xf>
    <xf numFmtId="3" fontId="15" fillId="0" borderId="29" xfId="0" applyNumberFormat="1" applyFont="1" applyFill="1" applyBorder="1" applyAlignment="1" applyProtection="1">
      <alignment horizontal="center" vertical="center"/>
      <protection locked="0"/>
    </xf>
    <xf numFmtId="0" fontId="4" fillId="0" borderId="29" xfId="0" applyFont="1" applyFill="1" applyBorder="1" applyAlignment="1" applyProtection="1">
      <alignment horizontal="center" vertical="center" wrapText="1"/>
      <protection locked="0"/>
    </xf>
    <xf numFmtId="178" fontId="12" fillId="0" borderId="124" xfId="0" applyNumberFormat="1" applyFont="1" applyFill="1" applyBorder="1" applyAlignment="1" applyProtection="1">
      <alignment horizontal="center" vertical="center"/>
      <protection locked="0"/>
    </xf>
    <xf numFmtId="49" fontId="23" fillId="0" borderId="128" xfId="2" quotePrefix="1" applyNumberFormat="1" applyFont="1" applyFill="1" applyBorder="1" applyAlignment="1" applyProtection="1">
      <alignment horizontal="center" vertical="center" wrapText="1"/>
      <protection locked="0"/>
    </xf>
    <xf numFmtId="0" fontId="0" fillId="0" borderId="29" xfId="0" applyFill="1" applyBorder="1" applyAlignment="1" applyProtection="1">
      <alignment horizontal="center" vertical="center" wrapText="1"/>
      <protection locked="0"/>
    </xf>
    <xf numFmtId="0" fontId="13" fillId="0" borderId="13" xfId="0" applyFont="1" applyBorder="1" applyAlignment="1" applyProtection="1">
      <alignment horizontal="center"/>
      <protection locked="0"/>
    </xf>
    <xf numFmtId="0" fontId="13" fillId="0" borderId="12" xfId="0" applyFont="1" applyBorder="1" applyAlignment="1" applyProtection="1">
      <alignment horizontal="center"/>
      <protection locked="0"/>
    </xf>
    <xf numFmtId="0" fontId="13" fillId="0" borderId="14" xfId="0" applyFont="1" applyBorder="1" applyAlignment="1" applyProtection="1">
      <alignment horizontal="center"/>
      <protection locked="0"/>
    </xf>
    <xf numFmtId="4" fontId="14" fillId="0" borderId="13" xfId="0" applyNumberFormat="1" applyFont="1" applyBorder="1" applyProtection="1">
      <protection locked="0"/>
    </xf>
    <xf numFmtId="4" fontId="14" fillId="0" borderId="14" xfId="0" applyNumberFormat="1" applyFont="1" applyBorder="1" applyProtection="1">
      <protection locked="0"/>
    </xf>
    <xf numFmtId="0" fontId="13" fillId="0" borderId="23" xfId="0" applyFont="1" applyBorder="1" applyAlignment="1" applyProtection="1">
      <alignment horizontal="center"/>
      <protection locked="0"/>
    </xf>
    <xf numFmtId="1" fontId="23" fillId="0" borderId="28" xfId="2" applyNumberFormat="1" applyFont="1" applyFill="1" applyBorder="1" applyAlignment="1" applyProtection="1">
      <alignment horizontal="center" vertical="center" wrapText="1"/>
      <protection locked="0"/>
    </xf>
    <xf numFmtId="1" fontId="25" fillId="0" borderId="49" xfId="0" applyNumberFormat="1" applyFont="1" applyBorder="1" applyAlignment="1" applyProtection="1">
      <alignment horizontal="center" vertical="center" wrapText="1"/>
      <protection locked="0"/>
    </xf>
    <xf numFmtId="1" fontId="25" fillId="0" borderId="56" xfId="0" applyNumberFormat="1" applyFont="1" applyBorder="1" applyAlignment="1" applyProtection="1">
      <alignment horizontal="center" vertical="center"/>
      <protection locked="0"/>
    </xf>
    <xf numFmtId="1" fontId="26" fillId="0" borderId="53" xfId="3" applyNumberFormat="1" applyFont="1" applyFill="1" applyBorder="1" applyAlignment="1" applyProtection="1">
      <alignment horizontal="center" vertical="center"/>
      <protection locked="0"/>
    </xf>
    <xf numFmtId="1" fontId="25" fillId="0" borderId="57" xfId="0" applyNumberFormat="1" applyFont="1" applyBorder="1" applyAlignment="1" applyProtection="1">
      <alignment horizontal="center" vertical="center"/>
      <protection locked="0"/>
    </xf>
    <xf numFmtId="1" fontId="25" fillId="0" borderId="57" xfId="0" applyNumberFormat="1" applyFont="1" applyFill="1" applyBorder="1" applyAlignment="1" applyProtection="1">
      <alignment horizontal="center" vertical="center"/>
      <protection locked="0"/>
    </xf>
    <xf numFmtId="3" fontId="26" fillId="0" borderId="53" xfId="3" applyNumberFormat="1" applyFont="1" applyFill="1" applyBorder="1" applyAlignment="1" applyProtection="1">
      <alignment horizontal="center" vertical="center"/>
      <protection locked="0"/>
    </xf>
    <xf numFmtId="3" fontId="25" fillId="0" borderId="57" xfId="0" applyNumberFormat="1" applyFont="1" applyBorder="1" applyAlignment="1" applyProtection="1">
      <alignment horizontal="center" vertical="center"/>
      <protection locked="0"/>
    </xf>
    <xf numFmtId="0" fontId="35" fillId="0" borderId="0" xfId="5" applyFont="1" applyAlignment="1" applyProtection="1">
      <alignment horizontal="centerContinuous" wrapText="1"/>
      <protection hidden="1"/>
    </xf>
    <xf numFmtId="166" fontId="9" fillId="0" borderId="57" xfId="5" applyNumberFormat="1" applyFont="1" applyBorder="1" applyAlignment="1" applyProtection="1">
      <alignment horizontal="center"/>
      <protection hidden="1"/>
    </xf>
    <xf numFmtId="1" fontId="5" fillId="0" borderId="86" xfId="5" applyNumberFormat="1" applyFont="1" applyBorder="1" applyAlignment="1" applyProtection="1">
      <alignment horizontal="center"/>
      <protection hidden="1"/>
    </xf>
    <xf numFmtId="1" fontId="5" fillId="0" borderId="33" xfId="5" applyNumberFormat="1" applyFont="1" applyBorder="1" applyAlignment="1" applyProtection="1">
      <alignment horizontal="center"/>
      <protection hidden="1"/>
    </xf>
    <xf numFmtId="0" fontId="9" fillId="0" borderId="57" xfId="5" applyFont="1" applyBorder="1" applyAlignment="1" applyProtection="1">
      <alignment horizontal="center"/>
      <protection hidden="1"/>
    </xf>
    <xf numFmtId="3" fontId="5" fillId="0" borderId="33" xfId="5" applyNumberFormat="1" applyFont="1" applyBorder="1" applyAlignment="1" applyProtection="1">
      <alignment horizontal="center"/>
      <protection hidden="1"/>
    </xf>
    <xf numFmtId="0" fontId="5" fillId="0" borderId="57" xfId="5" applyFont="1" applyBorder="1" applyAlignment="1" applyProtection="1">
      <alignment horizontal="center"/>
      <protection hidden="1"/>
    </xf>
    <xf numFmtId="1" fontId="9" fillId="20" borderId="130" xfId="5" applyNumberFormat="1" applyFont="1" applyFill="1" applyBorder="1" applyAlignment="1">
      <alignment horizontal="center" vertical="center" wrapText="1"/>
    </xf>
    <xf numFmtId="0" fontId="9" fillId="20" borderId="20" xfId="5" applyFont="1" applyFill="1" applyBorder="1" applyAlignment="1">
      <alignment horizontal="center" vertical="center" wrapText="1"/>
    </xf>
    <xf numFmtId="0" fontId="9" fillId="0" borderId="0" xfId="5" applyFont="1" applyBorder="1" applyAlignment="1">
      <alignment horizontal="left" vertical="center" wrapText="1"/>
    </xf>
    <xf numFmtId="10" fontId="9" fillId="0" borderId="0" xfId="5" applyNumberFormat="1" applyFont="1" applyBorder="1" applyAlignment="1">
      <alignment horizontal="center" vertical="center" wrapText="1"/>
    </xf>
    <xf numFmtId="10" fontId="9" fillId="0" borderId="154" xfId="5" applyNumberFormat="1" applyFont="1" applyBorder="1" applyAlignment="1">
      <alignment horizontal="center" vertical="center" wrapText="1"/>
    </xf>
    <xf numFmtId="9" fontId="80" fillId="24" borderId="28" xfId="3" applyFont="1" applyFill="1" applyBorder="1" applyAlignment="1" applyProtection="1">
      <alignment horizontal="center" vertical="center" wrapText="1"/>
      <protection hidden="1"/>
    </xf>
    <xf numFmtId="4" fontId="4" fillId="0" borderId="28" xfId="0" applyNumberFormat="1" applyFont="1" applyBorder="1" applyAlignment="1" applyProtection="1">
      <alignment horizontal="center" vertical="center" wrapText="1"/>
      <protection locked="0"/>
    </xf>
    <xf numFmtId="1" fontId="36" fillId="0" borderId="0" xfId="0" applyNumberFormat="1" applyFont="1" applyAlignment="1" applyProtection="1">
      <alignment horizontal="center" vertical="center" wrapText="1"/>
      <protection hidden="1"/>
    </xf>
    <xf numFmtId="0" fontId="9" fillId="0" borderId="19" xfId="0" applyFont="1" applyBorder="1" applyAlignment="1" applyProtection="1">
      <alignment horizontal="center" vertical="center"/>
      <protection hidden="1"/>
    </xf>
    <xf numFmtId="0" fontId="9" fillId="0" borderId="152" xfId="0" applyFont="1" applyBorder="1" applyAlignment="1" applyProtection="1">
      <alignment horizontal="center" vertical="center" wrapText="1"/>
      <protection hidden="1"/>
    </xf>
    <xf numFmtId="0" fontId="7" fillId="0" borderId="43" xfId="0" applyFont="1" applyBorder="1" applyAlignment="1" applyProtection="1">
      <alignment horizontal="center" vertical="center" wrapText="1"/>
      <protection hidden="1"/>
    </xf>
    <xf numFmtId="0" fontId="9" fillId="0" borderId="1" xfId="0" applyFont="1" applyBorder="1" applyAlignment="1" applyProtection="1">
      <alignment horizontal="center" vertical="center" wrapText="1"/>
      <protection hidden="1"/>
    </xf>
    <xf numFmtId="0" fontId="9" fillId="0" borderId="10" xfId="0" applyFont="1" applyBorder="1" applyAlignment="1" applyProtection="1">
      <alignment horizontal="center" vertical="center" wrapText="1"/>
      <protection hidden="1"/>
    </xf>
    <xf numFmtId="0" fontId="57" fillId="2" borderId="16" xfId="0" applyFont="1" applyFill="1" applyBorder="1" applyProtection="1">
      <protection hidden="1"/>
    </xf>
    <xf numFmtId="0" fontId="9" fillId="0" borderId="1" xfId="0" applyFont="1" applyBorder="1" applyAlignment="1" applyProtection="1">
      <alignment horizontal="center" vertical="center"/>
      <protection hidden="1"/>
    </xf>
    <xf numFmtId="0" fontId="3" fillId="0" borderId="26" xfId="0" applyFont="1" applyBorder="1" applyProtection="1">
      <protection hidden="1"/>
    </xf>
    <xf numFmtId="0" fontId="5" fillId="0" borderId="68" xfId="0" applyFont="1" applyBorder="1" applyAlignment="1" applyProtection="1">
      <alignment vertical="center"/>
      <protection hidden="1"/>
    </xf>
    <xf numFmtId="0" fontId="5" fillId="0" borderId="69" xfId="0" applyFont="1" applyBorder="1" applyAlignment="1" applyProtection="1">
      <alignment vertical="center"/>
      <protection hidden="1"/>
    </xf>
    <xf numFmtId="0" fontId="9" fillId="0" borderId="0" xfId="0" applyFont="1" applyBorder="1" applyAlignment="1" applyProtection="1">
      <alignment horizontal="center" vertical="center" wrapText="1"/>
      <protection hidden="1"/>
    </xf>
    <xf numFmtId="0" fontId="9" fillId="0" borderId="157" xfId="0" applyFont="1" applyBorder="1" applyAlignment="1" applyProtection="1">
      <alignment horizontal="center" vertical="center" wrapText="1"/>
      <protection hidden="1"/>
    </xf>
    <xf numFmtId="9" fontId="23" fillId="24" borderId="28" xfId="3" applyFont="1" applyFill="1" applyBorder="1" applyAlignment="1" applyProtection="1">
      <alignment horizontal="center" vertical="center" wrapText="1"/>
      <protection hidden="1"/>
    </xf>
    <xf numFmtId="1" fontId="80" fillId="24" borderId="28" xfId="2" applyNumberFormat="1" applyFont="1" applyFill="1" applyBorder="1" applyAlignment="1" applyProtection="1">
      <alignment horizontal="center" vertical="center" wrapText="1"/>
      <protection hidden="1"/>
    </xf>
    <xf numFmtId="0" fontId="9" fillId="23" borderId="40" xfId="0" applyFont="1" applyFill="1" applyBorder="1" applyAlignment="1" applyProtection="1">
      <alignment horizontal="center" vertical="center"/>
      <protection hidden="1"/>
    </xf>
    <xf numFmtId="0" fontId="9" fillId="0" borderId="58" xfId="0" applyFont="1" applyBorder="1" applyAlignment="1" applyProtection="1">
      <alignment horizontal="center" vertical="center" wrapText="1"/>
      <protection hidden="1"/>
    </xf>
    <xf numFmtId="1" fontId="23" fillId="0" borderId="58" xfId="2" applyNumberFormat="1" applyFont="1" applyFill="1" applyBorder="1" applyAlignment="1" applyProtection="1">
      <alignment horizontal="center" vertical="center" wrapText="1"/>
      <protection hidden="1"/>
    </xf>
    <xf numFmtId="178" fontId="12" fillId="0" borderId="6" xfId="0" applyNumberFormat="1" applyFont="1" applyFill="1" applyBorder="1" applyAlignment="1" applyProtection="1">
      <alignment horizontal="center" vertical="center"/>
      <protection hidden="1"/>
    </xf>
    <xf numFmtId="15" fontId="12" fillId="0" borderId="7" xfId="0" applyNumberFormat="1" applyFont="1" applyFill="1" applyBorder="1" applyAlignment="1" applyProtection="1">
      <alignment horizontal="center" vertical="center"/>
      <protection hidden="1"/>
    </xf>
    <xf numFmtId="0" fontId="9" fillId="0" borderId="31" xfId="0" applyFont="1" applyFill="1" applyBorder="1" applyAlignment="1" applyProtection="1">
      <alignment horizontal="center" vertical="center" wrapText="1"/>
      <protection locked="0"/>
    </xf>
    <xf numFmtId="1" fontId="84" fillId="0" borderId="58" xfId="2" applyNumberFormat="1" applyFont="1" applyFill="1" applyBorder="1" applyAlignment="1" applyProtection="1">
      <alignment horizontal="center" vertical="center" wrapText="1"/>
      <protection locked="0"/>
    </xf>
    <xf numFmtId="1" fontId="84" fillId="0" borderId="61" xfId="2" applyNumberFormat="1" applyFont="1" applyFill="1" applyBorder="1" applyAlignment="1" applyProtection="1">
      <alignment horizontal="center" vertical="center" wrapText="1"/>
      <protection locked="0"/>
    </xf>
    <xf numFmtId="1" fontId="83" fillId="0" borderId="58" xfId="2" applyNumberFormat="1" applyFont="1" applyFill="1" applyBorder="1" applyAlignment="1" applyProtection="1">
      <alignment horizontal="center" vertical="center" wrapText="1"/>
      <protection locked="0"/>
    </xf>
    <xf numFmtId="1" fontId="83" fillId="0" borderId="61" xfId="2" applyNumberFormat="1"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1" fontId="85" fillId="0" borderId="58" xfId="2" applyNumberFormat="1" applyFont="1" applyFill="1" applyBorder="1" applyAlignment="1" applyProtection="1">
      <alignment horizontal="center" vertical="center" wrapText="1"/>
      <protection locked="0"/>
    </xf>
    <xf numFmtId="1" fontId="85" fillId="0" borderId="61" xfId="2" applyNumberFormat="1" applyFont="1" applyFill="1" applyBorder="1" applyAlignment="1" applyProtection="1">
      <alignment horizontal="center" vertical="center" wrapText="1"/>
      <protection locked="0"/>
    </xf>
    <xf numFmtId="0" fontId="24" fillId="0" borderId="42" xfId="0" applyFont="1" applyBorder="1" applyAlignment="1" applyProtection="1">
      <alignment horizontal="center" vertical="center"/>
      <protection locked="0"/>
    </xf>
    <xf numFmtId="4" fontId="24" fillId="0" borderId="42" xfId="0" applyNumberFormat="1" applyFont="1" applyBorder="1" applyProtection="1">
      <protection locked="0"/>
    </xf>
    <xf numFmtId="0" fontId="5" fillId="0" borderId="42" xfId="0" applyFont="1" applyBorder="1" applyAlignment="1" applyProtection="1">
      <alignment horizontal="center" vertical="center"/>
      <protection locked="0"/>
    </xf>
    <xf numFmtId="4" fontId="5" fillId="0" borderId="42" xfId="0" applyNumberFormat="1" applyFont="1" applyBorder="1" applyProtection="1">
      <protection locked="0"/>
    </xf>
    <xf numFmtId="1" fontId="5" fillId="0" borderId="86" xfId="5" applyNumberFormat="1" applyFont="1" applyBorder="1" applyAlignment="1" applyProtection="1">
      <alignment horizontal="center"/>
      <protection locked="0"/>
    </xf>
    <xf numFmtId="0" fontId="39" fillId="0" borderId="0" xfId="0" applyFont="1" applyAlignment="1" applyProtection="1">
      <alignment horizontal="center" vertical="center"/>
      <protection hidden="1"/>
    </xf>
    <xf numFmtId="0" fontId="61" fillId="0" borderId="129" xfId="0" applyNumberFormat="1" applyFont="1" applyBorder="1" applyAlignment="1" applyProtection="1">
      <alignment horizontal="center" vertical="center"/>
      <protection hidden="1"/>
    </xf>
    <xf numFmtId="0" fontId="61" fillId="0" borderId="130" xfId="0" applyNumberFormat="1" applyFont="1" applyBorder="1" applyAlignment="1" applyProtection="1">
      <alignment horizontal="center" vertical="center"/>
      <protection hidden="1"/>
    </xf>
    <xf numFmtId="0" fontId="61" fillId="0" borderId="131" xfId="0" applyNumberFormat="1" applyFont="1" applyBorder="1" applyAlignment="1" applyProtection="1">
      <alignment horizontal="center" vertical="center"/>
      <protection hidden="1"/>
    </xf>
    <xf numFmtId="0" fontId="3" fillId="6" borderId="59" xfId="5" applyFont="1" applyFill="1" applyBorder="1" applyAlignment="1">
      <alignment horizontal="center" vertical="center" wrapText="1"/>
    </xf>
    <xf numFmtId="0" fontId="3" fillId="6" borderId="0" xfId="5" applyFont="1" applyFill="1" applyBorder="1" applyAlignment="1">
      <alignment horizontal="center" vertical="center" wrapText="1"/>
    </xf>
    <xf numFmtId="0" fontId="3" fillId="6" borderId="150" xfId="5" applyFont="1" applyFill="1" applyBorder="1" applyAlignment="1">
      <alignment horizontal="center" vertical="center" wrapText="1"/>
    </xf>
    <xf numFmtId="0" fontId="3" fillId="6" borderId="85" xfId="5" applyFont="1" applyFill="1" applyBorder="1" applyAlignment="1">
      <alignment horizontal="center" vertical="center" wrapText="1"/>
    </xf>
    <xf numFmtId="0" fontId="65" fillId="21" borderId="24" xfId="5" applyFont="1" applyFill="1" applyBorder="1" applyAlignment="1">
      <alignment horizontal="center" vertical="center"/>
    </xf>
    <xf numFmtId="0" fontId="65" fillId="21" borderId="139" xfId="5" applyFont="1" applyFill="1" applyBorder="1" applyAlignment="1">
      <alignment horizontal="center" vertical="center"/>
    </xf>
    <xf numFmtId="0" fontId="76" fillId="21" borderId="80" xfId="5" applyFont="1" applyFill="1" applyBorder="1" applyAlignment="1">
      <alignment horizontal="center" vertical="center"/>
    </xf>
    <xf numFmtId="0" fontId="76" fillId="21" borderId="140" xfId="5" applyFont="1" applyFill="1" applyBorder="1" applyAlignment="1">
      <alignment horizontal="center" vertical="center"/>
    </xf>
    <xf numFmtId="0" fontId="74" fillId="22" borderId="74" xfId="5" applyFont="1" applyFill="1" applyBorder="1" applyAlignment="1" applyProtection="1">
      <alignment horizontal="center" vertical="center" wrapText="1"/>
      <protection hidden="1"/>
    </xf>
    <xf numFmtId="0" fontId="74" fillId="22" borderId="149" xfId="5" applyFont="1" applyFill="1" applyBorder="1" applyAlignment="1" applyProtection="1">
      <alignment horizontal="center" vertical="center" wrapText="1"/>
      <protection hidden="1"/>
    </xf>
    <xf numFmtId="4" fontId="73" fillId="21" borderId="19" xfId="5" applyNumberFormat="1" applyFont="1" applyFill="1" applyBorder="1" applyAlignment="1">
      <alignment horizontal="center" vertical="center" wrapText="1"/>
    </xf>
    <xf numFmtId="4" fontId="73" fillId="21" borderId="147" xfId="5" applyNumberFormat="1" applyFont="1" applyFill="1" applyBorder="1" applyAlignment="1">
      <alignment horizontal="center" vertical="center" wrapText="1"/>
    </xf>
    <xf numFmtId="0" fontId="73" fillId="21" borderId="24" xfId="5" applyFont="1" applyFill="1" applyBorder="1" applyAlignment="1">
      <alignment horizontal="center" vertical="center" wrapText="1"/>
    </xf>
    <xf numFmtId="0" fontId="73" fillId="21" borderId="139" xfId="5" applyFont="1" applyFill="1" applyBorder="1" applyAlignment="1">
      <alignment horizontal="center" vertical="center" wrapText="1"/>
    </xf>
    <xf numFmtId="0" fontId="73" fillId="21" borderId="1" xfId="5" applyFont="1" applyFill="1" applyBorder="1" applyAlignment="1">
      <alignment horizontal="center" vertical="center" wrapText="1"/>
    </xf>
    <xf numFmtId="0" fontId="73" fillId="21" borderId="138" xfId="5" applyFont="1" applyFill="1" applyBorder="1" applyAlignment="1">
      <alignment horizontal="center" vertical="center" wrapText="1"/>
    </xf>
    <xf numFmtId="4" fontId="73" fillId="21" borderId="58" xfId="5" applyNumberFormat="1" applyFont="1" applyFill="1" applyBorder="1" applyAlignment="1">
      <alignment horizontal="center" vertical="center" wrapText="1"/>
    </xf>
    <xf numFmtId="4" fontId="73" fillId="21" borderId="148" xfId="5" applyNumberFormat="1" applyFont="1" applyFill="1" applyBorder="1" applyAlignment="1">
      <alignment horizontal="center" vertical="center" wrapText="1"/>
    </xf>
    <xf numFmtId="166" fontId="12" fillId="0" borderId="92" xfId="0" applyNumberFormat="1" applyFont="1" applyBorder="1" applyAlignment="1" applyProtection="1">
      <alignment horizontal="center"/>
      <protection hidden="1"/>
    </xf>
    <xf numFmtId="166" fontId="12" fillId="0" borderId="69" xfId="0" applyNumberFormat="1" applyFont="1" applyBorder="1" applyAlignment="1" applyProtection="1">
      <alignment horizontal="center"/>
      <protection hidden="1"/>
    </xf>
    <xf numFmtId="166" fontId="12" fillId="0" borderId="70" xfId="0" applyNumberFormat="1" applyFont="1" applyBorder="1" applyAlignment="1" applyProtection="1">
      <alignment horizontal="center"/>
      <protection hidden="1"/>
    </xf>
    <xf numFmtId="164" fontId="0" fillId="4" borderId="71" xfId="0" applyNumberFormat="1" applyFill="1" applyBorder="1" applyProtection="1">
      <protection hidden="1"/>
    </xf>
    <xf numFmtId="164" fontId="0" fillId="4" borderId="72" xfId="0" applyNumberFormat="1" applyFill="1" applyBorder="1" applyProtection="1">
      <protection hidden="1"/>
    </xf>
    <xf numFmtId="164" fontId="0" fillId="4" borderId="73" xfId="0" applyNumberFormat="1" applyFill="1" applyBorder="1" applyProtection="1">
      <protection hidden="1"/>
    </xf>
    <xf numFmtId="1" fontId="36" fillId="0" borderId="0" xfId="0" applyNumberFormat="1" applyFont="1" applyAlignment="1" applyProtection="1">
      <alignment horizontal="center" vertical="center" wrapText="1"/>
      <protection hidden="1"/>
    </xf>
    <xf numFmtId="1" fontId="37" fillId="0" borderId="0" xfId="0" applyNumberFormat="1" applyFont="1" applyAlignment="1" applyProtection="1">
      <alignment horizontal="center" vertical="center" wrapText="1"/>
      <protection hidden="1"/>
    </xf>
    <xf numFmtId="0" fontId="9" fillId="0" borderId="19" xfId="0" applyFont="1" applyBorder="1" applyAlignment="1" applyProtection="1">
      <alignment horizontal="center" vertical="center"/>
      <protection hidden="1"/>
    </xf>
    <xf numFmtId="0" fontId="9" fillId="0" borderId="21" xfId="0" applyFont="1" applyBorder="1" applyAlignment="1" applyProtection="1">
      <alignment horizontal="center" vertical="center"/>
      <protection hidden="1"/>
    </xf>
    <xf numFmtId="0" fontId="28" fillId="0" borderId="75" xfId="0" applyFont="1" applyBorder="1" applyAlignment="1" applyProtection="1">
      <alignment horizontal="center" vertical="center"/>
      <protection hidden="1"/>
    </xf>
    <xf numFmtId="0" fontId="28" fillId="0" borderId="76" xfId="0" applyFont="1" applyBorder="1" applyAlignment="1" applyProtection="1">
      <alignment horizontal="center" vertical="center"/>
      <protection hidden="1"/>
    </xf>
    <xf numFmtId="164" fontId="0" fillId="0" borderId="15" xfId="0" applyNumberFormat="1" applyBorder="1" applyAlignment="1" applyProtection="1">
      <alignment horizontal="center" wrapText="1"/>
      <protection hidden="1"/>
    </xf>
    <xf numFmtId="164" fontId="0" fillId="0" borderId="16" xfId="0" applyNumberFormat="1" applyBorder="1" applyAlignment="1" applyProtection="1">
      <alignment horizontal="center"/>
      <protection hidden="1"/>
    </xf>
    <xf numFmtId="164" fontId="0" fillId="0" borderId="77" xfId="0" applyNumberFormat="1" applyBorder="1" applyAlignment="1" applyProtection="1">
      <alignment horizontal="center"/>
      <protection hidden="1"/>
    </xf>
    <xf numFmtId="164" fontId="0" fillId="0" borderId="17" xfId="0" applyNumberFormat="1" applyBorder="1" applyAlignment="1" applyProtection="1">
      <alignment horizontal="center"/>
      <protection hidden="1"/>
    </xf>
    <xf numFmtId="164" fontId="0" fillId="0" borderId="18" xfId="0" applyNumberFormat="1" applyBorder="1" applyAlignment="1" applyProtection="1">
      <alignment horizontal="center"/>
      <protection hidden="1"/>
    </xf>
    <xf numFmtId="164" fontId="0" fillId="0" borderId="78" xfId="0" applyNumberFormat="1" applyBorder="1" applyAlignment="1" applyProtection="1">
      <alignment horizontal="center"/>
      <protection hidden="1"/>
    </xf>
    <xf numFmtId="0" fontId="27" fillId="0" borderId="15" xfId="0" applyFont="1" applyBorder="1" applyAlignment="1" applyProtection="1">
      <alignment horizontal="center" vertical="center" wrapText="1"/>
      <protection hidden="1"/>
    </xf>
    <xf numFmtId="0" fontId="27" fillId="0" borderId="16" xfId="0" applyFont="1" applyBorder="1" applyAlignment="1" applyProtection="1">
      <alignment horizontal="center" vertical="center" wrapText="1"/>
      <protection hidden="1"/>
    </xf>
    <xf numFmtId="0" fontId="27" fillId="0" borderId="17" xfId="0" applyFont="1" applyBorder="1" applyAlignment="1" applyProtection="1">
      <alignment horizontal="center" vertical="center" wrapText="1"/>
      <protection hidden="1"/>
    </xf>
    <xf numFmtId="0" fontId="27" fillId="0" borderId="18" xfId="0" applyFont="1" applyBorder="1" applyAlignment="1" applyProtection="1">
      <alignment horizontal="center" vertical="center" wrapText="1"/>
      <protection hidden="1"/>
    </xf>
    <xf numFmtId="1" fontId="58" fillId="0" borderId="79" xfId="2" applyNumberFormat="1" applyFont="1" applyFill="1" applyBorder="1" applyAlignment="1" applyProtection="1">
      <alignment horizontal="center" vertical="center" wrapText="1"/>
      <protection hidden="1"/>
    </xf>
    <xf numFmtId="1" fontId="58" fillId="0" borderId="156" xfId="2" applyNumberFormat="1" applyFont="1" applyFill="1" applyBorder="1" applyAlignment="1" applyProtection="1">
      <alignment horizontal="center" vertical="center" wrapText="1"/>
      <protection hidden="1"/>
    </xf>
    <xf numFmtId="0" fontId="7" fillId="0" borderId="79" xfId="0" applyFont="1" applyBorder="1" applyAlignment="1" applyProtection="1">
      <alignment horizontal="center" vertical="center" wrapText="1"/>
      <protection hidden="1"/>
    </xf>
    <xf numFmtId="0" fontId="7" fillId="0" borderId="155" xfId="0" applyFont="1" applyBorder="1" applyAlignment="1" applyProtection="1">
      <alignment horizontal="center" vertical="center" wrapText="1"/>
      <protection hidden="1"/>
    </xf>
    <xf numFmtId="0" fontId="7" fillId="0" borderId="156" xfId="0" applyFont="1" applyBorder="1" applyAlignment="1" applyProtection="1">
      <alignment horizontal="center" vertical="center" wrapText="1"/>
      <protection hidden="1"/>
    </xf>
    <xf numFmtId="0" fontId="9" fillId="0" borderId="152" xfId="0" applyFont="1" applyBorder="1" applyAlignment="1" applyProtection="1">
      <alignment horizontal="center" vertical="center" wrapText="1"/>
      <protection hidden="1"/>
    </xf>
    <xf numFmtId="0" fontId="9" fillId="0" borderId="156" xfId="0" applyFont="1" applyBorder="1" applyAlignment="1" applyProtection="1">
      <alignment horizontal="center" vertical="center" wrapText="1"/>
      <protection hidden="1"/>
    </xf>
    <xf numFmtId="0" fontId="9" fillId="0" borderId="79" xfId="0" applyFont="1" applyBorder="1" applyAlignment="1" applyProtection="1">
      <alignment horizontal="center" vertical="center" wrapText="1"/>
      <protection hidden="1"/>
    </xf>
    <xf numFmtId="0" fontId="9" fillId="0" borderId="37" xfId="0" applyFont="1" applyBorder="1" applyAlignment="1" applyProtection="1">
      <alignment horizontal="center" vertical="center" wrapText="1"/>
      <protection hidden="1"/>
    </xf>
    <xf numFmtId="0" fontId="9" fillId="0" borderId="1" xfId="0" applyFont="1" applyBorder="1" applyAlignment="1" applyProtection="1">
      <alignment horizontal="center" vertical="center" wrapText="1"/>
      <protection hidden="1"/>
    </xf>
    <xf numFmtId="0" fontId="9" fillId="0" borderId="10" xfId="0" applyFont="1" applyBorder="1" applyAlignment="1" applyProtection="1">
      <alignment horizontal="center" vertical="center" wrapText="1"/>
      <protection hidden="1"/>
    </xf>
    <xf numFmtId="0" fontId="9" fillId="0" borderId="80" xfId="0" applyFont="1" applyFill="1" applyBorder="1" applyAlignment="1" applyProtection="1">
      <alignment horizontal="center" vertical="center"/>
      <protection hidden="1"/>
    </xf>
    <xf numFmtId="0" fontId="9" fillId="0" borderId="81" xfId="0" applyFont="1" applyFill="1" applyBorder="1" applyAlignment="1" applyProtection="1">
      <alignment horizontal="center" vertical="center"/>
      <protection hidden="1"/>
    </xf>
    <xf numFmtId="9" fontId="9" fillId="0" borderId="80" xfId="3" applyFont="1" applyFill="1" applyBorder="1" applyAlignment="1" applyProtection="1">
      <alignment horizontal="center" vertical="center"/>
      <protection hidden="1"/>
    </xf>
    <xf numFmtId="9" fontId="9" fillId="0" borderId="81" xfId="3" applyFont="1" applyFill="1" applyBorder="1" applyAlignment="1" applyProtection="1">
      <alignment horizontal="center" vertical="center"/>
      <protection hidden="1"/>
    </xf>
    <xf numFmtId="0" fontId="9" fillId="0" borderId="80" xfId="0" applyFont="1" applyBorder="1" applyAlignment="1" applyProtection="1">
      <alignment horizontal="center"/>
      <protection hidden="1"/>
    </xf>
    <xf numFmtId="0" fontId="9" fillId="0" borderId="81" xfId="0" applyFont="1" applyBorder="1" applyAlignment="1" applyProtection="1">
      <alignment horizontal="center"/>
      <protection hidden="1"/>
    </xf>
    <xf numFmtId="0" fontId="57" fillId="2" borderId="16" xfId="0" applyFont="1" applyFill="1" applyBorder="1" applyProtection="1">
      <protection hidden="1"/>
    </xf>
    <xf numFmtId="0" fontId="3" fillId="2" borderId="79" xfId="0" applyFont="1" applyFill="1" applyBorder="1" applyAlignment="1" applyProtection="1">
      <alignment horizontal="right" vertical="center"/>
      <protection hidden="1"/>
    </xf>
    <xf numFmtId="0" fontId="3" fillId="2" borderId="37" xfId="0" applyFont="1" applyFill="1" applyBorder="1" applyAlignment="1" applyProtection="1">
      <alignment horizontal="right" vertical="center"/>
      <protection hidden="1"/>
    </xf>
    <xf numFmtId="0" fontId="0" fillId="0" borderId="82" xfId="0" applyBorder="1" applyAlignment="1" applyProtection="1">
      <alignment horizontal="center"/>
      <protection hidden="1"/>
    </xf>
    <xf numFmtId="0" fontId="0" fillId="0" borderId="83" xfId="0" applyBorder="1" applyAlignment="1" applyProtection="1">
      <alignment horizontal="center"/>
      <protection hidden="1"/>
    </xf>
    <xf numFmtId="0" fontId="30" fillId="5" borderId="0" xfId="0" applyFont="1" applyFill="1" applyAlignment="1" applyProtection="1">
      <alignment horizontal="center" vertical="center"/>
      <protection hidden="1"/>
    </xf>
    <xf numFmtId="0" fontId="7" fillId="0" borderId="0" xfId="0" applyFont="1" applyAlignment="1" applyProtection="1">
      <alignment vertical="center"/>
      <protection hidden="1"/>
    </xf>
    <xf numFmtId="0" fontId="9" fillId="0" borderId="1" xfId="0" applyFont="1" applyBorder="1" applyAlignment="1" applyProtection="1">
      <alignment horizontal="center" vertical="center"/>
      <protection hidden="1"/>
    </xf>
    <xf numFmtId="0" fontId="9" fillId="0" borderId="10" xfId="0" applyFont="1" applyBorder="1" applyAlignment="1" applyProtection="1">
      <alignment horizontal="center" vertical="center"/>
      <protection hidden="1"/>
    </xf>
    <xf numFmtId="1" fontId="59" fillId="0" borderId="82" xfId="0" applyNumberFormat="1" applyFont="1" applyBorder="1" applyAlignment="1" applyProtection="1">
      <alignment horizontal="center" vertical="center"/>
      <protection hidden="1"/>
    </xf>
    <xf numFmtId="1" fontId="59" fillId="0" borderId="9" xfId="0" applyNumberFormat="1" applyFont="1" applyBorder="1" applyAlignment="1" applyProtection="1">
      <alignment horizontal="center" vertical="center"/>
      <protection hidden="1"/>
    </xf>
    <xf numFmtId="1" fontId="59" fillId="0" borderId="83" xfId="0" applyNumberFormat="1" applyFont="1" applyBorder="1" applyAlignment="1" applyProtection="1">
      <alignment horizontal="center" vertical="center"/>
      <protection hidden="1"/>
    </xf>
    <xf numFmtId="3" fontId="9" fillId="0" borderId="1" xfId="0" applyNumberFormat="1" applyFont="1" applyBorder="1" applyAlignment="1" applyProtection="1">
      <alignment horizontal="center" vertical="center" wrapText="1"/>
      <protection hidden="1"/>
    </xf>
    <xf numFmtId="3" fontId="9" fillId="0" borderId="10" xfId="0" applyNumberFormat="1" applyFont="1" applyBorder="1" applyAlignment="1" applyProtection="1">
      <alignment horizontal="center" vertical="center"/>
      <protection hidden="1"/>
    </xf>
    <xf numFmtId="0" fontId="35" fillId="0" borderId="0" xfId="0" applyFont="1" applyAlignment="1" applyProtection="1">
      <alignment horizontal="center" vertical="center" wrapText="1"/>
      <protection hidden="1"/>
    </xf>
    <xf numFmtId="175" fontId="37" fillId="8" borderId="0" xfId="5" applyNumberFormat="1" applyFont="1" applyFill="1" applyAlignment="1" applyProtection="1">
      <alignment horizontal="center" vertical="center" wrapText="1"/>
      <protection hidden="1"/>
    </xf>
    <xf numFmtId="0" fontId="47" fillId="2" borderId="94" xfId="5" applyFont="1" applyFill="1" applyBorder="1" applyAlignment="1" applyProtection="1">
      <alignment horizontal="center" vertical="center" wrapText="1"/>
      <protection hidden="1"/>
    </xf>
    <xf numFmtId="0" fontId="47" fillId="2" borderId="95" xfId="5" applyFont="1" applyFill="1" applyBorder="1" applyAlignment="1" applyProtection="1">
      <alignment horizontal="center" vertical="center" wrapText="1"/>
      <protection hidden="1"/>
    </xf>
    <xf numFmtId="0" fontId="48" fillId="11" borderId="96" xfId="5" applyFont="1" applyFill="1" applyBorder="1" applyAlignment="1" applyProtection="1">
      <alignment horizontal="center"/>
      <protection hidden="1"/>
    </xf>
    <xf numFmtId="0" fontId="48" fillId="11" borderId="95" xfId="5" applyFont="1" applyFill="1" applyBorder="1" applyAlignment="1" applyProtection="1">
      <alignment horizontal="center"/>
      <protection hidden="1"/>
    </xf>
    <xf numFmtId="0" fontId="48" fillId="11" borderId="97" xfId="5" applyFont="1" applyFill="1" applyBorder="1" applyAlignment="1" applyProtection="1">
      <alignment horizontal="center"/>
      <protection hidden="1"/>
    </xf>
    <xf numFmtId="0" fontId="9" fillId="2" borderId="102" xfId="5" applyFont="1" applyFill="1" applyBorder="1" applyAlignment="1" applyProtection="1">
      <alignment horizontal="center" vertical="center" wrapText="1"/>
      <protection hidden="1"/>
    </xf>
    <xf numFmtId="0" fontId="9" fillId="2" borderId="105" xfId="5" applyFont="1" applyFill="1" applyBorder="1" applyAlignment="1" applyProtection="1">
      <alignment horizontal="center" vertical="center" wrapText="1"/>
      <protection hidden="1"/>
    </xf>
    <xf numFmtId="0" fontId="9" fillId="2" borderId="102" xfId="5" applyFont="1" applyFill="1" applyBorder="1" applyAlignment="1" applyProtection="1">
      <alignment horizontal="center" vertical="center"/>
      <protection hidden="1"/>
    </xf>
    <xf numFmtId="0" fontId="9" fillId="2" borderId="105" xfId="5" applyFont="1" applyFill="1" applyBorder="1" applyAlignment="1" applyProtection="1">
      <alignment horizontal="center" vertical="center"/>
      <protection hidden="1"/>
    </xf>
    <xf numFmtId="0" fontId="9" fillId="9" borderId="102" xfId="5" applyFont="1" applyFill="1" applyBorder="1" applyAlignment="1" applyProtection="1">
      <alignment horizontal="center" vertical="center" wrapText="1"/>
      <protection hidden="1"/>
    </xf>
    <xf numFmtId="0" fontId="9" fillId="9" borderId="105" xfId="5" applyFont="1" applyFill="1" applyBorder="1" applyAlignment="1" applyProtection="1">
      <alignment horizontal="center" vertical="center" wrapText="1"/>
      <protection hidden="1"/>
    </xf>
    <xf numFmtId="0" fontId="9" fillId="9" borderId="102" xfId="5" applyFont="1" applyFill="1" applyBorder="1" applyAlignment="1" applyProtection="1">
      <alignment horizontal="center" vertical="center"/>
      <protection hidden="1"/>
    </xf>
    <xf numFmtId="0" fontId="9" fillId="9" borderId="105" xfId="5" applyFont="1" applyFill="1" applyBorder="1" applyAlignment="1" applyProtection="1">
      <alignment horizontal="center" vertical="center"/>
      <protection hidden="1"/>
    </xf>
    <xf numFmtId="165" fontId="9" fillId="9" borderId="102" xfId="1" applyFont="1" applyFill="1" applyBorder="1" applyAlignment="1" applyProtection="1">
      <alignment horizontal="center" vertical="center"/>
      <protection hidden="1"/>
    </xf>
    <xf numFmtId="165" fontId="9" fillId="9" borderId="105" xfId="1" applyFont="1" applyFill="1" applyBorder="1" applyAlignment="1" applyProtection="1">
      <alignment horizontal="center" vertical="center"/>
      <protection hidden="1"/>
    </xf>
    <xf numFmtId="0" fontId="49" fillId="9" borderId="102" xfId="5" applyFont="1" applyFill="1" applyBorder="1" applyAlignment="1" applyProtection="1">
      <alignment horizontal="center" vertical="center"/>
      <protection hidden="1"/>
    </xf>
    <xf numFmtId="0" fontId="49" fillId="9" borderId="105" xfId="5" applyFont="1" applyFill="1" applyBorder="1" applyAlignment="1" applyProtection="1">
      <alignment horizontal="center" vertical="center"/>
      <protection hidden="1"/>
    </xf>
    <xf numFmtId="0" fontId="27" fillId="11" borderId="104" xfId="5" applyFont="1" applyFill="1" applyBorder="1" applyAlignment="1" applyProtection="1">
      <alignment horizontal="center" vertical="center" wrapText="1"/>
      <protection hidden="1"/>
    </xf>
    <xf numFmtId="0" fontId="27" fillId="11" borderId="31" xfId="5" applyFont="1" applyFill="1" applyBorder="1" applyAlignment="1" applyProtection="1">
      <alignment horizontal="center" vertical="center" wrapText="1"/>
      <protection hidden="1"/>
    </xf>
    <xf numFmtId="0" fontId="27" fillId="11" borderId="113" xfId="5" applyFont="1" applyFill="1" applyBorder="1" applyAlignment="1" applyProtection="1">
      <alignment horizontal="center" vertical="center" wrapText="1"/>
      <protection hidden="1"/>
    </xf>
    <xf numFmtId="0" fontId="27" fillId="11" borderId="28" xfId="5" applyFont="1" applyFill="1" applyBorder="1" applyAlignment="1" applyProtection="1">
      <alignment horizontal="center" vertical="center" wrapText="1"/>
      <protection hidden="1"/>
    </xf>
    <xf numFmtId="0" fontId="27" fillId="11" borderId="32" xfId="5" applyFont="1" applyFill="1" applyBorder="1" applyAlignment="1" applyProtection="1">
      <alignment horizontal="center" vertical="center" wrapText="1"/>
      <protection hidden="1"/>
    </xf>
    <xf numFmtId="0" fontId="27" fillId="11" borderId="84" xfId="5" applyFont="1" applyFill="1" applyBorder="1" applyAlignment="1" applyProtection="1">
      <alignment horizontal="center" vertical="center" wrapText="1"/>
      <protection hidden="1"/>
    </xf>
    <xf numFmtId="0" fontId="9" fillId="2" borderId="112" xfId="5" applyFont="1" applyFill="1" applyBorder="1" applyProtection="1">
      <protection hidden="1"/>
    </xf>
    <xf numFmtId="0" fontId="9" fillId="11" borderId="112" xfId="5" applyFont="1" applyFill="1" applyBorder="1" applyProtection="1">
      <protection hidden="1"/>
    </xf>
    <xf numFmtId="175" fontId="37" fillId="8" borderId="0" xfId="5" applyNumberFormat="1" applyFont="1" applyFill="1" applyAlignment="1">
      <alignment horizontal="center" vertical="center" wrapText="1"/>
    </xf>
    <xf numFmtId="0" fontId="47" fillId="2" borderId="94" xfId="5" applyFont="1" applyFill="1" applyBorder="1" applyAlignment="1">
      <alignment horizontal="center" vertical="center" wrapText="1"/>
    </xf>
    <xf numFmtId="0" fontId="47" fillId="2" borderId="95" xfId="5" applyFont="1" applyFill="1" applyBorder="1" applyAlignment="1">
      <alignment horizontal="center" vertical="center" wrapText="1"/>
    </xf>
    <xf numFmtId="0" fontId="48" fillId="11" borderId="96" xfId="5" applyFont="1" applyFill="1" applyBorder="1" applyAlignment="1">
      <alignment horizontal="center"/>
    </xf>
    <xf numFmtId="0" fontId="48" fillId="11" borderId="95" xfId="5" applyFont="1" applyFill="1" applyBorder="1" applyAlignment="1">
      <alignment horizontal="center"/>
    </xf>
    <xf numFmtId="0" fontId="48" fillId="11" borderId="97" xfId="5" applyFont="1" applyFill="1" applyBorder="1" applyAlignment="1">
      <alignment horizontal="center"/>
    </xf>
    <xf numFmtId="0" fontId="9" fillId="2" borderId="102" xfId="5" applyFont="1" applyFill="1" applyBorder="1" applyAlignment="1">
      <alignment horizontal="center" vertical="center" wrapText="1"/>
    </xf>
    <xf numFmtId="0" fontId="9" fillId="2" borderId="105" xfId="5" applyFont="1" applyFill="1" applyBorder="1" applyAlignment="1">
      <alignment horizontal="center" vertical="center" wrapText="1"/>
    </xf>
    <xf numFmtId="0" fontId="9" fillId="2" borderId="102" xfId="5" applyFont="1" applyFill="1" applyBorder="1" applyAlignment="1">
      <alignment horizontal="center" vertical="center"/>
    </xf>
    <xf numFmtId="0" fontId="9" fillId="2" borderId="105" xfId="5" applyFont="1" applyFill="1" applyBorder="1" applyAlignment="1">
      <alignment horizontal="center" vertical="center"/>
    </xf>
    <xf numFmtId="0" fontId="9" fillId="9" borderId="102" xfId="5" applyFont="1" applyFill="1" applyBorder="1" applyAlignment="1">
      <alignment horizontal="center" vertical="center" wrapText="1"/>
    </xf>
    <xf numFmtId="0" fontId="9" fillId="9" borderId="105" xfId="5" applyFont="1" applyFill="1" applyBorder="1" applyAlignment="1">
      <alignment horizontal="center" vertical="center" wrapText="1"/>
    </xf>
    <xf numFmtId="0" fontId="9" fillId="9" borderId="102" xfId="5" applyFont="1" applyFill="1" applyBorder="1" applyAlignment="1">
      <alignment horizontal="center" vertical="center"/>
    </xf>
    <xf numFmtId="0" fontId="9" fillId="9" borderId="105" xfId="5" applyFont="1" applyFill="1" applyBorder="1" applyAlignment="1">
      <alignment horizontal="center" vertical="center"/>
    </xf>
    <xf numFmtId="165" fontId="9" fillId="9" borderId="102" xfId="1" applyFont="1" applyFill="1" applyBorder="1" applyAlignment="1">
      <alignment horizontal="center" vertical="center"/>
    </xf>
    <xf numFmtId="165" fontId="9" fillId="9" borderId="105" xfId="1" applyFont="1" applyFill="1" applyBorder="1" applyAlignment="1">
      <alignment horizontal="center" vertical="center"/>
    </xf>
    <xf numFmtId="0" fontId="49" fillId="9" borderId="102" xfId="5" applyFont="1" applyFill="1" applyBorder="1" applyAlignment="1">
      <alignment horizontal="center" vertical="center"/>
    </xf>
    <xf numFmtId="0" fontId="49" fillId="9" borderId="105" xfId="5" applyFont="1" applyFill="1" applyBorder="1" applyAlignment="1">
      <alignment horizontal="center" vertical="center"/>
    </xf>
    <xf numFmtId="0" fontId="27" fillId="11" borderId="104" xfId="5" applyFont="1" applyFill="1" applyBorder="1" applyAlignment="1">
      <alignment horizontal="center" vertical="center" wrapText="1"/>
    </xf>
    <xf numFmtId="0" fontId="27" fillId="11" borderId="31" xfId="5" applyFont="1" applyFill="1" applyBorder="1" applyAlignment="1">
      <alignment horizontal="center" vertical="center" wrapText="1"/>
    </xf>
    <xf numFmtId="0" fontId="27" fillId="11" borderId="113" xfId="5" applyFont="1" applyFill="1" applyBorder="1" applyAlignment="1">
      <alignment horizontal="center" vertical="center" wrapText="1"/>
    </xf>
    <xf numFmtId="0" fontId="27" fillId="11" borderId="28" xfId="5" applyFont="1" applyFill="1" applyBorder="1" applyAlignment="1">
      <alignment horizontal="center" vertical="center" wrapText="1"/>
    </xf>
    <xf numFmtId="0" fontId="27" fillId="11" borderId="32" xfId="5" applyFont="1" applyFill="1" applyBorder="1" applyAlignment="1">
      <alignment horizontal="center" vertical="center" wrapText="1"/>
    </xf>
    <xf numFmtId="0" fontId="27" fillId="11" borderId="84" xfId="5" applyFont="1" applyFill="1" applyBorder="1" applyAlignment="1">
      <alignment horizontal="center" vertical="center" wrapText="1"/>
    </xf>
    <xf numFmtId="0" fontId="9" fillId="2" borderId="112" xfId="5" applyFont="1" applyFill="1" applyBorder="1"/>
    <xf numFmtId="0" fontId="9" fillId="11" borderId="112" xfId="5" applyFont="1" applyFill="1" applyBorder="1"/>
    <xf numFmtId="0" fontId="8" fillId="0" borderId="0" xfId="0" applyFont="1" applyAlignment="1">
      <alignment horizontal="center" vertical="center"/>
    </xf>
    <xf numFmtId="0" fontId="5" fillId="0" borderId="28" xfId="0" applyFont="1" applyBorder="1" applyAlignment="1">
      <alignment horizontal="center" vertical="center" textRotation="90" wrapText="1"/>
    </xf>
    <xf numFmtId="0" fontId="5" fillId="0" borderId="32" xfId="0" applyFont="1" applyBorder="1" applyAlignment="1">
      <alignment horizontal="center" vertical="center" textRotation="90" wrapText="1"/>
    </xf>
    <xf numFmtId="0" fontId="5" fillId="0" borderId="84" xfId="0" applyFont="1" applyBorder="1" applyAlignment="1">
      <alignment horizontal="center" vertical="center" textRotation="90" wrapText="1"/>
    </xf>
    <xf numFmtId="0" fontId="8" fillId="0" borderId="85" xfId="0" applyFont="1" applyBorder="1" applyAlignment="1">
      <alignment horizontal="center" vertical="center"/>
    </xf>
    <xf numFmtId="0" fontId="17" fillId="0" borderId="0" xfId="0" applyFont="1" applyAlignment="1">
      <alignment horizontal="center"/>
    </xf>
    <xf numFmtId="0" fontId="4" fillId="0" borderId="85" xfId="0" applyFont="1" applyBorder="1" applyAlignment="1">
      <alignment horizontal="center"/>
    </xf>
    <xf numFmtId="0" fontId="0" fillId="0" borderId="85" xfId="0" applyBorder="1" applyAlignment="1">
      <alignment horizontal="center"/>
    </xf>
    <xf numFmtId="0" fontId="2" fillId="0" borderId="0" xfId="9" applyAlignment="1">
      <alignment horizontal="center"/>
    </xf>
  </cellXfs>
  <cellStyles count="14">
    <cellStyle name="Millares" xfId="1" builtinId="3"/>
    <cellStyle name="Millares [0]" xfId="7" builtinId="6"/>
    <cellStyle name="Millares_PtosLicitacionesSRTaño03" xfId="6"/>
    <cellStyle name="Moneda" xfId="4" builtinId="4"/>
    <cellStyle name="Moneda [0]" xfId="8" builtinId="7"/>
    <cellStyle name="Normal" xfId="0" builtinId="0"/>
    <cellStyle name="Normal 10" xfId="13"/>
    <cellStyle name="Normal 2" xfId="5"/>
    <cellStyle name="Normal 3" xfId="9"/>
    <cellStyle name="Normal 4" xfId="10"/>
    <cellStyle name="Normal_EXPERIENCIA GENERAL " xfId="2"/>
    <cellStyle name="Normal_Kresidual" xfId="12"/>
    <cellStyle name="Porcentaje" xfId="3" builtinId="5"/>
    <cellStyle name="Porcentual 2" xfId="11"/>
  </cellStyles>
  <dxfs count="2989">
    <dxf>
      <font>
        <b/>
        <i val="0"/>
        <condense val="0"/>
        <extend val="0"/>
        <color indexed="18"/>
      </font>
    </dxf>
    <dxf>
      <font>
        <b/>
        <i val="0"/>
        <condense val="0"/>
        <extend val="0"/>
        <color indexed="10"/>
      </font>
    </dxf>
    <dxf>
      <font>
        <condense val="0"/>
        <extend val="0"/>
        <color indexed="10"/>
      </font>
      <fill>
        <patternFill>
          <bgColor indexed="43"/>
        </patternFill>
      </fill>
    </dxf>
    <dxf>
      <fill>
        <patternFill patternType="lightUp">
          <bgColor theme="7" tint="0.39994506668294322"/>
        </patternFill>
      </fill>
    </dxf>
    <dxf>
      <fill>
        <patternFill>
          <bgColor rgb="FFFF000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ont>
        <b/>
        <i val="0"/>
        <condense val="0"/>
        <extend val="0"/>
        <color indexed="56"/>
      </font>
      <fill>
        <patternFill patternType="none">
          <bgColor indexed="65"/>
        </patternFill>
      </fill>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ont>
        <condense val="0"/>
        <extend val="0"/>
        <color indexed="10"/>
      </font>
      <fill>
        <patternFill>
          <bgColor indexed="43"/>
        </patternFill>
      </fill>
    </dxf>
    <dxf>
      <font>
        <b/>
        <i val="0"/>
        <condense val="0"/>
        <extend val="0"/>
        <color indexed="56"/>
      </font>
    </dxf>
    <dxf>
      <fill>
        <patternFill patternType="lightUp">
          <bgColor theme="7" tint="0.39994506668294322"/>
        </patternFill>
      </fill>
    </dxf>
    <dxf>
      <fill>
        <patternFill>
          <bgColor rgb="FFFF000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ont>
        <b/>
        <i val="0"/>
        <condense val="0"/>
        <extend val="0"/>
        <color indexed="18"/>
      </font>
    </dxf>
    <dxf>
      <font>
        <b/>
        <i val="0"/>
        <condense val="0"/>
        <extend val="0"/>
        <color indexed="10"/>
      </font>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ill>
        <patternFill>
          <bgColor indexed="10"/>
        </patternFill>
      </fill>
    </dxf>
    <dxf>
      <fill>
        <patternFill>
          <bgColor indexed="10"/>
        </patternFill>
      </fill>
    </dxf>
    <dxf>
      <font>
        <b/>
        <i val="0"/>
        <condense val="0"/>
        <extend val="0"/>
        <color indexed="18"/>
      </font>
    </dxf>
    <dxf>
      <font>
        <b/>
        <i val="0"/>
        <condense val="0"/>
        <extend val="0"/>
        <color indexed="10"/>
      </font>
    </dxf>
    <dxf>
      <font>
        <b/>
        <i val="0"/>
        <condense val="0"/>
        <extend val="0"/>
        <color indexed="56"/>
      </font>
      <fill>
        <patternFill patternType="none">
          <bgColor indexed="65"/>
        </patternFill>
      </fill>
    </dxf>
    <dxf>
      <fill>
        <patternFill>
          <bgColor indexed="10"/>
        </patternFill>
      </fill>
    </dxf>
    <dxf>
      <font>
        <b/>
        <i val="0"/>
        <condense val="0"/>
        <extend val="0"/>
        <color indexed="18"/>
      </font>
    </dxf>
    <dxf>
      <font>
        <b/>
        <i val="0"/>
        <condense val="0"/>
        <extend val="0"/>
        <color indexed="10"/>
      </font>
    </dxf>
    <dxf>
      <fill>
        <patternFill>
          <bgColor indexed="43"/>
        </patternFill>
      </fill>
    </dxf>
    <dxf>
      <fill>
        <patternFill>
          <bgColor rgb="FFFFFF00"/>
        </patternFill>
      </fill>
    </dxf>
    <dxf>
      <fill>
        <patternFill>
          <bgColor rgb="FFFFC000"/>
        </patternFill>
      </fill>
    </dxf>
    <dxf>
      <fill>
        <patternFill patternType="lightUp">
          <bgColor theme="7" tint="0.39994506668294322"/>
        </patternFill>
      </fill>
    </dxf>
    <dxf>
      <font>
        <condense val="0"/>
        <extend val="0"/>
        <color indexed="14"/>
      </font>
    </dxf>
    <dxf>
      <font>
        <condense val="0"/>
        <extend val="0"/>
        <color indexed="10"/>
      </font>
      <fill>
        <patternFill>
          <bgColor indexed="43"/>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condense val="0"/>
        <extend val="0"/>
        <color indexed="56"/>
      </font>
      <fill>
        <patternFill patternType="none">
          <bgColor indexed="65"/>
        </patternFill>
      </fill>
    </dxf>
    <dxf>
      <fill>
        <patternFill>
          <bgColor indexed="10"/>
        </patternFill>
      </fill>
    </dxf>
    <dxf>
      <fill>
        <patternFill patternType="lightUp">
          <bgColor theme="7" tint="0.39994506668294322"/>
        </patternFill>
      </fill>
    </dxf>
    <dxf>
      <font>
        <condense val="0"/>
        <extend val="0"/>
        <color indexed="14"/>
      </font>
    </dxf>
    <dxf>
      <font>
        <condense val="0"/>
        <extend val="0"/>
        <color indexed="10"/>
      </font>
      <fill>
        <patternFill>
          <bgColor indexed="43"/>
        </patternFill>
      </fill>
    </dxf>
    <dxf>
      <font>
        <b/>
        <i val="0"/>
        <condense val="0"/>
        <extend val="0"/>
        <color indexed="56"/>
      </font>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i val="0"/>
        <condense val="0"/>
        <extend val="0"/>
        <color indexed="56"/>
      </font>
      <fill>
        <patternFill patternType="none">
          <bgColor indexed="65"/>
        </patternFill>
      </fill>
    </dxf>
    <dxf>
      <fill>
        <patternFill>
          <bgColor indexed="10"/>
        </patternFill>
      </fill>
    </dxf>
    <dxf>
      <fill>
        <patternFill>
          <bgColor indexed="43"/>
        </patternFill>
      </fill>
    </dxf>
    <dxf>
      <font>
        <b/>
        <i val="0"/>
        <color rgb="FF0000FF"/>
      </font>
      <fill>
        <patternFill>
          <bgColor theme="9" tint="0.39994506668294322"/>
        </patternFill>
      </fill>
    </dxf>
    <dxf>
      <font>
        <b/>
        <i val="0"/>
      </font>
      <fill>
        <patternFill>
          <bgColor rgb="FFCDFFE6"/>
        </patternFill>
      </fill>
    </dxf>
    <dxf>
      <font>
        <b/>
        <i val="0"/>
        <color rgb="FFFF0000"/>
      </font>
      <fill>
        <patternFill>
          <bgColor rgb="FFFDECE3"/>
        </patternFill>
      </fill>
    </dxf>
    <dxf>
      <font>
        <b/>
        <i val="0"/>
        <color rgb="FFFF0000"/>
      </font>
      <fill>
        <patternFill>
          <bgColor rgb="FFFFCCFF"/>
        </patternFill>
      </fill>
    </dxf>
    <dxf>
      <font>
        <b/>
        <i val="0"/>
        <color rgb="FFFF0000"/>
      </font>
      <fill>
        <patternFill>
          <bgColor rgb="FFFFFFCC"/>
        </patternFill>
      </fill>
    </dxf>
    <dxf>
      <font>
        <b/>
        <i val="0"/>
      </font>
      <fill>
        <patternFill>
          <bgColor rgb="FFC5FFF4"/>
        </patternFill>
      </fill>
    </dxf>
    <dxf>
      <fill>
        <patternFill>
          <fgColor indexed="64"/>
          <bgColor theme="9" tint="0.39994506668294322"/>
        </patternFill>
      </fill>
    </dxf>
    <dxf>
      <font>
        <b/>
        <i val="0"/>
        <color rgb="FFFF0000"/>
      </font>
      <fill>
        <patternFill>
          <fgColor indexed="64"/>
          <bgColor rgb="FFFFCCFF"/>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ont>
        <b/>
        <i val="0"/>
        <condense val="0"/>
        <extend val="0"/>
        <color auto="1"/>
      </font>
      <fill>
        <patternFill>
          <bgColor indexed="50"/>
        </patternFill>
      </fill>
    </dxf>
    <dxf>
      <font>
        <b val="0"/>
        <i val="0"/>
        <condense val="0"/>
        <extend val="0"/>
        <color indexed="18"/>
      </font>
      <fill>
        <patternFill>
          <bgColor indexed="41"/>
        </patternFill>
      </fill>
    </dxf>
    <dxf>
      <font>
        <b val="0"/>
        <i val="0"/>
        <condense val="0"/>
        <extend val="0"/>
        <color indexed="10"/>
      </font>
      <fill>
        <patternFill>
          <bgColor indexed="41"/>
        </patternFill>
      </fill>
    </dxf>
    <dxf>
      <font>
        <b/>
        <i val="0"/>
        <condense val="0"/>
        <extend val="0"/>
        <color indexed="19"/>
      </font>
      <fill>
        <patternFill>
          <bgColor indexed="42"/>
        </patternFill>
      </fill>
    </dxf>
    <dxf>
      <font>
        <b/>
        <i val="0"/>
        <condense val="0"/>
        <extend val="0"/>
        <color indexed="17"/>
      </font>
      <fill>
        <patternFill>
          <bgColor indexed="26"/>
        </patternFill>
      </fill>
    </dxf>
    <dxf>
      <font>
        <b/>
        <i val="0"/>
        <condense val="0"/>
        <extend val="0"/>
        <color indexed="10"/>
      </font>
      <fill>
        <patternFill>
          <bgColor indexed="45"/>
        </patternFill>
      </fill>
    </dxf>
    <dxf>
      <font>
        <b/>
        <i val="0"/>
        <condense val="0"/>
        <extend val="0"/>
        <color indexed="18"/>
      </font>
      <fill>
        <patternFill>
          <bgColor indexed="44"/>
        </patternFill>
      </fill>
    </dxf>
    <dxf>
      <font>
        <b/>
        <i val="0"/>
        <condense val="0"/>
        <extend val="0"/>
        <color indexed="10"/>
      </font>
      <fill>
        <patternFill>
          <bgColor indexed="45"/>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auto="1"/>
      </font>
      <fill>
        <patternFill>
          <bgColor indexed="50"/>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ont>
        <b/>
        <i val="0"/>
        <condense val="0"/>
        <extend val="0"/>
        <color auto="1"/>
      </font>
      <fill>
        <patternFill>
          <bgColor indexed="50"/>
        </patternFill>
      </fill>
    </dxf>
    <dxf>
      <fill>
        <patternFill>
          <bgColor theme="9" tint="0.39994506668294322"/>
        </patternFill>
      </fill>
    </dxf>
    <dxf>
      <font>
        <b/>
        <i val="0"/>
        <condense val="0"/>
        <extend val="0"/>
        <color auto="1"/>
      </font>
      <fill>
        <patternFill>
          <bgColor indexed="50"/>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ont>
        <b/>
        <i val="0"/>
        <condense val="0"/>
        <extend val="0"/>
        <color indexed="18"/>
      </font>
      <fill>
        <patternFill>
          <bgColor indexed="44"/>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ont>
        <b/>
        <i val="0"/>
        <color rgb="FFFF0000"/>
      </font>
      <fill>
        <patternFill>
          <bgColor rgb="FFF0C8F0"/>
        </patternFill>
      </fill>
    </dxf>
    <dxf>
      <font>
        <b/>
        <i val="0"/>
        <color rgb="FF0000FF"/>
      </font>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ill>
        <patternFill>
          <bgColor rgb="FF99CCFF"/>
        </patternFill>
      </fill>
    </dxf>
    <dxf>
      <font>
        <color rgb="FF0000FF"/>
      </font>
      <fill>
        <patternFill>
          <bgColor rgb="FF99CCFF"/>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lor rgb="FFFF0000"/>
      </font>
      <fill>
        <patternFill>
          <bgColor rgb="FFF0C8F0"/>
        </patternFill>
      </fill>
    </dxf>
    <dxf>
      <font>
        <b/>
        <i val="0"/>
        <condense val="0"/>
        <extend val="0"/>
        <color auto="1"/>
      </font>
      <fill>
        <patternFill patternType="solid">
          <bgColor theme="9" tint="0.39994506668294322"/>
        </patternFill>
      </fill>
    </dxf>
    <dxf>
      <font>
        <b/>
        <i val="0"/>
        <color rgb="FFFF0000"/>
      </font>
      <fill>
        <patternFill>
          <bgColor rgb="FFF0C8F0"/>
        </patternFill>
      </fill>
    </dxf>
    <dxf>
      <font>
        <b/>
        <i val="0"/>
        <condense val="0"/>
        <extend val="0"/>
        <color indexed="18"/>
      </font>
      <fill>
        <patternFill>
          <bgColor indexed="44"/>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indexed="44"/>
        </patternFill>
      </fill>
    </dxf>
    <dxf>
      <font>
        <b/>
        <i val="0"/>
        <color rgb="FFFF0000"/>
      </font>
      <fill>
        <patternFill>
          <bgColor rgb="FFF0C8F0"/>
        </patternFill>
      </fill>
    </dxf>
    <dxf>
      <font>
        <b/>
        <i val="0"/>
        <color rgb="FFFF0000"/>
      </font>
      <fill>
        <patternFill>
          <bgColor rgb="FFF0C8F0"/>
        </patternFill>
      </fill>
    </dxf>
    <dxf>
      <fill>
        <patternFill>
          <bgColor theme="9" tint="0.39994506668294322"/>
        </patternFill>
      </fill>
    </dxf>
    <dxf>
      <font>
        <b/>
        <i val="0"/>
        <condense val="0"/>
        <extend val="0"/>
        <color indexed="18"/>
      </font>
      <fill>
        <patternFill>
          <bgColor theme="9" tint="0.39994506668294322"/>
        </patternFill>
      </fill>
    </dxf>
    <dxf>
      <fill>
        <patternFill>
          <bgColor rgb="FFF0C8F0"/>
        </patternFill>
      </fill>
    </dxf>
    <dxf>
      <font>
        <b/>
        <i val="0"/>
        <color rgb="FF0000FF"/>
      </font>
      <fill>
        <patternFill>
          <bgColor indexed="47"/>
        </patternFill>
      </fill>
    </dxf>
    <dxf>
      <font>
        <b/>
        <i val="0"/>
        <condense val="0"/>
        <extend val="0"/>
        <color indexed="18"/>
      </font>
      <fill>
        <patternFill>
          <bgColor indexed="44"/>
        </patternFill>
      </fill>
    </dxf>
    <dxf>
      <font>
        <b/>
        <i val="0"/>
        <condense val="0"/>
        <extend val="0"/>
        <color indexed="18"/>
      </font>
      <fill>
        <patternFill>
          <bgColor indexed="44"/>
        </patternFill>
      </fill>
    </dxf>
    <dxf>
      <font>
        <b/>
        <i val="0"/>
        <condense val="0"/>
        <extend val="0"/>
        <color indexed="18"/>
      </font>
      <fill>
        <patternFill>
          <bgColor theme="0"/>
        </patternFill>
      </fill>
    </dxf>
    <dxf>
      <font>
        <b/>
        <i val="0"/>
        <color rgb="FFFF0000"/>
      </font>
      <fill>
        <patternFill>
          <bgColor rgb="FFF0C8F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ndense val="0"/>
        <extend val="0"/>
        <color auto="1"/>
      </font>
      <fill>
        <patternFill patternType="solid">
          <bgColor indexed="50"/>
        </patternFill>
      </fill>
    </dxf>
    <dxf>
      <font>
        <b/>
        <i val="0"/>
        <color rgb="FFFF0000"/>
      </font>
      <fill>
        <patternFill>
          <bgColor rgb="FFF0C8F0"/>
        </patternFill>
      </fill>
    </dxf>
    <dxf>
      <fill>
        <patternFill>
          <bgColor theme="9" tint="0.39994506668294322"/>
        </patternFill>
      </fill>
    </dxf>
    <dxf>
      <font>
        <b/>
        <i val="0"/>
        <condense val="0"/>
        <extend val="0"/>
        <color auto="1"/>
      </font>
      <fill>
        <patternFill patternType="solid">
          <bgColor indexed="50"/>
        </patternFill>
      </fill>
    </dxf>
    <dxf>
      <font>
        <b/>
        <i val="0"/>
        <condense val="0"/>
        <extend val="0"/>
        <color indexed="18"/>
      </font>
      <fill>
        <patternFill>
          <bgColor theme="9" tint="0.39994506668294322"/>
        </patternFill>
      </fill>
    </dxf>
    <dxf>
      <fill>
        <patternFill>
          <bgColor rgb="FFF0C8F0"/>
        </patternFill>
      </fill>
    </dxf>
    <dxf>
      <font>
        <b/>
        <i val="0"/>
        <condense val="0"/>
        <extend val="0"/>
        <color auto="1"/>
      </font>
      <fill>
        <patternFill patternType="solid">
          <bgColor indexed="50"/>
        </patternFill>
      </fill>
    </dxf>
    <dxf>
      <font>
        <b/>
        <i val="0"/>
        <condense val="0"/>
        <extend val="0"/>
        <color auto="1"/>
      </font>
      <fill>
        <patternFill>
          <bgColor indexed="50"/>
        </patternFill>
      </fill>
    </dxf>
    <dxf>
      <font>
        <b/>
        <i val="0"/>
        <condense val="0"/>
        <extend val="0"/>
        <color auto="1"/>
      </font>
      <fill>
        <patternFill patternType="solid">
          <bgColor indexed="50"/>
        </patternFill>
      </fill>
    </dxf>
    <dxf>
      <font>
        <b/>
        <i val="0"/>
        <color rgb="FF0000FF"/>
      </font>
      <fill>
        <patternFill>
          <bgColor indexed="47"/>
        </patternFill>
      </fill>
    </dxf>
    <dxf>
      <font>
        <b/>
        <i val="0"/>
        <condense val="0"/>
        <extend val="0"/>
        <color indexed="18"/>
      </font>
      <fill>
        <patternFill>
          <bgColor indexed="44"/>
        </patternFill>
      </fill>
    </dxf>
    <dxf>
      <font>
        <b/>
        <i val="0"/>
        <color rgb="FF0000FF"/>
      </font>
      <fill>
        <patternFill>
          <bgColor theme="9" tint="0.39994506668294322"/>
        </patternFill>
      </fill>
    </dxf>
    <dxf>
      <font>
        <b/>
        <i val="0"/>
        <color rgb="FFFF0000"/>
      </font>
      <fill>
        <patternFill>
          <bgColor rgb="FFFFCCFF"/>
        </patternFill>
      </fill>
    </dxf>
    <dxf>
      <fill>
        <patternFill>
          <bgColor indexed="47"/>
        </patternFill>
      </fill>
    </dxf>
    <dxf>
      <fill>
        <patternFill>
          <bgColor indexed="19"/>
        </patternFill>
      </fill>
    </dxf>
    <dxf>
      <fill>
        <patternFill>
          <bgColor indexed="47"/>
        </patternFill>
      </fill>
    </dxf>
    <dxf>
      <fill>
        <patternFill>
          <bgColor indexed="19"/>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ill>
        <patternFill>
          <bgColor indexed="47"/>
        </patternFill>
      </fill>
    </dxf>
    <dxf>
      <fill>
        <patternFill>
          <bgColor indexed="19"/>
        </patternFill>
      </fill>
    </dxf>
    <dxf>
      <fill>
        <patternFill>
          <bgColor indexed="47"/>
        </patternFill>
      </fill>
    </dxf>
    <dxf>
      <fill>
        <patternFill>
          <bgColor indexed="19"/>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ill>
        <patternFill>
          <bgColor indexed="47"/>
        </patternFill>
      </fill>
    </dxf>
    <dxf>
      <fill>
        <patternFill>
          <bgColor indexed="19"/>
        </patternFill>
      </fill>
    </dxf>
    <dxf>
      <fill>
        <patternFill>
          <bgColor indexed="47"/>
        </patternFill>
      </fill>
    </dxf>
    <dxf>
      <fill>
        <patternFill>
          <bgColor indexed="19"/>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ont>
        <b/>
        <i val="0"/>
        <condense val="0"/>
        <extend val="0"/>
        <color auto="1"/>
      </font>
      <fill>
        <patternFill>
          <bgColor indexed="50"/>
        </patternFill>
      </fill>
    </dxf>
    <dxf>
      <fill>
        <patternFill>
          <bgColor indexed="47"/>
        </patternFill>
      </fill>
    </dxf>
    <dxf>
      <fill>
        <patternFill>
          <bgColor indexed="19"/>
        </patternFill>
      </fill>
    </dxf>
    <dxf>
      <font>
        <b/>
        <i val="0"/>
        <condense val="0"/>
        <extend val="0"/>
        <color auto="1"/>
      </font>
      <fill>
        <patternFill>
          <bgColor indexed="50"/>
        </patternFill>
      </fill>
    </dxf>
    <dxf>
      <fill>
        <patternFill>
          <bgColor indexed="47"/>
        </patternFill>
      </fill>
    </dxf>
    <dxf>
      <fill>
        <patternFill>
          <bgColor indexed="19"/>
        </patternFill>
      </fill>
    </dxf>
    <dxf>
      <font>
        <b/>
        <i val="0"/>
        <condense val="0"/>
        <extend val="0"/>
        <color auto="1"/>
      </font>
      <fill>
        <patternFill>
          <bgColor indexed="50"/>
        </patternFill>
      </fill>
    </dxf>
    <dxf>
      <fill>
        <patternFill>
          <bgColor indexed="47"/>
        </patternFill>
      </fill>
    </dxf>
    <dxf>
      <fill>
        <patternFill>
          <bgColor indexed="19"/>
        </patternFill>
      </fill>
    </dxf>
    <dxf>
      <font>
        <b/>
        <i val="0"/>
        <condense val="0"/>
        <extend val="0"/>
        <color indexed="12"/>
      </font>
      <fill>
        <patternFill>
          <bgColor indexed="43"/>
        </patternFill>
      </fill>
    </dxf>
    <dxf>
      <font>
        <condense val="0"/>
        <extend val="0"/>
        <color indexed="18"/>
      </font>
      <fill>
        <patternFill>
          <bgColor indexed="41"/>
        </patternFill>
      </fill>
    </dxf>
    <dxf>
      <font>
        <condense val="0"/>
        <extend val="0"/>
        <color indexed="18"/>
      </font>
      <fill>
        <patternFill>
          <bgColor indexed="44"/>
        </patternFill>
      </fill>
    </dxf>
    <dxf>
      <font>
        <b/>
        <i val="0"/>
        <condense val="0"/>
        <extend val="0"/>
        <color indexed="18"/>
      </font>
      <fill>
        <patternFill>
          <bgColor indexed="44"/>
        </patternFill>
      </fill>
    </dxf>
    <dxf>
      <fill>
        <patternFill>
          <bgColor rgb="FF5BF3A3"/>
        </patternFill>
      </fill>
    </dxf>
    <dxf>
      <font>
        <b val="0"/>
        <i val="0"/>
        <strike val="0"/>
        <color theme="1"/>
      </font>
      <fill>
        <patternFill>
          <bgColor rgb="FFE3FECA"/>
        </patternFill>
      </fill>
      <border>
        <top style="dotted">
          <color indexed="64"/>
        </top>
        <bottom style="thin">
          <color indexed="64"/>
        </bottom>
      </border>
    </dxf>
    <dxf>
      <font>
        <b/>
        <i val="0"/>
        <color rgb="FFFF0000"/>
      </font>
    </dxf>
    <dxf>
      <fill>
        <patternFill>
          <bgColor rgb="FFCCFFFF"/>
        </patternFill>
      </fill>
    </dxf>
    <dxf>
      <font>
        <b/>
        <i val="0"/>
        <color rgb="FFFF0000"/>
      </font>
    </dxf>
    <dxf>
      <font>
        <b/>
        <i val="0"/>
        <color rgb="FFFF0000"/>
      </font>
      <fill>
        <patternFill>
          <bgColor rgb="FFFFCCCC"/>
        </patternFill>
      </fill>
    </dxf>
    <dxf>
      <font>
        <color rgb="FF0000FF"/>
      </font>
      <fill>
        <patternFill>
          <bgColor rgb="FFCCFFFF"/>
        </patternFill>
      </fill>
    </dxf>
    <dxf>
      <fill>
        <patternFill>
          <bgColor rgb="FFE3FECA"/>
        </patternFill>
      </fill>
    </dxf>
    <dxf>
      <font>
        <b/>
        <i val="0"/>
        <condense val="0"/>
        <extend val="0"/>
        <color auto="1"/>
      </font>
      <fill>
        <patternFill>
          <bgColor indexed="50"/>
        </patternFill>
      </fill>
    </dxf>
    <dxf>
      <font>
        <b/>
        <i val="0"/>
        <condense val="0"/>
        <extend val="0"/>
        <color indexed="18"/>
      </font>
      <fill>
        <patternFill>
          <bgColor indexed="44"/>
        </patternFill>
      </fill>
    </dxf>
  </dxfs>
  <tableStyles count="0" defaultTableStyle="TableStyleMedium2" defaultPivotStyle="PivotStyleLight16"/>
  <colors>
    <mruColors>
      <color rgb="FFFFFFFF"/>
      <color rgb="FF5BF3A3"/>
      <color rgb="FFA3FC52"/>
      <color rgb="FFE3FECA"/>
      <color rgb="FF0000FF"/>
      <color rgb="FFFFCCFF"/>
      <color rgb="FF99CCFF"/>
      <color rgb="FFFFCC81"/>
      <color rgb="FFCCFF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4</xdr:col>
      <xdr:colOff>0</xdr:colOff>
      <xdr:row>9</xdr:row>
      <xdr:rowOff>0</xdr:rowOff>
    </xdr:from>
    <xdr:to>
      <xdr:col>4</xdr:col>
      <xdr:colOff>914400</xdr:colOff>
      <xdr:row>9</xdr:row>
      <xdr:rowOff>323850</xdr:rowOff>
    </xdr:to>
    <xdr:sp macro="[0]!borrar_filas.borrar_filas" textlink="">
      <xdr:nvSpPr>
        <xdr:cNvPr id="2" name="Rectángulo 1">
          <a:extLst>
            <a:ext uri="{FF2B5EF4-FFF2-40B4-BE49-F238E27FC236}">
              <a16:creationId xmlns:a16="http://schemas.microsoft.com/office/drawing/2014/main" xmlns="" id="{00000000-0008-0000-0000-000002000000}"/>
            </a:ext>
          </a:extLst>
        </xdr:cNvPr>
        <xdr:cNvSpPr/>
      </xdr:nvSpPr>
      <xdr:spPr>
        <a:xfrm>
          <a:off x="3781425" y="2076450"/>
          <a:ext cx="914400"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628650</xdr:colOff>
      <xdr:row>62</xdr:row>
      <xdr:rowOff>38100</xdr:rowOff>
    </xdr:from>
    <xdr:to>
      <xdr:col>2</xdr:col>
      <xdr:colOff>733425</xdr:colOff>
      <xdr:row>62</xdr:row>
      <xdr:rowOff>38100</xdr:rowOff>
    </xdr:to>
    <xdr:sp macro="" textlink="">
      <xdr:nvSpPr>
        <xdr:cNvPr id="2" name="Line 1">
          <a:extLst>
            <a:ext uri="{FF2B5EF4-FFF2-40B4-BE49-F238E27FC236}">
              <a16:creationId xmlns:a16="http://schemas.microsoft.com/office/drawing/2014/main" xmlns="" id="{00000000-0008-0000-0700-000002000000}"/>
            </a:ext>
          </a:extLst>
        </xdr:cNvPr>
        <xdr:cNvSpPr>
          <a:spLocks noChangeShapeType="1"/>
        </xdr:cNvSpPr>
      </xdr:nvSpPr>
      <xdr:spPr bwMode="auto">
        <a:xfrm>
          <a:off x="1000125"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657225</xdr:colOff>
      <xdr:row>62</xdr:row>
      <xdr:rowOff>38100</xdr:rowOff>
    </xdr:from>
    <xdr:to>
      <xdr:col>6</xdr:col>
      <xdr:colOff>762000</xdr:colOff>
      <xdr:row>62</xdr:row>
      <xdr:rowOff>38100</xdr:rowOff>
    </xdr:to>
    <xdr:sp macro="" textlink="">
      <xdr:nvSpPr>
        <xdr:cNvPr id="3" name="Line 2">
          <a:extLst>
            <a:ext uri="{FF2B5EF4-FFF2-40B4-BE49-F238E27FC236}">
              <a16:creationId xmlns:a16="http://schemas.microsoft.com/office/drawing/2014/main" xmlns="" id="{00000000-0008-0000-0700-000003000000}"/>
            </a:ext>
          </a:extLst>
        </xdr:cNvPr>
        <xdr:cNvSpPr>
          <a:spLocks noChangeShapeType="1"/>
        </xdr:cNvSpPr>
      </xdr:nvSpPr>
      <xdr:spPr bwMode="auto">
        <a:xfrm>
          <a:off x="5524500"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9525</xdr:rowOff>
    </xdr:from>
    <xdr:to>
      <xdr:col>2</xdr:col>
      <xdr:colOff>0</xdr:colOff>
      <xdr:row>15</xdr:row>
      <xdr:rowOff>161925</xdr:rowOff>
    </xdr:to>
    <xdr:sp macro="[3]!BORRAR_FILAS" textlink="">
      <xdr:nvSpPr>
        <xdr:cNvPr id="4" name="Rectángulo 3">
          <a:extLst>
            <a:ext uri="{FF2B5EF4-FFF2-40B4-BE49-F238E27FC236}">
              <a16:creationId xmlns:a16="http://schemas.microsoft.com/office/drawing/2014/main" xmlns="" id="{00000000-0008-0000-0700-000004000000}"/>
            </a:ext>
          </a:extLst>
        </xdr:cNvPr>
        <xdr:cNvSpPr/>
      </xdr:nvSpPr>
      <xdr:spPr>
        <a:xfrm>
          <a:off x="9525" y="2990850"/>
          <a:ext cx="361950" cy="428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628650</xdr:colOff>
      <xdr:row>61</xdr:row>
      <xdr:rowOff>38100</xdr:rowOff>
    </xdr:from>
    <xdr:to>
      <xdr:col>1</xdr:col>
      <xdr:colOff>733425</xdr:colOff>
      <xdr:row>61</xdr:row>
      <xdr:rowOff>38100</xdr:rowOff>
    </xdr:to>
    <xdr:sp macro="" textlink="">
      <xdr:nvSpPr>
        <xdr:cNvPr id="2" name="Line 1">
          <a:extLst>
            <a:ext uri="{FF2B5EF4-FFF2-40B4-BE49-F238E27FC236}">
              <a16:creationId xmlns:a16="http://schemas.microsoft.com/office/drawing/2014/main" xmlns="" id="{00000000-0008-0000-0800-000002000000}"/>
            </a:ext>
          </a:extLst>
        </xdr:cNvPr>
        <xdr:cNvSpPr>
          <a:spLocks noChangeShapeType="1"/>
        </xdr:cNvSpPr>
      </xdr:nvSpPr>
      <xdr:spPr bwMode="auto">
        <a:xfrm>
          <a:off x="1000125"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657225</xdr:colOff>
      <xdr:row>61</xdr:row>
      <xdr:rowOff>38100</xdr:rowOff>
    </xdr:from>
    <xdr:to>
      <xdr:col>8</xdr:col>
      <xdr:colOff>762000</xdr:colOff>
      <xdr:row>61</xdr:row>
      <xdr:rowOff>38100</xdr:rowOff>
    </xdr:to>
    <xdr:sp macro="" textlink="">
      <xdr:nvSpPr>
        <xdr:cNvPr id="3" name="Line 2">
          <a:extLst>
            <a:ext uri="{FF2B5EF4-FFF2-40B4-BE49-F238E27FC236}">
              <a16:creationId xmlns:a16="http://schemas.microsoft.com/office/drawing/2014/main" xmlns="" id="{00000000-0008-0000-0800-000003000000}"/>
            </a:ext>
          </a:extLst>
        </xdr:cNvPr>
        <xdr:cNvSpPr>
          <a:spLocks noChangeShapeType="1"/>
        </xdr:cNvSpPr>
      </xdr:nvSpPr>
      <xdr:spPr bwMode="auto">
        <a:xfrm>
          <a:off x="5524500" y="28203525"/>
          <a:ext cx="1047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aolaya/Desktop/RCCDJ/RE-1-(3-07-2019)/Matriz%20EV-CMA%20COND%20ES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PLIEGOS%20ADM%20VIAL\ELEGIBILIDAD%20SRN%2008%20-%20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mosquera/Desktop/PROCESOS%202019/CMA-DO-SMF-085-2019/EVALUACION/CMA-DO-SMF-085-2019%20-%20MOD%201%20-%20PU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16">
          <cell r="B16">
            <v>1</v>
          </cell>
          <cell r="F16">
            <v>10</v>
          </cell>
          <cell r="G16">
            <v>100</v>
          </cell>
          <cell r="J16">
            <v>0.45</v>
          </cell>
          <cell r="K16">
            <v>200</v>
          </cell>
          <cell r="L16">
            <v>0.4</v>
          </cell>
        </row>
        <row r="20">
          <cell r="H20">
            <v>29221</v>
          </cell>
        </row>
        <row r="21">
          <cell r="H21">
            <v>43466</v>
          </cell>
        </row>
        <row r="26">
          <cell r="D26">
            <v>295</v>
          </cell>
          <cell r="E26">
            <v>595</v>
          </cell>
          <cell r="G26">
            <v>4</v>
          </cell>
          <cell r="H26">
            <v>6</v>
          </cell>
        </row>
      </sheetData>
      <sheetData sheetId="1"/>
      <sheetData sheetId="2"/>
      <sheetData sheetId="3">
        <row r="24">
          <cell r="AT24">
            <v>4</v>
          </cell>
        </row>
        <row r="26">
          <cell r="AT26">
            <v>225</v>
          </cell>
        </row>
        <row r="28">
          <cell r="AT28">
            <v>140</v>
          </cell>
        </row>
        <row r="44">
          <cell r="AA44">
            <v>18</v>
          </cell>
        </row>
      </sheetData>
      <sheetData sheetId="4"/>
      <sheetData sheetId="5"/>
      <sheetData sheetId="6">
        <row r="18">
          <cell r="K18">
            <v>45</v>
          </cell>
        </row>
        <row r="20">
          <cell r="K20">
            <v>1.873</v>
          </cell>
        </row>
      </sheetData>
      <sheetData sheetId="7">
        <row r="20">
          <cell r="E20">
            <v>0</v>
          </cell>
        </row>
        <row r="21">
          <cell r="E21">
            <v>10</v>
          </cell>
        </row>
      </sheetData>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K2" t="str">
            <v>HÁBIL</v>
          </cell>
          <cell r="L2" t="str">
            <v>SI</v>
          </cell>
          <cell r="N2" t="str">
            <v>COLOMBIA</v>
          </cell>
          <cell r="O2" t="str">
            <v>SI</v>
          </cell>
          <cell r="P2" t="str">
            <v>SI</v>
          </cell>
          <cell r="Q2" t="str">
            <v>PRIMARIA</v>
          </cell>
          <cell r="R2" t="str">
            <v>ASFÁLTICO</v>
          </cell>
        </row>
        <row r="3">
          <cell r="B3" t="str">
            <v>SECRETARIA GENERAL - SUBDIRECCIÓN ADMINISTRATIVA</v>
          </cell>
          <cell r="K3" t="str">
            <v>NO HÁBIL</v>
          </cell>
          <cell r="L3" t="str">
            <v>NO</v>
          </cell>
          <cell r="N3" t="str">
            <v>EXTRANJERO</v>
          </cell>
          <cell r="O3" t="str">
            <v>NO</v>
          </cell>
          <cell r="P3" t="str">
            <v>NO</v>
          </cell>
          <cell r="Q3" t="str">
            <v>SECUNDARIA</v>
          </cell>
          <cell r="R3" t="str">
            <v>HIDRÁULICO</v>
          </cell>
        </row>
        <row r="4">
          <cell r="B4" t="str">
            <v>SECRETARIA GENERAL - SUBDIRECCIÓN FINANCIERA</v>
          </cell>
          <cell r="K4" t="str">
            <v>RECHAZO</v>
          </cell>
          <cell r="L4" t="str">
            <v>N/A</v>
          </cell>
          <cell r="O4" t="str">
            <v>N/A</v>
          </cell>
          <cell r="Q4" t="str">
            <v>TERCIARIA</v>
          </cell>
          <cell r="R4" t="str">
            <v>MIXTO</v>
          </cell>
        </row>
        <row r="5">
          <cell r="B5" t="str">
            <v>DIRECCIÓN OPERATIVA - DIRECCIONES TERRITORIALES</v>
          </cell>
          <cell r="Q5" t="str">
            <v>URBANA</v>
          </cell>
          <cell r="R5" t="str">
            <v>NO ACREDITA</v>
          </cell>
        </row>
        <row r="6">
          <cell r="B6" t="str">
            <v>DIRECCIÓN OPERATIVA - GERENCIA DE GRANDES PROYECTOS</v>
          </cell>
          <cell r="Q6" t="str">
            <v>PISTA DE AEROPUERTO</v>
          </cell>
          <cell r="R6" t="str">
            <v>N/A</v>
          </cell>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v>0</v>
          </cell>
        </row>
        <row r="18">
          <cell r="B18">
            <v>0</v>
          </cell>
        </row>
        <row r="19">
          <cell r="B19">
            <v>0</v>
          </cell>
        </row>
        <row r="20">
          <cell r="B20">
            <v>0</v>
          </cell>
        </row>
        <row r="21">
          <cell r="B21">
            <v>0</v>
          </cell>
        </row>
        <row r="22">
          <cell r="B22">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R-PROP MOD 1"/>
      <sheetName val="FORMULA-MODULO 1"/>
      <sheetName val="PRECIO"/>
      <sheetName val="VR-PROP MOD 2"/>
      <sheetName val="FORMULA (2)"/>
      <sheetName val="PRECIO (2)"/>
      <sheetName val="VR-PROP MOD 3"/>
      <sheetName val="FORMULA (3)"/>
      <sheetName val="PRECIO (3)"/>
      <sheetName val="VR-PROP MOD 4"/>
      <sheetName val="FORMULA (4)"/>
      <sheetName val="PRECIO (4)"/>
    </sheetNames>
    <sheetDataSet>
      <sheetData sheetId="0">
        <row r="1">
          <cell r="A1" t="str">
            <v>INSTITUTO NACIONAL DE VIAS</v>
          </cell>
        </row>
        <row r="2">
          <cell r="A2" t="str">
            <v>SUBDIRECCION DE LA RED TERCIARIA Y FERREA</v>
          </cell>
        </row>
        <row r="4">
          <cell r="A4" t="str">
            <v>LISTA DE CANTIDADES DE OBRA, PRECIOS UNITARIOS Y VALOR TOTAL DE LA PROPUESTA</v>
          </cell>
        </row>
        <row r="6">
          <cell r="A6" t="str">
            <v>LICITACIÓN PÚBLICA No SRN-008-2007</v>
          </cell>
        </row>
        <row r="7">
          <cell r="A7" t="str">
            <v xml:space="preserve"> MEJORAMIENTO Y MANTENIMIENTO DE LAS CARRETERAS DE LA ZONA NORTE DEL PAÍS. GRUPO 1</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HAB.EXP.ESP."/>
      <sheetName val="PON.EXP.ESP."/>
      <sheetName val="VIN.PERS.DISC."/>
      <sheetName val="APOYO A IND. NAL."/>
      <sheetName val="RESUMEN"/>
      <sheetName val="CMA-DO-SMF-085-2019 - MOD 1 - P"/>
    </sheetNames>
    <definedNames>
      <definedName name="BORRAR_FILAS"/>
    </definedNames>
    <sheetDataSet>
      <sheetData sheetId="0"/>
      <sheetData sheetId="1"/>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B1:AD26"/>
  <sheetViews>
    <sheetView tabSelected="1" topLeftCell="A3" workbookViewId="0">
      <selection activeCell="K22" sqref="K22"/>
    </sheetView>
  </sheetViews>
  <sheetFormatPr baseColWidth="10" defaultRowHeight="11.25"/>
  <cols>
    <col min="1" max="2" width="9.28515625" style="9" customWidth="1"/>
    <col min="3" max="3" width="15.7109375" style="17" customWidth="1"/>
    <col min="4" max="4" width="19.42578125" style="17" customWidth="1"/>
    <col min="5" max="5" width="14.85546875" style="18" customWidth="1"/>
    <col min="6" max="6" width="13.85546875" style="9" customWidth="1"/>
    <col min="7" max="7" width="18.85546875" style="9" customWidth="1"/>
    <col min="8" max="8" width="12.5703125" style="9" customWidth="1"/>
    <col min="9" max="16384" width="11.42578125" style="9"/>
  </cols>
  <sheetData>
    <row r="1" spans="2:30" ht="20.100000000000001" customHeight="1">
      <c r="B1" s="489" t="s">
        <v>9</v>
      </c>
      <c r="C1" s="7"/>
      <c r="D1" s="7"/>
      <c r="E1" s="7"/>
      <c r="F1" s="7"/>
      <c r="G1" s="7"/>
      <c r="H1" s="8"/>
      <c r="I1" s="8"/>
      <c r="J1" s="8"/>
      <c r="K1" s="8"/>
      <c r="L1" s="8"/>
      <c r="M1" s="8"/>
      <c r="N1" s="8"/>
      <c r="O1" s="8"/>
      <c r="P1" s="8"/>
      <c r="Q1" s="8"/>
      <c r="R1" s="8"/>
      <c r="S1" s="8"/>
      <c r="T1" s="8"/>
      <c r="U1" s="8"/>
      <c r="V1" s="8"/>
      <c r="W1" s="8"/>
      <c r="X1" s="8"/>
      <c r="Y1" s="8"/>
      <c r="Z1" s="8"/>
      <c r="AA1" s="8"/>
      <c r="AB1" s="8"/>
      <c r="AC1" s="8"/>
      <c r="AD1" s="8"/>
    </row>
    <row r="2" spans="2:30" ht="9" customHeight="1">
      <c r="C2" s="10"/>
      <c r="D2" s="10"/>
      <c r="E2" s="10"/>
      <c r="F2" s="10"/>
      <c r="G2" s="11"/>
      <c r="H2" s="11"/>
      <c r="I2" s="11"/>
      <c r="J2" s="11"/>
      <c r="K2" s="11"/>
      <c r="L2" s="11"/>
      <c r="M2" s="11"/>
      <c r="N2" s="11"/>
      <c r="O2" s="11"/>
      <c r="P2" s="11"/>
      <c r="Q2" s="11"/>
      <c r="R2" s="11"/>
      <c r="S2" s="11"/>
      <c r="T2" s="11"/>
      <c r="U2" s="11"/>
      <c r="V2" s="11"/>
      <c r="W2" s="11"/>
      <c r="X2" s="11"/>
      <c r="Y2" s="11"/>
      <c r="Z2" s="11"/>
      <c r="AA2" s="11"/>
      <c r="AB2" s="11"/>
      <c r="AC2" s="11"/>
      <c r="AD2" s="11"/>
    </row>
    <row r="3" spans="2:30" ht="20.100000000000001" customHeight="1">
      <c r="B3" s="487" t="s">
        <v>113</v>
      </c>
      <c r="C3" s="15"/>
      <c r="D3" s="15"/>
      <c r="E3" s="15"/>
      <c r="F3" s="15"/>
      <c r="G3" s="486"/>
      <c r="H3" s="14"/>
      <c r="I3" s="14"/>
      <c r="J3" s="14"/>
      <c r="K3" s="14"/>
      <c r="L3" s="14"/>
      <c r="M3" s="14"/>
      <c r="N3" s="14"/>
      <c r="O3" s="14"/>
      <c r="P3" s="14"/>
      <c r="Q3" s="14"/>
      <c r="R3" s="14"/>
      <c r="S3" s="14"/>
      <c r="T3" s="14"/>
      <c r="U3" s="14"/>
      <c r="V3" s="14"/>
      <c r="W3" s="14"/>
      <c r="X3" s="14"/>
      <c r="Y3" s="14"/>
      <c r="Z3" s="14"/>
      <c r="AA3" s="14"/>
      <c r="AB3" s="14"/>
      <c r="AC3" s="14"/>
      <c r="AD3" s="14"/>
    </row>
    <row r="4" spans="2:30" ht="20.100000000000001" customHeight="1">
      <c r="B4" s="487" t="s">
        <v>175</v>
      </c>
      <c r="C4" s="15"/>
      <c r="D4" s="15"/>
      <c r="E4" s="15"/>
      <c r="F4" s="15"/>
      <c r="G4" s="486"/>
      <c r="H4" s="16"/>
      <c r="I4" s="16"/>
      <c r="J4" s="16"/>
      <c r="K4" s="16"/>
      <c r="L4" s="16"/>
      <c r="M4" s="16"/>
      <c r="N4" s="16"/>
      <c r="O4" s="16"/>
      <c r="P4" s="16"/>
      <c r="Q4" s="16"/>
      <c r="R4" s="16"/>
      <c r="S4" s="16"/>
      <c r="T4" s="16"/>
      <c r="U4" s="16"/>
      <c r="V4" s="16"/>
      <c r="W4" s="16"/>
      <c r="X4" s="16"/>
      <c r="Y4" s="16"/>
      <c r="Z4" s="16"/>
      <c r="AA4" s="16"/>
      <c r="AB4" s="16"/>
      <c r="AC4" s="16"/>
      <c r="AD4" s="16"/>
    </row>
    <row r="5" spans="2:30" ht="12.75" hidden="1" customHeight="1">
      <c r="B5" s="328"/>
      <c r="C5" s="12"/>
      <c r="D5" s="12"/>
      <c r="E5" s="12"/>
      <c r="F5" s="12"/>
      <c r="G5" s="13"/>
      <c r="H5" s="13"/>
      <c r="I5" s="13"/>
      <c r="J5" s="13"/>
      <c r="K5" s="13"/>
      <c r="L5" s="13"/>
      <c r="M5" s="13"/>
      <c r="N5" s="13"/>
      <c r="O5" s="13"/>
      <c r="P5" s="13"/>
      <c r="Q5" s="13"/>
      <c r="R5" s="13"/>
      <c r="S5" s="13"/>
      <c r="T5" s="13"/>
      <c r="U5" s="13"/>
      <c r="V5" s="13"/>
      <c r="W5" s="13"/>
      <c r="X5" s="13"/>
      <c r="Y5" s="13"/>
      <c r="Z5" s="13"/>
      <c r="AA5" s="13"/>
      <c r="AB5" s="13"/>
      <c r="AC5" s="13"/>
      <c r="AD5" s="13"/>
    </row>
    <row r="6" spans="2:30" ht="57.75" customHeight="1">
      <c r="B6" s="488" t="s">
        <v>211</v>
      </c>
      <c r="C6" s="15"/>
      <c r="D6" s="15"/>
      <c r="E6" s="15"/>
      <c r="F6" s="15"/>
      <c r="G6" s="486"/>
      <c r="H6" s="16"/>
      <c r="I6" s="16"/>
      <c r="J6" s="16"/>
      <c r="K6" s="16"/>
      <c r="L6" s="16"/>
      <c r="M6" s="16"/>
      <c r="N6" s="16"/>
      <c r="O6" s="16"/>
      <c r="P6" s="16"/>
      <c r="Q6" s="16"/>
      <c r="R6" s="16"/>
      <c r="S6" s="16"/>
      <c r="T6" s="16"/>
      <c r="U6" s="16"/>
      <c r="V6" s="16"/>
      <c r="W6" s="16"/>
      <c r="X6" s="16"/>
      <c r="Y6" s="16"/>
      <c r="Z6" s="16"/>
      <c r="AA6" s="16"/>
      <c r="AB6" s="16"/>
      <c r="AC6" s="16"/>
      <c r="AD6" s="16"/>
    </row>
    <row r="7" spans="2:30" ht="14.25" customHeight="1">
      <c r="B7" s="487" t="s">
        <v>147</v>
      </c>
      <c r="C7" s="15"/>
      <c r="D7" s="15"/>
      <c r="E7" s="15"/>
      <c r="F7" s="15"/>
      <c r="G7" s="486"/>
      <c r="H7" s="16"/>
      <c r="I7" s="16"/>
      <c r="J7" s="16"/>
      <c r="K7" s="16"/>
      <c r="L7" s="16"/>
      <c r="M7" s="16"/>
      <c r="N7" s="16"/>
      <c r="O7" s="16"/>
      <c r="P7" s="16"/>
      <c r="Q7" s="16"/>
      <c r="R7" s="16"/>
      <c r="S7" s="16"/>
      <c r="T7" s="16"/>
      <c r="U7" s="16"/>
      <c r="V7" s="16"/>
      <c r="W7" s="16"/>
      <c r="X7" s="16"/>
      <c r="Y7" s="16"/>
      <c r="Z7" s="16"/>
      <c r="AA7" s="16"/>
      <c r="AB7" s="16"/>
      <c r="AC7" s="16"/>
      <c r="AD7" s="16"/>
    </row>
    <row r="8" spans="2:30" ht="27.75" customHeight="1">
      <c r="C8" s="691" t="s">
        <v>38</v>
      </c>
      <c r="D8" s="691"/>
      <c r="E8" s="691"/>
      <c r="F8" s="691"/>
    </row>
    <row r="9" spans="2:30" ht="12" thickBot="1"/>
    <row r="10" spans="2:30" ht="27" customHeight="1" thickTop="1" thickBot="1">
      <c r="C10" s="19" t="s">
        <v>29</v>
      </c>
      <c r="D10" s="20" t="s">
        <v>30</v>
      </c>
      <c r="E10" s="20" t="s">
        <v>133</v>
      </c>
      <c r="F10" s="288"/>
      <c r="G10" s="288"/>
    </row>
    <row r="11" spans="2:30" ht="6.75" hidden="1" customHeight="1" thickTop="1">
      <c r="C11" s="21">
        <v>0</v>
      </c>
      <c r="D11" s="22"/>
      <c r="E11" s="22"/>
      <c r="F11" s="288"/>
      <c r="G11" s="288"/>
    </row>
    <row r="12" spans="2:30" ht="2.1" customHeight="1" thickTop="1">
      <c r="C12" s="23">
        <v>0</v>
      </c>
      <c r="D12" s="24">
        <v>0</v>
      </c>
      <c r="E12" s="24"/>
      <c r="F12" s="495"/>
      <c r="G12" s="495"/>
    </row>
    <row r="13" spans="2:30" ht="17.25" customHeight="1">
      <c r="C13" s="686">
        <v>1</v>
      </c>
      <c r="D13" s="687">
        <v>283659428</v>
      </c>
      <c r="E13" s="692">
        <v>36</v>
      </c>
      <c r="F13" s="495"/>
      <c r="G13" s="495"/>
    </row>
    <row r="14" spans="2:30" ht="12.75" customHeight="1">
      <c r="C14" s="686">
        <v>2</v>
      </c>
      <c r="D14" s="687">
        <v>210547002</v>
      </c>
      <c r="E14" s="693"/>
      <c r="F14" s="495"/>
      <c r="G14" s="497"/>
    </row>
    <row r="15" spans="2:30" ht="12.75" hidden="1" customHeight="1">
      <c r="C15" s="688"/>
      <c r="D15" s="689"/>
      <c r="E15" s="693"/>
      <c r="F15" s="495"/>
      <c r="G15" s="497"/>
    </row>
    <row r="16" spans="2:30" ht="12.75" hidden="1" customHeight="1">
      <c r="C16" s="688"/>
      <c r="D16" s="689"/>
      <c r="E16" s="693"/>
      <c r="F16" s="495"/>
      <c r="G16" s="497"/>
    </row>
    <row r="17" spans="3:8" ht="12.75" hidden="1" customHeight="1">
      <c r="C17" s="688"/>
      <c r="D17" s="689"/>
      <c r="E17" s="693"/>
      <c r="F17" s="495"/>
      <c r="G17" s="497"/>
    </row>
    <row r="18" spans="3:8" ht="12.75" hidden="1" customHeight="1">
      <c r="C18" s="688"/>
      <c r="D18" s="689"/>
      <c r="E18" s="693"/>
      <c r="F18" s="495"/>
      <c r="G18" s="497"/>
    </row>
    <row r="19" spans="3:8" ht="12.75" hidden="1" customHeight="1">
      <c r="C19" s="688"/>
      <c r="D19" s="689"/>
      <c r="E19" s="693"/>
      <c r="F19" s="495"/>
      <c r="G19" s="497"/>
    </row>
    <row r="20" spans="3:8" ht="12.75" hidden="1" customHeight="1">
      <c r="C20" s="688"/>
      <c r="D20" s="689"/>
      <c r="E20" s="694"/>
      <c r="F20" s="495"/>
      <c r="G20" s="495"/>
    </row>
    <row r="21" spans="3:8" ht="2.1" customHeight="1" thickBot="1">
      <c r="C21" s="667"/>
      <c r="D21" s="668"/>
      <c r="E21" s="668"/>
      <c r="F21" s="498"/>
      <c r="G21" s="495"/>
      <c r="H21" s="288"/>
    </row>
    <row r="22" spans="3:8" ht="16.5" thickTop="1" thickBot="1">
      <c r="C22" s="499">
        <f>COUNT(C13:C21)</f>
        <v>2</v>
      </c>
      <c r="D22" s="500">
        <f>SUM(D12:D20)</f>
        <v>494206430</v>
      </c>
      <c r="E22" s="686"/>
      <c r="F22" s="496"/>
      <c r="G22" s="495"/>
    </row>
    <row r="23" spans="3:8" ht="12" thickTop="1">
      <c r="G23" s="288"/>
      <c r="H23" s="288"/>
    </row>
    <row r="24" spans="3:8">
      <c r="G24" s="288"/>
      <c r="H24" s="288"/>
    </row>
    <row r="25" spans="3:8">
      <c r="G25" s="288"/>
      <c r="H25" s="288"/>
    </row>
    <row r="26" spans="3:8">
      <c r="G26" s="288"/>
      <c r="H26" s="288"/>
    </row>
  </sheetData>
  <sheetProtection selectLockedCells="1"/>
  <customSheetViews>
    <customSheetView guid="{4FD7B380-97FE-41A2-99C1-9E1A481B7C5B}" hiddenRows="1" showRuler="0" topLeftCell="A8">
      <selection activeCell="G23" sqref="G23"/>
      <pageMargins left="0.75" right="0.75" top="1" bottom="1" header="0" footer="0"/>
      <pageSetup orientation="portrait" horizontalDpi="4294967293" r:id="rId1"/>
      <headerFooter alignWithMargins="0"/>
    </customSheetView>
    <customSheetView guid="{DDA08836-FFF7-4F47-B058-4616FC9BD320}" showPageBreaks="1" hiddenRows="1" showRuler="0">
      <selection activeCell="B26" sqref="B26"/>
      <pageMargins left="0.75" right="0.75" top="1" bottom="1" header="0" footer="0"/>
      <pageSetup orientation="portrait" horizontalDpi="4294967293" r:id="rId2"/>
      <headerFooter alignWithMargins="0"/>
    </customSheetView>
  </customSheetViews>
  <mergeCells count="2">
    <mergeCell ref="C8:F8"/>
    <mergeCell ref="E13:E20"/>
  </mergeCells>
  <phoneticPr fontId="5" type="noConversion"/>
  <conditionalFormatting sqref="C13:E13 C14:D20 C22:E22">
    <cfRule type="cellIs" dxfId="2988" priority="2" stopIfTrue="1" operator="greaterThan">
      <formula>0</formula>
    </cfRule>
  </conditionalFormatting>
  <conditionalFormatting sqref="C10:E10">
    <cfRule type="cellIs" dxfId="2987" priority="3" stopIfTrue="1" operator="greaterThan">
      <formula>0</formula>
    </cfRule>
  </conditionalFormatting>
  <pageMargins left="0.78740157480314965" right="0.78740157480314965" top="0.98425196850393704" bottom="0.98425196850393704" header="0" footer="0"/>
  <pageSetup orientation="portrait" horizontalDpi="4294967293"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59999389629810485"/>
    <pageSetUpPr autoPageBreaks="0" fitToPage="1"/>
  </sheetPr>
  <dimension ref="B1:I56"/>
  <sheetViews>
    <sheetView showGridLines="0" topLeftCell="A6" zoomScale="115" zoomScaleNormal="115" workbookViewId="0">
      <selection activeCell="D20" sqref="D20"/>
    </sheetView>
  </sheetViews>
  <sheetFormatPr baseColWidth="10" defaultRowHeight="15"/>
  <cols>
    <col min="1" max="1" width="1.85546875" style="505" customWidth="1"/>
    <col min="2" max="2" width="7.140625" style="505" bestFit="1" customWidth="1"/>
    <col min="3" max="3" width="12.85546875" style="505" bestFit="1" customWidth="1"/>
    <col min="4" max="4" width="60.28515625" style="505" customWidth="1"/>
    <col min="5" max="5" width="11.42578125" style="505" bestFit="1" customWidth="1"/>
    <col min="6" max="6" width="10.42578125" style="505" customWidth="1"/>
    <col min="7" max="7" width="1.5703125" style="505" hidden="1" customWidth="1"/>
    <col min="8" max="8" width="12" style="505" hidden="1" customWidth="1"/>
    <col min="9" max="9" width="9.7109375" style="505" hidden="1" customWidth="1"/>
    <col min="10" max="16384" width="11.42578125" style="505"/>
  </cols>
  <sheetData>
    <row r="1" spans="2:9" s="523" customFormat="1" ht="15" customHeight="1">
      <c r="B1" s="522" t="str">
        <f>PRESUPUESTOS!B1</f>
        <v>INSTITUTO NACIONAL DE VÍAS</v>
      </c>
      <c r="C1" s="522"/>
      <c r="D1" s="522"/>
      <c r="E1" s="522"/>
    </row>
    <row r="2" spans="2:9" s="158" customFormat="1" ht="15" customHeight="1">
      <c r="B2" s="522"/>
      <c r="C2" s="522"/>
      <c r="D2" s="522"/>
      <c r="E2" s="522"/>
    </row>
    <row r="3" spans="2:9" s="158" customFormat="1" ht="15" customHeight="1">
      <c r="B3" s="522" t="str">
        <f>PRESUPUESTOS!B3</f>
        <v>CONCURSO DE MÉRITOS ABIERTO</v>
      </c>
      <c r="C3" s="522"/>
      <c r="D3" s="522"/>
      <c r="E3" s="522"/>
    </row>
    <row r="4" spans="2:9" s="158" customFormat="1" ht="12.75" customHeight="1">
      <c r="B4" s="522" t="str">
        <f>PRESUPUESTOS!B4</f>
        <v>CONCURSO DE MERITOS CMA-DO-SRN-100-2019</v>
      </c>
      <c r="C4" s="522"/>
      <c r="D4" s="522"/>
      <c r="E4" s="522"/>
    </row>
    <row r="5" spans="2:9" s="158" customFormat="1" ht="12.75">
      <c r="B5" s="522"/>
      <c r="C5" s="522"/>
      <c r="D5" s="522"/>
      <c r="E5" s="522"/>
    </row>
    <row r="6" spans="2:9" s="158" customFormat="1" ht="47.25" customHeight="1">
      <c r="B6" s="522" t="str">
        <f>PRESUPUESTOS!B6</f>
        <v>ADMINISTRACIÓN VIAL DE LAS CARRETERAS A CARGO DE LA TERRITORIAL SANTANDER</v>
      </c>
      <c r="C6" s="522"/>
      <c r="D6" s="522"/>
      <c r="E6" s="522"/>
    </row>
    <row r="7" spans="2:9" s="158" customFormat="1" ht="47.25" hidden="1" customHeight="1">
      <c r="B7" s="522"/>
      <c r="C7" s="522"/>
      <c r="D7" s="522"/>
      <c r="E7" s="522"/>
    </row>
    <row r="8" spans="2:9" s="158" customFormat="1" ht="47.25" hidden="1" customHeight="1">
      <c r="B8" s="522"/>
      <c r="C8" s="522"/>
      <c r="D8" s="522"/>
      <c r="E8" s="522"/>
    </row>
    <row r="9" spans="2:9" s="158" customFormat="1" ht="47.25" hidden="1" customHeight="1">
      <c r="B9" s="522"/>
      <c r="C9" s="522"/>
      <c r="D9" s="522"/>
      <c r="E9" s="522"/>
    </row>
    <row r="10" spans="2:9" s="158" customFormat="1" ht="47.25" hidden="1" customHeight="1">
      <c r="B10" s="522"/>
      <c r="C10" s="522"/>
      <c r="D10" s="522"/>
      <c r="E10" s="522"/>
    </row>
    <row r="11" spans="2:9" s="158" customFormat="1" ht="47.25" hidden="1" customHeight="1">
      <c r="B11" s="522"/>
      <c r="C11" s="522"/>
      <c r="D11" s="522"/>
      <c r="E11" s="522"/>
    </row>
    <row r="12" spans="2:9" s="158" customFormat="1" ht="47.25" hidden="1" customHeight="1">
      <c r="B12" s="522"/>
      <c r="C12" s="522"/>
      <c r="D12" s="522"/>
      <c r="E12" s="522"/>
    </row>
    <row r="13" spans="2:9" s="158" customFormat="1" ht="47.25" hidden="1" customHeight="1">
      <c r="B13" s="522"/>
      <c r="C13" s="522"/>
      <c r="D13" s="522"/>
      <c r="E13" s="522"/>
    </row>
    <row r="14" spans="2:9" s="158" customFormat="1" ht="12.75" customHeight="1">
      <c r="B14" s="522" t="str">
        <f>PRESUPUESTOS!B7</f>
        <v xml:space="preserve">MODULO </v>
      </c>
      <c r="C14" s="522"/>
      <c r="D14" s="522"/>
      <c r="E14" s="522"/>
    </row>
    <row r="15" spans="2:9" s="158" customFormat="1" ht="14.25" customHeight="1" thickBot="1">
      <c r="B15" s="521"/>
      <c r="C15" s="521"/>
      <c r="D15" s="521"/>
      <c r="E15" s="521"/>
    </row>
    <row r="16" spans="2:9" s="158" customFormat="1" ht="18.75" customHeight="1" thickTop="1">
      <c r="B16" s="699" t="s">
        <v>156</v>
      </c>
      <c r="C16" s="551" t="s">
        <v>11</v>
      </c>
      <c r="D16" s="701" t="s">
        <v>155</v>
      </c>
      <c r="E16" s="702"/>
      <c r="F16" s="506"/>
      <c r="H16" s="695" t="s">
        <v>161</v>
      </c>
      <c r="I16" s="696"/>
    </row>
    <row r="17" spans="2:9" s="158" customFormat="1" ht="27.75" thickBot="1">
      <c r="B17" s="700"/>
      <c r="C17" s="552" t="s">
        <v>23</v>
      </c>
      <c r="D17" s="552" t="s">
        <v>154</v>
      </c>
      <c r="E17" s="553" t="s">
        <v>153</v>
      </c>
      <c r="F17" s="506"/>
      <c r="H17" s="697"/>
      <c r="I17" s="698"/>
    </row>
    <row r="18" spans="2:9" s="515" customFormat="1" ht="2.25" customHeight="1">
      <c r="B18" s="520"/>
      <c r="C18" s="519"/>
      <c r="D18" s="519"/>
      <c r="E18" s="519"/>
      <c r="F18" s="518"/>
      <c r="H18" s="516"/>
      <c r="I18" s="517"/>
    </row>
    <row r="19" spans="2:9" s="158" customFormat="1" ht="15" customHeight="1">
      <c r="B19" s="514">
        <v>1</v>
      </c>
      <c r="C19" s="513">
        <v>1</v>
      </c>
      <c r="D19" s="554" t="s">
        <v>176</v>
      </c>
      <c r="E19" s="511">
        <v>2</v>
      </c>
      <c r="F19" s="506"/>
      <c r="G19" s="158">
        <v>1</v>
      </c>
      <c r="H19" s="510" t="str">
        <f>IF(G19=1,"OK","REPETIDO")</f>
        <v>OK</v>
      </c>
      <c r="I19" s="510">
        <f t="shared" ref="I19:I54" si="0">IF(COUNTIF($D$19:$D$54,D19)&gt;1,COUNTIF($D$19:$D$54,D19)&amp;"  VECES",1)</f>
        <v>1</v>
      </c>
    </row>
    <row r="20" spans="2:9" s="158" customFormat="1" ht="15" customHeight="1">
      <c r="B20" s="514">
        <v>2</v>
      </c>
      <c r="C20" s="513">
        <v>2</v>
      </c>
      <c r="D20" s="512" t="s">
        <v>177</v>
      </c>
      <c r="E20" s="511">
        <v>2</v>
      </c>
      <c r="F20" s="506"/>
      <c r="G20" s="158">
        <v>1</v>
      </c>
      <c r="H20" s="510" t="str">
        <f t="shared" ref="H20:H54" si="1">IF(G20=1,"OK","REPETIDO")</f>
        <v>OK</v>
      </c>
      <c r="I20" s="510">
        <f t="shared" si="0"/>
        <v>1</v>
      </c>
    </row>
    <row r="21" spans="2:9" s="158" customFormat="1" ht="15" customHeight="1">
      <c r="B21" s="514">
        <v>3</v>
      </c>
      <c r="C21" s="513">
        <v>3</v>
      </c>
      <c r="D21" s="512" t="s">
        <v>178</v>
      </c>
      <c r="E21" s="511">
        <v>3</v>
      </c>
      <c r="F21" s="506"/>
      <c r="G21" s="158">
        <v>1</v>
      </c>
      <c r="H21" s="510" t="str">
        <f t="shared" si="1"/>
        <v>OK</v>
      </c>
      <c r="I21" s="510">
        <f t="shared" si="0"/>
        <v>1</v>
      </c>
    </row>
    <row r="22" spans="2:9" s="158" customFormat="1" ht="12.75">
      <c r="B22" s="514">
        <v>4</v>
      </c>
      <c r="C22" s="513">
        <v>4</v>
      </c>
      <c r="D22" s="512" t="s">
        <v>179</v>
      </c>
      <c r="E22" s="511">
        <v>1</v>
      </c>
      <c r="F22" s="506"/>
      <c r="G22" s="158">
        <v>1</v>
      </c>
      <c r="H22" s="510" t="str">
        <f t="shared" si="1"/>
        <v>OK</v>
      </c>
      <c r="I22" s="510">
        <f t="shared" si="0"/>
        <v>1</v>
      </c>
    </row>
    <row r="23" spans="2:9" s="158" customFormat="1" ht="15" customHeight="1">
      <c r="B23" s="514">
        <v>5</v>
      </c>
      <c r="C23" s="513">
        <v>5</v>
      </c>
      <c r="D23" s="512" t="s">
        <v>180</v>
      </c>
      <c r="E23" s="511">
        <v>2</v>
      </c>
      <c r="F23" s="506"/>
      <c r="G23" s="158">
        <v>1</v>
      </c>
      <c r="H23" s="510" t="str">
        <f t="shared" si="1"/>
        <v>OK</v>
      </c>
      <c r="I23" s="510">
        <f t="shared" si="0"/>
        <v>1</v>
      </c>
    </row>
    <row r="24" spans="2:9" s="158" customFormat="1" ht="15" customHeight="1">
      <c r="B24" s="514">
        <v>6</v>
      </c>
      <c r="C24" s="513">
        <v>6</v>
      </c>
      <c r="D24" s="512" t="s">
        <v>181</v>
      </c>
      <c r="E24" s="511">
        <v>3</v>
      </c>
      <c r="F24" s="506"/>
      <c r="G24" s="158">
        <v>1</v>
      </c>
      <c r="H24" s="510" t="str">
        <f t="shared" si="1"/>
        <v>OK</v>
      </c>
      <c r="I24" s="510">
        <f t="shared" si="0"/>
        <v>1</v>
      </c>
    </row>
    <row r="25" spans="2:9" s="158" customFormat="1" ht="12.75">
      <c r="B25" s="514">
        <v>7</v>
      </c>
      <c r="C25" s="513">
        <v>7</v>
      </c>
      <c r="D25" s="512" t="s">
        <v>182</v>
      </c>
      <c r="E25" s="511">
        <v>1</v>
      </c>
      <c r="F25" s="506"/>
      <c r="G25" s="158">
        <v>1</v>
      </c>
      <c r="H25" s="510" t="str">
        <f t="shared" si="1"/>
        <v>OK</v>
      </c>
      <c r="I25" s="510">
        <f t="shared" si="0"/>
        <v>1</v>
      </c>
    </row>
    <row r="26" spans="2:9" s="158" customFormat="1" ht="15" customHeight="1">
      <c r="B26" s="514">
        <v>8</v>
      </c>
      <c r="C26" s="513">
        <v>8</v>
      </c>
      <c r="D26" s="512" t="s">
        <v>183</v>
      </c>
      <c r="E26" s="511">
        <v>1</v>
      </c>
      <c r="F26" s="506"/>
      <c r="G26" s="158">
        <v>1</v>
      </c>
      <c r="H26" s="510" t="str">
        <f t="shared" si="1"/>
        <v>OK</v>
      </c>
      <c r="I26" s="510">
        <f t="shared" si="0"/>
        <v>1</v>
      </c>
    </row>
    <row r="27" spans="2:9" s="158" customFormat="1" ht="15" customHeight="1">
      <c r="B27" s="514">
        <v>9</v>
      </c>
      <c r="C27" s="513">
        <v>9</v>
      </c>
      <c r="D27" s="512" t="s">
        <v>184</v>
      </c>
      <c r="E27" s="511">
        <v>1</v>
      </c>
      <c r="F27" s="506"/>
      <c r="G27" s="158">
        <v>1</v>
      </c>
      <c r="H27" s="510" t="str">
        <f t="shared" si="1"/>
        <v>OK</v>
      </c>
      <c r="I27" s="510">
        <f t="shared" si="0"/>
        <v>1</v>
      </c>
    </row>
    <row r="28" spans="2:9" s="158" customFormat="1" ht="15" customHeight="1">
      <c r="B28" s="514">
        <v>10</v>
      </c>
      <c r="C28" s="513">
        <v>10</v>
      </c>
      <c r="D28" s="512" t="s">
        <v>185</v>
      </c>
      <c r="E28" s="511">
        <v>2</v>
      </c>
      <c r="F28" s="506"/>
      <c r="G28" s="158">
        <v>1</v>
      </c>
      <c r="H28" s="510" t="str">
        <f t="shared" si="1"/>
        <v>OK</v>
      </c>
      <c r="I28" s="510">
        <f t="shared" si="0"/>
        <v>1</v>
      </c>
    </row>
    <row r="29" spans="2:9" s="158" customFormat="1" ht="12.75">
      <c r="B29" s="514">
        <v>11</v>
      </c>
      <c r="C29" s="513">
        <v>11</v>
      </c>
      <c r="D29" s="512" t="s">
        <v>186</v>
      </c>
      <c r="E29" s="511">
        <v>1</v>
      </c>
      <c r="F29" s="506"/>
      <c r="G29" s="158">
        <v>1</v>
      </c>
      <c r="H29" s="510" t="str">
        <f t="shared" si="1"/>
        <v>OK</v>
      </c>
      <c r="I29" s="510">
        <f t="shared" si="0"/>
        <v>1</v>
      </c>
    </row>
    <row r="30" spans="2:9" s="158" customFormat="1" ht="15" customHeight="1">
      <c r="B30" s="514">
        <v>12</v>
      </c>
      <c r="C30" s="513">
        <v>12</v>
      </c>
      <c r="D30" s="512" t="s">
        <v>187</v>
      </c>
      <c r="E30" s="511">
        <v>1</v>
      </c>
      <c r="F30" s="506"/>
      <c r="G30" s="158">
        <v>1</v>
      </c>
      <c r="H30" s="510" t="str">
        <f t="shared" si="1"/>
        <v>OK</v>
      </c>
      <c r="I30" s="510">
        <f t="shared" si="0"/>
        <v>1</v>
      </c>
    </row>
    <row r="31" spans="2:9" s="158" customFormat="1" ht="15" customHeight="1">
      <c r="B31" s="514">
        <v>13</v>
      </c>
      <c r="C31" s="513">
        <v>13</v>
      </c>
      <c r="D31" s="512" t="s">
        <v>188</v>
      </c>
      <c r="E31" s="511">
        <v>2</v>
      </c>
      <c r="F31" s="506"/>
      <c r="G31" s="158">
        <v>1</v>
      </c>
      <c r="H31" s="510" t="str">
        <f t="shared" si="1"/>
        <v>OK</v>
      </c>
      <c r="I31" s="510">
        <f t="shared" si="0"/>
        <v>1</v>
      </c>
    </row>
    <row r="32" spans="2:9" s="158" customFormat="1" ht="12.75">
      <c r="B32" s="514">
        <v>14</v>
      </c>
      <c r="C32" s="513">
        <v>14</v>
      </c>
      <c r="D32" s="512" t="s">
        <v>189</v>
      </c>
      <c r="E32" s="511">
        <v>2</v>
      </c>
      <c r="F32" s="506"/>
      <c r="G32" s="158">
        <v>1</v>
      </c>
      <c r="H32" s="510" t="str">
        <f t="shared" si="1"/>
        <v>OK</v>
      </c>
      <c r="I32" s="510">
        <f t="shared" si="0"/>
        <v>1</v>
      </c>
    </row>
    <row r="33" spans="2:9" s="158" customFormat="1" ht="15" customHeight="1">
      <c r="B33" s="514">
        <v>15</v>
      </c>
      <c r="C33" s="513">
        <v>15</v>
      </c>
      <c r="D33" s="512" t="s">
        <v>190</v>
      </c>
      <c r="E33" s="511">
        <v>2</v>
      </c>
      <c r="F33" s="506"/>
      <c r="G33" s="158">
        <v>1</v>
      </c>
      <c r="H33" s="510" t="str">
        <f t="shared" si="1"/>
        <v>OK</v>
      </c>
      <c r="I33" s="510">
        <f t="shared" si="0"/>
        <v>1</v>
      </c>
    </row>
    <row r="34" spans="2:9" s="158" customFormat="1" ht="15" customHeight="1">
      <c r="B34" s="514">
        <v>16</v>
      </c>
      <c r="C34" s="513">
        <v>16</v>
      </c>
      <c r="D34" s="512" t="s">
        <v>191</v>
      </c>
      <c r="E34" s="511">
        <v>3</v>
      </c>
      <c r="F34" s="506"/>
      <c r="G34" s="158">
        <v>1</v>
      </c>
      <c r="H34" s="510" t="str">
        <f t="shared" si="1"/>
        <v>OK</v>
      </c>
      <c r="I34" s="510">
        <f t="shared" si="0"/>
        <v>1</v>
      </c>
    </row>
    <row r="35" spans="2:9" s="158" customFormat="1" ht="15" customHeight="1">
      <c r="B35" s="514">
        <v>17</v>
      </c>
      <c r="C35" s="513">
        <v>17</v>
      </c>
      <c r="D35" s="512" t="s">
        <v>192</v>
      </c>
      <c r="E35" s="511">
        <v>2</v>
      </c>
      <c r="F35" s="506"/>
      <c r="G35" s="158">
        <v>1</v>
      </c>
      <c r="H35" s="510" t="str">
        <f t="shared" si="1"/>
        <v>OK</v>
      </c>
      <c r="I35" s="510" t="str">
        <f t="shared" si="0"/>
        <v>2  VECES</v>
      </c>
    </row>
    <row r="36" spans="2:9" s="158" customFormat="1" ht="12.75">
      <c r="B36" s="514">
        <v>18</v>
      </c>
      <c r="C36" s="513">
        <v>18</v>
      </c>
      <c r="D36" s="512" t="s">
        <v>193</v>
      </c>
      <c r="E36" s="511">
        <v>1</v>
      </c>
      <c r="F36" s="506"/>
      <c r="G36" s="158">
        <v>1</v>
      </c>
      <c r="H36" s="510" t="str">
        <f t="shared" si="1"/>
        <v>OK</v>
      </c>
      <c r="I36" s="510">
        <f t="shared" si="0"/>
        <v>1</v>
      </c>
    </row>
    <row r="37" spans="2:9" s="158" customFormat="1" ht="15" customHeight="1">
      <c r="B37" s="514">
        <v>19</v>
      </c>
      <c r="C37" s="513">
        <v>19</v>
      </c>
      <c r="D37" s="512" t="s">
        <v>194</v>
      </c>
      <c r="E37" s="511">
        <v>2</v>
      </c>
      <c r="F37" s="506"/>
      <c r="G37" s="158">
        <v>1</v>
      </c>
      <c r="H37" s="510" t="str">
        <f t="shared" si="1"/>
        <v>OK</v>
      </c>
      <c r="I37" s="510">
        <f t="shared" si="0"/>
        <v>1</v>
      </c>
    </row>
    <row r="38" spans="2:9" s="158" customFormat="1" ht="15" customHeight="1">
      <c r="B38" s="514">
        <v>20</v>
      </c>
      <c r="C38" s="513">
        <v>20</v>
      </c>
      <c r="D38" s="512" t="s">
        <v>195</v>
      </c>
      <c r="E38" s="511">
        <v>2</v>
      </c>
      <c r="F38" s="506"/>
      <c r="G38" s="158">
        <v>1</v>
      </c>
      <c r="H38" s="510" t="str">
        <f t="shared" si="1"/>
        <v>OK</v>
      </c>
      <c r="I38" s="510">
        <f t="shared" si="0"/>
        <v>1</v>
      </c>
    </row>
    <row r="39" spans="2:9" s="158" customFormat="1" ht="12.75">
      <c r="B39" s="514">
        <v>21</v>
      </c>
      <c r="C39" s="513">
        <v>21</v>
      </c>
      <c r="D39" s="512" t="s">
        <v>196</v>
      </c>
      <c r="E39" s="511">
        <v>2</v>
      </c>
      <c r="F39" s="506"/>
      <c r="G39" s="158">
        <v>1</v>
      </c>
      <c r="H39" s="510" t="str">
        <f t="shared" si="1"/>
        <v>OK</v>
      </c>
      <c r="I39" s="510">
        <f t="shared" si="0"/>
        <v>1</v>
      </c>
    </row>
    <row r="40" spans="2:9" s="158" customFormat="1" ht="15" customHeight="1">
      <c r="B40" s="514">
        <v>22</v>
      </c>
      <c r="C40" s="513">
        <v>22</v>
      </c>
      <c r="D40" s="512" t="s">
        <v>197</v>
      </c>
      <c r="E40" s="511">
        <v>2</v>
      </c>
      <c r="F40" s="506"/>
      <c r="G40" s="158">
        <v>1</v>
      </c>
      <c r="H40" s="510" t="str">
        <f t="shared" si="1"/>
        <v>OK</v>
      </c>
      <c r="I40" s="510">
        <f t="shared" si="0"/>
        <v>1</v>
      </c>
    </row>
    <row r="41" spans="2:9" s="158" customFormat="1" ht="15" customHeight="1">
      <c r="B41" s="514">
        <v>23</v>
      </c>
      <c r="C41" s="513">
        <v>23</v>
      </c>
      <c r="D41" s="512" t="s">
        <v>198</v>
      </c>
      <c r="E41" s="511">
        <v>1</v>
      </c>
      <c r="F41" s="506"/>
      <c r="G41" s="158">
        <v>1</v>
      </c>
      <c r="H41" s="510" t="str">
        <f t="shared" si="1"/>
        <v>OK</v>
      </c>
      <c r="I41" s="510">
        <f t="shared" si="0"/>
        <v>1</v>
      </c>
    </row>
    <row r="42" spans="2:9" s="158" customFormat="1" ht="15" customHeight="1">
      <c r="B42" s="514">
        <v>24</v>
      </c>
      <c r="C42" s="513">
        <v>24</v>
      </c>
      <c r="D42" s="512" t="s">
        <v>199</v>
      </c>
      <c r="E42" s="511">
        <v>2</v>
      </c>
      <c r="F42" s="506"/>
      <c r="G42" s="158">
        <v>1</v>
      </c>
      <c r="H42" s="510" t="str">
        <f t="shared" si="1"/>
        <v>OK</v>
      </c>
      <c r="I42" s="510">
        <f t="shared" si="0"/>
        <v>1</v>
      </c>
    </row>
    <row r="43" spans="2:9" s="158" customFormat="1" ht="12.75">
      <c r="B43" s="514">
        <v>25</v>
      </c>
      <c r="C43" s="513">
        <v>25</v>
      </c>
      <c r="D43" s="512" t="s">
        <v>200</v>
      </c>
      <c r="E43" s="511">
        <v>2</v>
      </c>
      <c r="F43" s="506"/>
      <c r="G43" s="158">
        <v>1</v>
      </c>
      <c r="H43" s="510" t="str">
        <f t="shared" si="1"/>
        <v>OK</v>
      </c>
      <c r="I43" s="510">
        <f t="shared" si="0"/>
        <v>1</v>
      </c>
    </row>
    <row r="44" spans="2:9" s="158" customFormat="1" ht="15" customHeight="1">
      <c r="B44" s="514">
        <v>26</v>
      </c>
      <c r="C44" s="513">
        <v>26</v>
      </c>
      <c r="D44" s="512" t="s">
        <v>201</v>
      </c>
      <c r="E44" s="511">
        <v>2</v>
      </c>
      <c r="F44" s="506"/>
      <c r="G44" s="158">
        <v>1</v>
      </c>
      <c r="H44" s="510" t="str">
        <f t="shared" si="1"/>
        <v>OK</v>
      </c>
      <c r="I44" s="510">
        <f t="shared" si="0"/>
        <v>1</v>
      </c>
    </row>
    <row r="45" spans="2:9" s="158" customFormat="1" ht="15" customHeight="1">
      <c r="B45" s="514">
        <v>27</v>
      </c>
      <c r="C45" s="513">
        <v>27</v>
      </c>
      <c r="D45" s="512" t="s">
        <v>202</v>
      </c>
      <c r="E45" s="511">
        <v>2</v>
      </c>
      <c r="F45" s="506"/>
      <c r="G45" s="158">
        <v>1</v>
      </c>
      <c r="H45" s="510" t="str">
        <f t="shared" si="1"/>
        <v>OK</v>
      </c>
      <c r="I45" s="510">
        <f t="shared" si="0"/>
        <v>1</v>
      </c>
    </row>
    <row r="46" spans="2:9" s="158" customFormat="1" ht="15" customHeight="1">
      <c r="B46" s="514">
        <v>28</v>
      </c>
      <c r="C46" s="513">
        <v>28</v>
      </c>
      <c r="D46" s="512" t="s">
        <v>203</v>
      </c>
      <c r="E46" s="511">
        <v>3</v>
      </c>
      <c r="F46" s="506"/>
      <c r="G46" s="158">
        <v>1</v>
      </c>
      <c r="H46" s="510" t="str">
        <f t="shared" si="1"/>
        <v>OK</v>
      </c>
      <c r="I46" s="510">
        <f t="shared" si="0"/>
        <v>1</v>
      </c>
    </row>
    <row r="47" spans="2:9" s="158" customFormat="1" ht="15" customHeight="1">
      <c r="B47" s="514">
        <v>29</v>
      </c>
      <c r="C47" s="513">
        <v>29</v>
      </c>
      <c r="D47" s="512" t="s">
        <v>204</v>
      </c>
      <c r="E47" s="511">
        <v>1</v>
      </c>
      <c r="F47" s="506"/>
      <c r="G47" s="158">
        <v>1</v>
      </c>
      <c r="H47" s="510" t="str">
        <f t="shared" si="1"/>
        <v>OK</v>
      </c>
      <c r="I47" s="510">
        <f t="shared" si="0"/>
        <v>1</v>
      </c>
    </row>
    <row r="48" spans="2:9" s="158" customFormat="1" ht="15" customHeight="1">
      <c r="B48" s="514">
        <v>30</v>
      </c>
      <c r="C48" s="513">
        <v>30</v>
      </c>
      <c r="D48" s="512" t="s">
        <v>205</v>
      </c>
      <c r="E48" s="511">
        <v>2</v>
      </c>
      <c r="F48" s="506"/>
      <c r="G48" s="158">
        <v>1</v>
      </c>
      <c r="H48" s="510" t="str">
        <f t="shared" si="1"/>
        <v>OK</v>
      </c>
      <c r="I48" s="510">
        <f t="shared" si="0"/>
        <v>1</v>
      </c>
    </row>
    <row r="49" spans="2:9" s="158" customFormat="1" ht="12.75">
      <c r="B49" s="514">
        <v>31</v>
      </c>
      <c r="C49" s="513">
        <v>31</v>
      </c>
      <c r="D49" s="512" t="s">
        <v>192</v>
      </c>
      <c r="E49" s="511">
        <v>2</v>
      </c>
      <c r="F49" s="506"/>
      <c r="G49" s="158">
        <v>1</v>
      </c>
      <c r="H49" s="510" t="str">
        <f t="shared" si="1"/>
        <v>OK</v>
      </c>
      <c r="I49" s="510" t="str">
        <f t="shared" si="0"/>
        <v>2  VECES</v>
      </c>
    </row>
    <row r="50" spans="2:9" s="158" customFormat="1" ht="15" customHeight="1">
      <c r="B50" s="514">
        <v>32</v>
      </c>
      <c r="C50" s="513">
        <v>32</v>
      </c>
      <c r="D50" s="512" t="s">
        <v>206</v>
      </c>
      <c r="E50" s="511">
        <v>2</v>
      </c>
      <c r="F50" s="506"/>
      <c r="G50" s="158">
        <v>1</v>
      </c>
      <c r="H50" s="510" t="str">
        <f t="shared" si="1"/>
        <v>OK</v>
      </c>
      <c r="I50" s="510">
        <f t="shared" si="0"/>
        <v>1</v>
      </c>
    </row>
    <row r="51" spans="2:9" s="158" customFormat="1" ht="15" customHeight="1">
      <c r="B51" s="514">
        <v>33</v>
      </c>
      <c r="C51" s="513">
        <v>33</v>
      </c>
      <c r="D51" s="512" t="s">
        <v>207</v>
      </c>
      <c r="E51" s="511">
        <v>2</v>
      </c>
      <c r="F51" s="506"/>
      <c r="G51" s="158">
        <v>1</v>
      </c>
      <c r="H51" s="510" t="str">
        <f t="shared" si="1"/>
        <v>OK</v>
      </c>
      <c r="I51" s="510">
        <f t="shared" si="0"/>
        <v>1</v>
      </c>
    </row>
    <row r="52" spans="2:9" s="158" customFormat="1" ht="12.75">
      <c r="B52" s="514">
        <v>34</v>
      </c>
      <c r="C52" s="513">
        <v>34</v>
      </c>
      <c r="D52" s="512" t="s">
        <v>208</v>
      </c>
      <c r="E52" s="511">
        <v>1</v>
      </c>
      <c r="F52" s="506"/>
      <c r="G52" s="158">
        <v>1</v>
      </c>
      <c r="H52" s="510" t="str">
        <f t="shared" si="1"/>
        <v>OK</v>
      </c>
      <c r="I52" s="510">
        <f t="shared" si="0"/>
        <v>1</v>
      </c>
    </row>
    <row r="53" spans="2:9" s="158" customFormat="1" ht="15" customHeight="1">
      <c r="B53" s="514">
        <v>35</v>
      </c>
      <c r="C53" s="513">
        <v>35</v>
      </c>
      <c r="D53" s="512" t="s">
        <v>209</v>
      </c>
      <c r="E53" s="511">
        <v>1</v>
      </c>
      <c r="F53" s="506"/>
      <c r="G53" s="158">
        <v>1</v>
      </c>
      <c r="H53" s="510" t="str">
        <f t="shared" si="1"/>
        <v>OK</v>
      </c>
      <c r="I53" s="510">
        <f t="shared" si="0"/>
        <v>1</v>
      </c>
    </row>
    <row r="54" spans="2:9" s="158" customFormat="1" ht="15" customHeight="1">
      <c r="B54" s="514">
        <v>36</v>
      </c>
      <c r="C54" s="513">
        <v>36</v>
      </c>
      <c r="D54" s="512" t="s">
        <v>210</v>
      </c>
      <c r="E54" s="511">
        <v>2</v>
      </c>
      <c r="F54" s="506"/>
      <c r="G54" s="158">
        <v>1</v>
      </c>
      <c r="H54" s="510" t="str">
        <f t="shared" si="1"/>
        <v>OK</v>
      </c>
      <c r="I54" s="510">
        <f t="shared" si="0"/>
        <v>1</v>
      </c>
    </row>
    <row r="55" spans="2:9" s="158" customFormat="1" ht="2.25" customHeight="1" thickBot="1">
      <c r="B55" s="576">
        <v>1</v>
      </c>
      <c r="C55" s="509"/>
      <c r="D55" s="508"/>
      <c r="E55" s="507"/>
      <c r="F55" s="506"/>
    </row>
    <row r="56" spans="2:9" ht="15.75" thickTop="1"/>
  </sheetData>
  <dataConsolidate/>
  <mergeCells count="3">
    <mergeCell ref="H16:I17"/>
    <mergeCell ref="B16:B17"/>
    <mergeCell ref="D16:E16"/>
  </mergeCells>
  <conditionalFormatting sqref="B19:E54">
    <cfRule type="expression" dxfId="2986" priority="51" stopIfTrue="1">
      <formula>MOD(ROW(),2)</formula>
    </cfRule>
  </conditionalFormatting>
  <conditionalFormatting sqref="H19:H54">
    <cfRule type="cellIs" dxfId="2985" priority="2" operator="equal">
      <formula>"OK"</formula>
    </cfRule>
    <cfRule type="cellIs" dxfId="2984" priority="3" operator="equal">
      <formula>"REPETIDO"</formula>
    </cfRule>
    <cfRule type="cellIs" dxfId="2983" priority="50" operator="equal">
      <formula>"NOMBRE REPETIDO"</formula>
    </cfRule>
  </conditionalFormatting>
  <conditionalFormatting sqref="I19:I54">
    <cfRule type="cellIs" dxfId="2982" priority="1" operator="greaterThan">
      <formula>0</formula>
    </cfRule>
    <cfRule type="cellIs" dxfId="2981" priority="15" operator="greaterThan">
      <formula>1</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colBreaks count="2" manualBreakCount="2">
    <brk id="14" max="1048575" man="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59999389629810485"/>
  </sheetPr>
  <dimension ref="A1:CS217"/>
  <sheetViews>
    <sheetView topLeftCell="A7" zoomScaleNormal="100" workbookViewId="0">
      <selection activeCell="E23" sqref="E23"/>
    </sheetView>
  </sheetViews>
  <sheetFormatPr baseColWidth="10" defaultColWidth="10.140625" defaultRowHeight="15.75"/>
  <cols>
    <col min="1" max="2" width="1.7109375" style="527" customWidth="1"/>
    <col min="3" max="3" width="5.7109375" style="526" hidden="1" customWidth="1"/>
    <col min="4" max="4" width="9.5703125" style="524" customWidth="1"/>
    <col min="5" max="5" width="48.140625" style="524" customWidth="1"/>
    <col min="6" max="6" width="27.7109375" style="525" customWidth="1"/>
    <col min="7" max="7" width="23.140625" style="524" customWidth="1"/>
    <col min="8" max="16384" width="10.140625" style="524"/>
  </cols>
  <sheetData>
    <row r="1" spans="1:97" s="532" customFormat="1" ht="18" customHeight="1">
      <c r="A1" s="527"/>
      <c r="C1" s="546"/>
      <c r="D1" s="578" t="str">
        <f>PRESUPUESTOS!B1</f>
        <v>INSTITUTO NACIONAL DE VÍAS</v>
      </c>
      <c r="E1" s="579"/>
      <c r="F1" s="579"/>
      <c r="G1" s="548"/>
      <c r="H1" s="524"/>
      <c r="I1" s="524"/>
      <c r="J1" s="524"/>
      <c r="K1" s="524"/>
      <c r="L1" s="524"/>
      <c r="M1" s="524"/>
      <c r="N1" s="524"/>
      <c r="O1" s="524"/>
      <c r="P1" s="524"/>
      <c r="Q1" s="524"/>
      <c r="R1" s="524"/>
      <c r="S1" s="524"/>
      <c r="T1" s="524"/>
      <c r="U1" s="524"/>
      <c r="V1" s="524"/>
      <c r="W1" s="524"/>
      <c r="X1" s="524"/>
      <c r="Y1" s="524"/>
      <c r="Z1" s="524"/>
      <c r="AA1" s="524"/>
      <c r="AB1" s="524"/>
      <c r="AC1" s="524"/>
      <c r="AD1" s="524"/>
      <c r="AE1" s="524"/>
      <c r="AF1" s="524"/>
      <c r="AG1" s="524"/>
      <c r="AH1" s="524"/>
      <c r="AI1" s="524"/>
      <c r="AJ1" s="524"/>
      <c r="AK1" s="524"/>
      <c r="AL1" s="524"/>
      <c r="AM1" s="524"/>
      <c r="AN1" s="524"/>
      <c r="AO1" s="524"/>
      <c r="AP1" s="524"/>
      <c r="AQ1" s="524"/>
      <c r="AR1" s="524"/>
      <c r="AS1" s="524"/>
      <c r="AT1" s="524"/>
      <c r="AU1" s="524"/>
      <c r="AV1" s="524"/>
      <c r="AW1" s="524"/>
      <c r="AX1" s="524"/>
      <c r="AY1" s="524"/>
      <c r="AZ1" s="524"/>
      <c r="BA1" s="524"/>
      <c r="BB1" s="524"/>
      <c r="BC1" s="524"/>
      <c r="BD1" s="524"/>
      <c r="BE1" s="524"/>
      <c r="BF1" s="524"/>
      <c r="BG1" s="524"/>
      <c r="BH1" s="524"/>
      <c r="BI1" s="524"/>
      <c r="BJ1" s="524"/>
      <c r="BK1" s="524"/>
      <c r="BL1" s="524"/>
      <c r="BM1" s="524"/>
      <c r="BN1" s="524"/>
      <c r="BO1" s="524"/>
      <c r="BP1" s="524"/>
      <c r="BQ1" s="524"/>
      <c r="BR1" s="524"/>
      <c r="BS1" s="524"/>
      <c r="BT1" s="524"/>
      <c r="BU1" s="524"/>
      <c r="BV1" s="524"/>
      <c r="BW1" s="524"/>
      <c r="BX1" s="524"/>
      <c r="BY1" s="524"/>
      <c r="BZ1" s="524"/>
      <c r="CA1" s="524"/>
      <c r="CB1" s="524"/>
      <c r="CC1" s="524"/>
      <c r="CD1" s="524"/>
      <c r="CE1" s="524"/>
      <c r="CF1" s="524"/>
      <c r="CG1" s="524"/>
      <c r="CH1" s="524"/>
      <c r="CI1" s="524"/>
      <c r="CJ1" s="524"/>
      <c r="CK1" s="524"/>
      <c r="CL1" s="524"/>
      <c r="CM1" s="524"/>
      <c r="CN1" s="524"/>
      <c r="CO1" s="524"/>
      <c r="CP1" s="524"/>
      <c r="CQ1" s="524"/>
      <c r="CR1" s="524"/>
      <c r="CS1" s="524"/>
    </row>
    <row r="2" spans="1:97" s="532" customFormat="1" ht="6.75" customHeight="1">
      <c r="A2" s="527"/>
      <c r="B2" s="524"/>
      <c r="D2" s="578"/>
      <c r="E2" s="577"/>
      <c r="F2" s="577"/>
      <c r="G2" s="547"/>
      <c r="H2" s="524"/>
      <c r="I2" s="524"/>
      <c r="J2" s="524"/>
      <c r="K2" s="524"/>
      <c r="L2" s="524"/>
      <c r="M2" s="524"/>
      <c r="N2" s="524"/>
      <c r="O2" s="524"/>
      <c r="P2" s="524"/>
      <c r="Q2" s="524"/>
      <c r="R2" s="524"/>
      <c r="S2" s="524"/>
      <c r="T2" s="524"/>
      <c r="U2" s="524"/>
      <c r="V2" s="524"/>
      <c r="W2" s="524"/>
      <c r="X2" s="524"/>
      <c r="Y2" s="524"/>
      <c r="Z2" s="524"/>
      <c r="AA2" s="524"/>
      <c r="AB2" s="524"/>
      <c r="AC2" s="524"/>
      <c r="AD2" s="524"/>
      <c r="AE2" s="524"/>
      <c r="AF2" s="524"/>
      <c r="AG2" s="524"/>
      <c r="AH2" s="524"/>
      <c r="AI2" s="524"/>
      <c r="AJ2" s="524"/>
      <c r="AK2" s="524"/>
      <c r="AL2" s="524"/>
      <c r="AM2" s="524"/>
      <c r="AN2" s="524"/>
      <c r="AO2" s="524"/>
      <c r="AP2" s="524"/>
      <c r="AQ2" s="524"/>
      <c r="AR2" s="524"/>
      <c r="AS2" s="524"/>
      <c r="AT2" s="524"/>
      <c r="AU2" s="524"/>
      <c r="AV2" s="524"/>
      <c r="AW2" s="524"/>
      <c r="AX2" s="524"/>
      <c r="AY2" s="524"/>
      <c r="AZ2" s="524"/>
      <c r="BA2" s="524"/>
      <c r="BB2" s="524"/>
      <c r="BC2" s="524"/>
      <c r="BD2" s="524"/>
      <c r="BE2" s="524"/>
      <c r="BF2" s="524"/>
      <c r="BG2" s="524"/>
      <c r="BH2" s="524"/>
      <c r="BI2" s="524"/>
      <c r="BJ2" s="524"/>
      <c r="BK2" s="524"/>
      <c r="BL2" s="524"/>
      <c r="BM2" s="524"/>
      <c r="BN2" s="524"/>
      <c r="BO2" s="524"/>
      <c r="BP2" s="524"/>
      <c r="BQ2" s="524"/>
      <c r="BR2" s="524"/>
      <c r="BS2" s="524"/>
      <c r="BT2" s="524"/>
      <c r="BU2" s="524"/>
      <c r="BV2" s="524"/>
      <c r="BW2" s="524"/>
      <c r="BX2" s="524"/>
      <c r="BY2" s="524"/>
      <c r="BZ2" s="524"/>
      <c r="CA2" s="524"/>
      <c r="CB2" s="524"/>
      <c r="CC2" s="524"/>
      <c r="CD2" s="524"/>
      <c r="CE2" s="524"/>
      <c r="CF2" s="524"/>
      <c r="CG2" s="524"/>
      <c r="CH2" s="524"/>
      <c r="CI2" s="524"/>
      <c r="CJ2" s="524"/>
      <c r="CK2" s="524"/>
      <c r="CL2" s="524"/>
      <c r="CM2" s="524"/>
      <c r="CN2" s="524"/>
      <c r="CO2" s="524"/>
      <c r="CP2" s="524"/>
      <c r="CQ2" s="524"/>
      <c r="CR2" s="524"/>
      <c r="CS2" s="524"/>
    </row>
    <row r="3" spans="1:97" s="532" customFormat="1" ht="18" customHeight="1">
      <c r="A3" s="527"/>
      <c r="B3" s="524"/>
      <c r="C3" s="546"/>
      <c r="D3" s="578" t="str">
        <f>PRESUPUESTOS!B3</f>
        <v>CONCURSO DE MÉRITOS ABIERTO</v>
      </c>
      <c r="E3" s="548"/>
      <c r="F3" s="548"/>
      <c r="G3" s="548"/>
      <c r="H3" s="524"/>
      <c r="I3" s="524"/>
      <c r="J3" s="524"/>
      <c r="K3" s="524"/>
      <c r="L3" s="524"/>
      <c r="M3" s="524"/>
      <c r="N3" s="524"/>
      <c r="O3" s="524"/>
      <c r="P3" s="524"/>
      <c r="Q3" s="524"/>
      <c r="R3" s="524"/>
      <c r="S3" s="524"/>
      <c r="T3" s="524"/>
      <c r="U3" s="524"/>
      <c r="V3" s="524"/>
      <c r="W3" s="524"/>
      <c r="X3" s="524"/>
      <c r="Y3" s="524"/>
      <c r="Z3" s="524"/>
      <c r="AA3" s="524"/>
      <c r="AB3" s="524"/>
      <c r="AC3" s="524"/>
      <c r="AD3" s="524"/>
      <c r="AE3" s="524"/>
      <c r="AF3" s="524"/>
      <c r="AG3" s="524"/>
      <c r="AH3" s="524"/>
      <c r="AI3" s="524"/>
      <c r="AJ3" s="524"/>
      <c r="AK3" s="524"/>
      <c r="AL3" s="524"/>
      <c r="AM3" s="524"/>
      <c r="AN3" s="524"/>
      <c r="AO3" s="524"/>
      <c r="AP3" s="524"/>
      <c r="AQ3" s="524"/>
      <c r="AR3" s="524"/>
      <c r="AS3" s="524"/>
      <c r="AT3" s="524"/>
      <c r="AU3" s="524"/>
      <c r="AV3" s="524"/>
      <c r="AW3" s="524"/>
      <c r="AX3" s="524"/>
      <c r="AY3" s="524"/>
      <c r="AZ3" s="524"/>
      <c r="BA3" s="524"/>
      <c r="BB3" s="524"/>
      <c r="BC3" s="524"/>
      <c r="BD3" s="524"/>
      <c r="BE3" s="524"/>
      <c r="BF3" s="524"/>
      <c r="BG3" s="524"/>
      <c r="BH3" s="524"/>
      <c r="BI3" s="524"/>
      <c r="BJ3" s="524"/>
      <c r="BK3" s="524"/>
      <c r="BL3" s="524"/>
      <c r="BM3" s="524"/>
      <c r="BN3" s="524"/>
      <c r="BO3" s="524"/>
      <c r="BP3" s="524"/>
      <c r="BQ3" s="524"/>
      <c r="BR3" s="524"/>
      <c r="BS3" s="524"/>
      <c r="BT3" s="524"/>
      <c r="BU3" s="524"/>
      <c r="BV3" s="524"/>
      <c r="BW3" s="524"/>
      <c r="BX3" s="524"/>
      <c r="BY3" s="524"/>
      <c r="BZ3" s="524"/>
      <c r="CA3" s="524"/>
      <c r="CB3" s="524"/>
      <c r="CC3" s="524"/>
      <c r="CD3" s="524"/>
      <c r="CE3" s="524"/>
      <c r="CF3" s="524"/>
      <c r="CG3" s="524"/>
      <c r="CH3" s="524"/>
      <c r="CI3" s="524"/>
      <c r="CJ3" s="524"/>
      <c r="CK3" s="524"/>
      <c r="CL3" s="524"/>
      <c r="CM3" s="524"/>
      <c r="CN3" s="524"/>
      <c r="CO3" s="524"/>
      <c r="CP3" s="524"/>
      <c r="CQ3" s="524"/>
      <c r="CR3" s="524"/>
      <c r="CS3" s="524"/>
    </row>
    <row r="4" spans="1:97" s="532" customFormat="1" ht="15.75" customHeight="1">
      <c r="A4" s="527"/>
      <c r="B4" s="524"/>
      <c r="C4" s="546"/>
      <c r="D4" s="578" t="str">
        <f>PRESUPUESTOS!B4</f>
        <v>CONCURSO DE MERITOS CMA-DO-SRN-100-2019</v>
      </c>
      <c r="E4" s="548"/>
      <c r="F4" s="548"/>
      <c r="G4" s="548"/>
      <c r="H4" s="524"/>
      <c r="I4" s="524"/>
      <c r="J4" s="524"/>
      <c r="K4" s="524"/>
      <c r="L4" s="524"/>
      <c r="M4" s="524"/>
      <c r="N4" s="524"/>
      <c r="O4" s="524"/>
      <c r="P4" s="524"/>
      <c r="Q4" s="524"/>
      <c r="R4" s="524"/>
      <c r="S4" s="524"/>
      <c r="T4" s="524"/>
      <c r="U4" s="524"/>
      <c r="V4" s="524"/>
      <c r="W4" s="524"/>
      <c r="X4" s="524"/>
      <c r="Y4" s="524"/>
      <c r="Z4" s="524"/>
      <c r="AA4" s="524"/>
      <c r="AB4" s="524"/>
      <c r="AC4" s="524"/>
      <c r="AD4" s="524"/>
      <c r="AE4" s="524"/>
      <c r="AF4" s="524"/>
      <c r="AG4" s="524"/>
      <c r="AH4" s="524"/>
      <c r="AI4" s="524"/>
      <c r="AJ4" s="524"/>
      <c r="AK4" s="524"/>
      <c r="AL4" s="524"/>
      <c r="AM4" s="524"/>
      <c r="AN4" s="524"/>
      <c r="AO4" s="524"/>
      <c r="AP4" s="524"/>
      <c r="AQ4" s="524"/>
      <c r="AR4" s="524"/>
      <c r="AS4" s="524"/>
      <c r="AT4" s="524"/>
      <c r="AU4" s="524"/>
      <c r="AV4" s="524"/>
      <c r="AW4" s="524"/>
      <c r="AX4" s="524"/>
      <c r="AY4" s="524"/>
      <c r="AZ4" s="524"/>
      <c r="BA4" s="524"/>
      <c r="BB4" s="524"/>
      <c r="BC4" s="524"/>
      <c r="BD4" s="524"/>
      <c r="BE4" s="524"/>
      <c r="BF4" s="524"/>
      <c r="BG4" s="524"/>
      <c r="BH4" s="524"/>
      <c r="BI4" s="524"/>
      <c r="BJ4" s="524"/>
      <c r="BK4" s="524"/>
      <c r="BL4" s="524"/>
      <c r="BM4" s="524"/>
      <c r="BN4" s="524"/>
      <c r="BO4" s="524"/>
      <c r="BP4" s="524"/>
      <c r="BQ4" s="524"/>
      <c r="BR4" s="524"/>
      <c r="BS4" s="524"/>
      <c r="BT4" s="524"/>
      <c r="BU4" s="524"/>
      <c r="BV4" s="524"/>
      <c r="BW4" s="524"/>
      <c r="BX4" s="524"/>
      <c r="BY4" s="524"/>
      <c r="BZ4" s="524"/>
      <c r="CA4" s="524"/>
      <c r="CB4" s="524"/>
      <c r="CC4" s="524"/>
      <c r="CD4" s="524"/>
      <c r="CE4" s="524"/>
      <c r="CF4" s="524"/>
      <c r="CG4" s="524"/>
      <c r="CH4" s="524"/>
      <c r="CI4" s="524"/>
      <c r="CJ4" s="524"/>
      <c r="CK4" s="524"/>
      <c r="CL4" s="524"/>
      <c r="CM4" s="524"/>
      <c r="CN4" s="524"/>
      <c r="CO4" s="524"/>
      <c r="CP4" s="524"/>
      <c r="CQ4" s="524"/>
      <c r="CR4" s="524"/>
      <c r="CS4" s="524"/>
    </row>
    <row r="5" spans="1:97" s="549" customFormat="1" ht="6.75" customHeight="1">
      <c r="A5" s="527"/>
      <c r="B5" s="550"/>
      <c r="C5" s="546"/>
      <c r="D5" s="578"/>
      <c r="E5" s="547"/>
      <c r="F5" s="547"/>
      <c r="G5" s="547"/>
      <c r="H5" s="550"/>
      <c r="I5" s="550"/>
      <c r="J5" s="550"/>
      <c r="K5" s="550"/>
      <c r="L5" s="550"/>
      <c r="M5" s="550"/>
      <c r="N5" s="550"/>
      <c r="O5" s="550"/>
      <c r="P5" s="550"/>
      <c r="Q5" s="550"/>
      <c r="R5" s="550"/>
      <c r="S5" s="550"/>
      <c r="T5" s="550"/>
      <c r="U5" s="550"/>
      <c r="V5" s="550"/>
      <c r="W5" s="550"/>
      <c r="X5" s="550"/>
      <c r="Y5" s="550"/>
      <c r="Z5" s="550"/>
      <c r="AA5" s="550"/>
      <c r="AB5" s="550"/>
      <c r="AC5" s="550"/>
      <c r="AD5" s="550"/>
      <c r="AE5" s="550"/>
      <c r="AF5" s="550"/>
      <c r="AG5" s="550"/>
      <c r="AH5" s="550"/>
      <c r="AI5" s="550"/>
      <c r="AJ5" s="550"/>
      <c r="AK5" s="550"/>
      <c r="AL5" s="550"/>
      <c r="AM5" s="550"/>
      <c r="AN5" s="550"/>
      <c r="AO5" s="550"/>
      <c r="AP5" s="550"/>
      <c r="AQ5" s="550"/>
      <c r="AR5" s="550"/>
      <c r="AS5" s="550"/>
      <c r="AT5" s="550"/>
      <c r="AU5" s="550"/>
      <c r="AV5" s="550"/>
      <c r="AW5" s="550"/>
      <c r="AX5" s="550"/>
      <c r="AY5" s="550"/>
      <c r="AZ5" s="550"/>
      <c r="BA5" s="550"/>
      <c r="BB5" s="550"/>
      <c r="BC5" s="550"/>
      <c r="BD5" s="550"/>
      <c r="BE5" s="550"/>
      <c r="BF5" s="550"/>
      <c r="BG5" s="550"/>
      <c r="BH5" s="550"/>
      <c r="BI5" s="550"/>
      <c r="BJ5" s="550"/>
      <c r="BK5" s="550"/>
      <c r="BL5" s="550"/>
      <c r="BM5" s="550"/>
      <c r="BN5" s="550"/>
      <c r="BO5" s="550"/>
      <c r="BP5" s="550"/>
      <c r="BQ5" s="550"/>
      <c r="BR5" s="550"/>
      <c r="BS5" s="550"/>
      <c r="BT5" s="550"/>
      <c r="BU5" s="550"/>
      <c r="BV5" s="550"/>
      <c r="BW5" s="550"/>
      <c r="BX5" s="550"/>
      <c r="BY5" s="550"/>
      <c r="BZ5" s="550"/>
      <c r="CA5" s="550"/>
      <c r="CB5" s="550"/>
      <c r="CC5" s="550"/>
      <c r="CD5" s="550"/>
      <c r="CE5" s="550"/>
      <c r="CF5" s="550"/>
      <c r="CG5" s="550"/>
      <c r="CH5" s="550"/>
      <c r="CI5" s="550"/>
      <c r="CJ5" s="550"/>
      <c r="CK5" s="550"/>
      <c r="CL5" s="550"/>
      <c r="CM5" s="550"/>
      <c r="CN5" s="550"/>
      <c r="CO5" s="550"/>
      <c r="CP5" s="550"/>
      <c r="CQ5" s="550"/>
      <c r="CR5" s="550"/>
      <c r="CS5" s="550"/>
    </row>
    <row r="6" spans="1:97" s="549" customFormat="1" ht="42" customHeight="1">
      <c r="A6" s="527"/>
      <c r="B6" s="550"/>
      <c r="C6" s="546"/>
      <c r="D6" s="580" t="str">
        <f>PRESUPUESTOS!B6</f>
        <v>ADMINISTRACIÓN VIAL DE LAS CARRETERAS A CARGO DE LA TERRITORIAL SANTANDER</v>
      </c>
      <c r="E6" s="548"/>
      <c r="F6" s="548"/>
      <c r="G6" s="548"/>
      <c r="H6" s="550"/>
      <c r="I6" s="550"/>
      <c r="J6" s="550"/>
      <c r="K6" s="550"/>
      <c r="L6" s="550"/>
      <c r="M6" s="550"/>
      <c r="N6" s="550"/>
      <c r="O6" s="550"/>
      <c r="P6" s="550"/>
      <c r="Q6" s="550"/>
      <c r="R6" s="550"/>
      <c r="S6" s="550"/>
      <c r="T6" s="550"/>
      <c r="U6" s="550"/>
      <c r="V6" s="550"/>
      <c r="W6" s="550"/>
      <c r="X6" s="550"/>
      <c r="Y6" s="550"/>
      <c r="Z6" s="550"/>
      <c r="AA6" s="550"/>
      <c r="AB6" s="550"/>
      <c r="AC6" s="550"/>
      <c r="AD6" s="550"/>
      <c r="AE6" s="550"/>
      <c r="AF6" s="550"/>
      <c r="AG6" s="550"/>
      <c r="AH6" s="550"/>
      <c r="AI6" s="550"/>
      <c r="AJ6" s="550"/>
      <c r="AK6" s="550"/>
      <c r="AL6" s="550"/>
      <c r="AM6" s="550"/>
      <c r="AN6" s="550"/>
      <c r="AO6" s="550"/>
      <c r="AP6" s="550"/>
      <c r="AQ6" s="550"/>
      <c r="AR6" s="550"/>
      <c r="AS6" s="550"/>
      <c r="AT6" s="550"/>
      <c r="AU6" s="550"/>
      <c r="AV6" s="550"/>
      <c r="AW6" s="550"/>
      <c r="AX6" s="550"/>
      <c r="AY6" s="550"/>
      <c r="AZ6" s="550"/>
      <c r="BA6" s="550"/>
      <c r="BB6" s="550"/>
      <c r="BC6" s="550"/>
      <c r="BD6" s="550"/>
      <c r="BE6" s="550"/>
      <c r="BF6" s="550"/>
      <c r="BG6" s="550"/>
      <c r="BH6" s="550"/>
      <c r="BI6" s="550"/>
      <c r="BJ6" s="550"/>
      <c r="BK6" s="550"/>
      <c r="BL6" s="550"/>
      <c r="BM6" s="550"/>
      <c r="BN6" s="550"/>
      <c r="BO6" s="550"/>
      <c r="BP6" s="550"/>
      <c r="BQ6" s="550"/>
      <c r="BR6" s="550"/>
      <c r="BS6" s="550"/>
      <c r="BT6" s="550"/>
      <c r="BU6" s="550"/>
      <c r="BV6" s="550"/>
      <c r="BW6" s="550"/>
      <c r="BX6" s="550"/>
      <c r="BY6" s="550"/>
      <c r="BZ6" s="550"/>
      <c r="CA6" s="550"/>
      <c r="CB6" s="550"/>
      <c r="CC6" s="550"/>
      <c r="CD6" s="550"/>
      <c r="CE6" s="550"/>
      <c r="CF6" s="550"/>
      <c r="CG6" s="550"/>
      <c r="CH6" s="550"/>
      <c r="CI6" s="550"/>
      <c r="CJ6" s="550"/>
      <c r="CK6" s="550"/>
      <c r="CL6" s="550"/>
      <c r="CM6" s="550"/>
      <c r="CN6" s="550"/>
      <c r="CO6" s="550"/>
      <c r="CP6" s="550"/>
      <c r="CQ6" s="550"/>
      <c r="CR6" s="550"/>
      <c r="CS6" s="550"/>
    </row>
    <row r="7" spans="1:97" s="549" customFormat="1" ht="7.5" customHeight="1">
      <c r="A7" s="527"/>
      <c r="B7" s="550"/>
      <c r="C7" s="546"/>
      <c r="D7" s="580"/>
      <c r="E7" s="548"/>
      <c r="F7" s="548"/>
      <c r="G7" s="548"/>
      <c r="H7" s="550"/>
      <c r="I7" s="550"/>
      <c r="J7" s="550"/>
      <c r="K7" s="550"/>
      <c r="L7" s="550"/>
      <c r="M7" s="550"/>
      <c r="N7" s="550"/>
      <c r="O7" s="550"/>
      <c r="P7" s="550"/>
      <c r="Q7" s="550"/>
      <c r="R7" s="550"/>
      <c r="S7" s="550"/>
      <c r="T7" s="550"/>
      <c r="U7" s="550"/>
      <c r="V7" s="550"/>
      <c r="W7" s="550"/>
      <c r="X7" s="550"/>
      <c r="Y7" s="550"/>
      <c r="Z7" s="550"/>
      <c r="AA7" s="550"/>
      <c r="AB7" s="550"/>
      <c r="AC7" s="550"/>
      <c r="AD7" s="550"/>
      <c r="AE7" s="550"/>
      <c r="AF7" s="550"/>
      <c r="AG7" s="550"/>
      <c r="AH7" s="550"/>
      <c r="AI7" s="550"/>
      <c r="AJ7" s="550"/>
      <c r="AK7" s="550"/>
      <c r="AL7" s="550"/>
      <c r="AM7" s="550"/>
      <c r="AN7" s="550"/>
      <c r="AO7" s="550"/>
      <c r="AP7" s="550"/>
      <c r="AQ7" s="550"/>
      <c r="AR7" s="550"/>
      <c r="AS7" s="550"/>
      <c r="AT7" s="550"/>
      <c r="AU7" s="550"/>
      <c r="AV7" s="550"/>
      <c r="AW7" s="550"/>
      <c r="AX7" s="550"/>
      <c r="AY7" s="550"/>
      <c r="AZ7" s="550"/>
      <c r="BA7" s="550"/>
      <c r="BB7" s="550"/>
      <c r="BC7" s="550"/>
      <c r="BD7" s="550"/>
      <c r="BE7" s="550"/>
      <c r="BF7" s="550"/>
      <c r="BG7" s="550"/>
      <c r="BH7" s="550"/>
      <c r="BI7" s="550"/>
      <c r="BJ7" s="550"/>
      <c r="BK7" s="550"/>
      <c r="BL7" s="550"/>
      <c r="BM7" s="550"/>
      <c r="BN7" s="550"/>
      <c r="BO7" s="550"/>
      <c r="BP7" s="550"/>
      <c r="BQ7" s="550"/>
      <c r="BR7" s="550"/>
      <c r="BS7" s="550"/>
      <c r="BT7" s="550"/>
      <c r="BU7" s="550"/>
      <c r="BV7" s="550"/>
      <c r="BW7" s="550"/>
      <c r="BX7" s="550"/>
      <c r="BY7" s="550"/>
      <c r="BZ7" s="550"/>
      <c r="CA7" s="550"/>
      <c r="CB7" s="550"/>
      <c r="CC7" s="550"/>
      <c r="CD7" s="550"/>
      <c r="CE7" s="550"/>
      <c r="CF7" s="550"/>
      <c r="CG7" s="550"/>
      <c r="CH7" s="550"/>
      <c r="CI7" s="550"/>
      <c r="CJ7" s="550"/>
      <c r="CK7" s="550"/>
      <c r="CL7" s="550"/>
      <c r="CM7" s="550"/>
      <c r="CN7" s="550"/>
      <c r="CO7" s="550"/>
      <c r="CP7" s="550"/>
      <c r="CQ7" s="550"/>
      <c r="CR7" s="550"/>
      <c r="CS7" s="550"/>
    </row>
    <row r="8" spans="1:97" s="549" customFormat="1" ht="7.5" customHeight="1">
      <c r="A8" s="527"/>
      <c r="B8" s="550"/>
      <c r="C8" s="546"/>
      <c r="D8" s="580"/>
      <c r="E8" s="548"/>
      <c r="F8" s="548"/>
      <c r="G8" s="548"/>
      <c r="H8" s="550"/>
      <c r="I8" s="550"/>
      <c r="J8" s="550"/>
      <c r="K8" s="550"/>
      <c r="L8" s="550"/>
      <c r="M8" s="550"/>
      <c r="N8" s="550"/>
      <c r="O8" s="550"/>
      <c r="P8" s="550"/>
      <c r="Q8" s="550"/>
      <c r="R8" s="550"/>
      <c r="S8" s="550"/>
      <c r="T8" s="550"/>
      <c r="U8" s="550"/>
      <c r="V8" s="550"/>
      <c r="W8" s="550"/>
      <c r="X8" s="550"/>
      <c r="Y8" s="550"/>
      <c r="Z8" s="550"/>
      <c r="AA8" s="550"/>
      <c r="AB8" s="550"/>
      <c r="AC8" s="550"/>
      <c r="AD8" s="550"/>
      <c r="AE8" s="550"/>
      <c r="AF8" s="550"/>
      <c r="AG8" s="550"/>
      <c r="AH8" s="550"/>
      <c r="AI8" s="550"/>
      <c r="AJ8" s="550"/>
      <c r="AK8" s="550"/>
      <c r="AL8" s="550"/>
      <c r="AM8" s="550"/>
      <c r="AN8" s="550"/>
      <c r="AO8" s="550"/>
      <c r="AP8" s="550"/>
      <c r="AQ8" s="550"/>
      <c r="AR8" s="550"/>
      <c r="AS8" s="550"/>
      <c r="AT8" s="550"/>
      <c r="AU8" s="550"/>
      <c r="AV8" s="550"/>
      <c r="AW8" s="550"/>
      <c r="AX8" s="550"/>
      <c r="AY8" s="550"/>
      <c r="AZ8" s="550"/>
      <c r="BA8" s="550"/>
      <c r="BB8" s="550"/>
      <c r="BC8" s="550"/>
      <c r="BD8" s="550"/>
      <c r="BE8" s="550"/>
      <c r="BF8" s="550"/>
      <c r="BG8" s="550"/>
      <c r="BH8" s="550"/>
      <c r="BI8" s="550"/>
      <c r="BJ8" s="550"/>
      <c r="BK8" s="550"/>
      <c r="BL8" s="550"/>
      <c r="BM8" s="550"/>
      <c r="BN8" s="550"/>
      <c r="BO8" s="550"/>
      <c r="BP8" s="550"/>
      <c r="BQ8" s="550"/>
      <c r="BR8" s="550"/>
      <c r="BS8" s="550"/>
      <c r="BT8" s="550"/>
      <c r="BU8" s="550"/>
      <c r="BV8" s="550"/>
      <c r="BW8" s="550"/>
      <c r="BX8" s="550"/>
      <c r="BY8" s="550"/>
      <c r="BZ8" s="550"/>
      <c r="CA8" s="550"/>
      <c r="CB8" s="550"/>
      <c r="CC8" s="550"/>
      <c r="CD8" s="550"/>
      <c r="CE8" s="550"/>
      <c r="CF8" s="550"/>
      <c r="CG8" s="550"/>
      <c r="CH8" s="550"/>
      <c r="CI8" s="550"/>
      <c r="CJ8" s="550"/>
      <c r="CK8" s="550"/>
      <c r="CL8" s="550"/>
      <c r="CM8" s="550"/>
      <c r="CN8" s="550"/>
      <c r="CO8" s="550"/>
      <c r="CP8" s="550"/>
      <c r="CQ8" s="550"/>
      <c r="CR8" s="550"/>
      <c r="CS8" s="550"/>
    </row>
    <row r="9" spans="1:97" s="549" customFormat="1" ht="7.5" customHeight="1">
      <c r="A9" s="527"/>
      <c r="B9" s="550"/>
      <c r="C9" s="546"/>
      <c r="D9" s="580"/>
      <c r="E9" s="548"/>
      <c r="F9" s="548"/>
      <c r="G9" s="548"/>
      <c r="H9" s="550"/>
      <c r="I9" s="550"/>
      <c r="J9" s="550"/>
      <c r="K9" s="550"/>
      <c r="L9" s="550"/>
      <c r="M9" s="550"/>
      <c r="N9" s="550"/>
      <c r="O9" s="550"/>
      <c r="P9" s="550"/>
      <c r="Q9" s="550"/>
      <c r="R9" s="550"/>
      <c r="S9" s="550"/>
      <c r="T9" s="550"/>
      <c r="U9" s="550"/>
      <c r="V9" s="550"/>
      <c r="W9" s="550"/>
      <c r="X9" s="550"/>
      <c r="Y9" s="550"/>
      <c r="Z9" s="550"/>
      <c r="AA9" s="550"/>
      <c r="AB9" s="550"/>
      <c r="AC9" s="550"/>
      <c r="AD9" s="550"/>
      <c r="AE9" s="550"/>
      <c r="AF9" s="550"/>
      <c r="AG9" s="550"/>
      <c r="AH9" s="550"/>
      <c r="AI9" s="550"/>
      <c r="AJ9" s="550"/>
      <c r="AK9" s="550"/>
      <c r="AL9" s="550"/>
      <c r="AM9" s="550"/>
      <c r="AN9" s="550"/>
      <c r="AO9" s="550"/>
      <c r="AP9" s="550"/>
      <c r="AQ9" s="550"/>
      <c r="AR9" s="550"/>
      <c r="AS9" s="550"/>
      <c r="AT9" s="550"/>
      <c r="AU9" s="550"/>
      <c r="AV9" s="550"/>
      <c r="AW9" s="550"/>
      <c r="AX9" s="550"/>
      <c r="AY9" s="550"/>
      <c r="AZ9" s="550"/>
      <c r="BA9" s="550"/>
      <c r="BB9" s="550"/>
      <c r="BC9" s="550"/>
      <c r="BD9" s="550"/>
      <c r="BE9" s="550"/>
      <c r="BF9" s="550"/>
      <c r="BG9" s="550"/>
      <c r="BH9" s="550"/>
      <c r="BI9" s="550"/>
      <c r="BJ9" s="550"/>
      <c r="BK9" s="550"/>
      <c r="BL9" s="550"/>
      <c r="BM9" s="550"/>
      <c r="BN9" s="550"/>
      <c r="BO9" s="550"/>
      <c r="BP9" s="550"/>
      <c r="BQ9" s="550"/>
      <c r="BR9" s="550"/>
      <c r="BS9" s="550"/>
      <c r="BT9" s="550"/>
      <c r="BU9" s="550"/>
      <c r="BV9" s="550"/>
      <c r="BW9" s="550"/>
      <c r="BX9" s="550"/>
      <c r="BY9" s="550"/>
      <c r="BZ9" s="550"/>
      <c r="CA9" s="550"/>
      <c r="CB9" s="550"/>
      <c r="CC9" s="550"/>
      <c r="CD9" s="550"/>
      <c r="CE9" s="550"/>
      <c r="CF9" s="550"/>
      <c r="CG9" s="550"/>
      <c r="CH9" s="550"/>
      <c r="CI9" s="550"/>
      <c r="CJ9" s="550"/>
      <c r="CK9" s="550"/>
      <c r="CL9" s="550"/>
      <c r="CM9" s="550"/>
      <c r="CN9" s="550"/>
      <c r="CO9" s="550"/>
      <c r="CP9" s="550"/>
      <c r="CQ9" s="550"/>
      <c r="CR9" s="550"/>
      <c r="CS9" s="550"/>
    </row>
    <row r="10" spans="1:97" s="549" customFormat="1" ht="7.5" customHeight="1">
      <c r="A10" s="527"/>
      <c r="B10" s="550"/>
      <c r="C10" s="546"/>
      <c r="D10" s="580"/>
      <c r="E10" s="548"/>
      <c r="F10" s="548"/>
      <c r="G10" s="548"/>
      <c r="H10" s="550"/>
      <c r="I10" s="550"/>
      <c r="J10" s="550"/>
      <c r="K10" s="550"/>
      <c r="L10" s="550"/>
      <c r="M10" s="550"/>
      <c r="N10" s="550"/>
      <c r="O10" s="550"/>
      <c r="P10" s="550"/>
      <c r="Q10" s="550"/>
      <c r="R10" s="550"/>
      <c r="S10" s="550"/>
      <c r="T10" s="550"/>
      <c r="U10" s="550"/>
      <c r="V10" s="550"/>
      <c r="W10" s="550"/>
      <c r="X10" s="550"/>
      <c r="Y10" s="550"/>
      <c r="Z10" s="550"/>
      <c r="AA10" s="550"/>
      <c r="AB10" s="550"/>
      <c r="AC10" s="550"/>
      <c r="AD10" s="550"/>
      <c r="AE10" s="550"/>
      <c r="AF10" s="550"/>
      <c r="AG10" s="550"/>
      <c r="AH10" s="550"/>
      <c r="AI10" s="550"/>
      <c r="AJ10" s="550"/>
      <c r="AK10" s="550"/>
      <c r="AL10" s="550"/>
      <c r="AM10" s="550"/>
      <c r="AN10" s="550"/>
      <c r="AO10" s="550"/>
      <c r="AP10" s="550"/>
      <c r="AQ10" s="550"/>
      <c r="AR10" s="550"/>
      <c r="AS10" s="550"/>
      <c r="AT10" s="550"/>
      <c r="AU10" s="550"/>
      <c r="AV10" s="550"/>
      <c r="AW10" s="550"/>
      <c r="AX10" s="550"/>
      <c r="AY10" s="550"/>
      <c r="AZ10" s="550"/>
      <c r="BA10" s="550"/>
      <c r="BB10" s="550"/>
      <c r="BC10" s="550"/>
      <c r="BD10" s="550"/>
      <c r="BE10" s="550"/>
      <c r="BF10" s="550"/>
      <c r="BG10" s="550"/>
      <c r="BH10" s="550"/>
      <c r="BI10" s="550"/>
      <c r="BJ10" s="550"/>
      <c r="BK10" s="550"/>
      <c r="BL10" s="550"/>
      <c r="BM10" s="550"/>
      <c r="BN10" s="550"/>
      <c r="BO10" s="550"/>
      <c r="BP10" s="550"/>
      <c r="BQ10" s="550"/>
      <c r="BR10" s="550"/>
      <c r="BS10" s="550"/>
      <c r="BT10" s="550"/>
      <c r="BU10" s="550"/>
      <c r="BV10" s="550"/>
      <c r="BW10" s="550"/>
      <c r="BX10" s="550"/>
      <c r="BY10" s="550"/>
      <c r="BZ10" s="550"/>
      <c r="CA10" s="550"/>
      <c r="CB10" s="550"/>
      <c r="CC10" s="550"/>
      <c r="CD10" s="550"/>
      <c r="CE10" s="550"/>
      <c r="CF10" s="550"/>
      <c r="CG10" s="550"/>
      <c r="CH10" s="550"/>
      <c r="CI10" s="550"/>
      <c r="CJ10" s="550"/>
      <c r="CK10" s="550"/>
      <c r="CL10" s="550"/>
      <c r="CM10" s="550"/>
      <c r="CN10" s="550"/>
      <c r="CO10" s="550"/>
      <c r="CP10" s="550"/>
      <c r="CQ10" s="550"/>
      <c r="CR10" s="550"/>
      <c r="CS10" s="550"/>
    </row>
    <row r="11" spans="1:97" s="532" customFormat="1" ht="11.25" customHeight="1">
      <c r="A11" s="527"/>
      <c r="B11" s="524"/>
      <c r="C11" s="546"/>
      <c r="D11" s="578" t="str">
        <f>PRESUPUESTOS!B7</f>
        <v xml:space="preserve">MODULO </v>
      </c>
      <c r="E11" s="548"/>
      <c r="F11" s="548"/>
      <c r="G11" s="548"/>
      <c r="H11" s="524"/>
      <c r="I11" s="524"/>
      <c r="J11" s="524"/>
      <c r="K11" s="524"/>
      <c r="L11" s="524"/>
      <c r="M11" s="524"/>
      <c r="N11" s="524"/>
      <c r="O11" s="524"/>
      <c r="P11" s="524"/>
      <c r="Q11" s="524"/>
      <c r="R11" s="524"/>
      <c r="S11" s="524"/>
      <c r="T11" s="524"/>
      <c r="U11" s="524"/>
      <c r="V11" s="524"/>
      <c r="W11" s="524"/>
      <c r="X11" s="524"/>
      <c r="Y11" s="524"/>
      <c r="Z11" s="524"/>
      <c r="AA11" s="524"/>
      <c r="AB11" s="524"/>
      <c r="AC11" s="524"/>
      <c r="AD11" s="524"/>
      <c r="AE11" s="524"/>
      <c r="AF11" s="524"/>
      <c r="AG11" s="524"/>
      <c r="AH11" s="524"/>
      <c r="AI11" s="524"/>
      <c r="AJ11" s="524"/>
      <c r="AK11" s="524"/>
      <c r="AL11" s="524"/>
      <c r="AM11" s="524"/>
      <c r="AN11" s="524"/>
      <c r="AO11" s="524"/>
      <c r="AP11" s="524"/>
      <c r="AQ11" s="524"/>
      <c r="AR11" s="524"/>
      <c r="AS11" s="524"/>
      <c r="AT11" s="524"/>
      <c r="AU11" s="524"/>
      <c r="AV11" s="524"/>
      <c r="AW11" s="524"/>
      <c r="AX11" s="524"/>
      <c r="AY11" s="524"/>
      <c r="AZ11" s="524"/>
      <c r="BA11" s="524"/>
      <c r="BB11" s="524"/>
      <c r="BC11" s="524"/>
      <c r="BD11" s="524"/>
      <c r="BE11" s="524"/>
      <c r="BF11" s="524"/>
      <c r="BG11" s="524"/>
      <c r="BH11" s="524"/>
      <c r="BI11" s="524"/>
      <c r="BJ11" s="524"/>
      <c r="BK11" s="524"/>
      <c r="BL11" s="524"/>
      <c r="BM11" s="524"/>
      <c r="BN11" s="524"/>
      <c r="BO11" s="524"/>
      <c r="BP11" s="524"/>
      <c r="BQ11" s="524"/>
      <c r="BR11" s="524"/>
      <c r="BS11" s="524"/>
      <c r="BT11" s="524"/>
      <c r="BU11" s="524"/>
      <c r="BV11" s="524"/>
      <c r="BW11" s="524"/>
      <c r="BX11" s="524"/>
      <c r="BY11" s="524"/>
      <c r="BZ11" s="524"/>
      <c r="CA11" s="524"/>
      <c r="CB11" s="524"/>
      <c r="CC11" s="524"/>
      <c r="CD11" s="524"/>
      <c r="CE11" s="524"/>
      <c r="CF11" s="524"/>
      <c r="CG11" s="524"/>
      <c r="CH11" s="524"/>
      <c r="CI11" s="524"/>
      <c r="CJ11" s="524"/>
      <c r="CK11" s="524"/>
      <c r="CL11" s="524"/>
      <c r="CM11" s="524"/>
      <c r="CN11" s="524"/>
      <c r="CO11" s="524"/>
      <c r="CP11" s="524"/>
      <c r="CQ11" s="524"/>
      <c r="CR11" s="524"/>
      <c r="CS11" s="524"/>
    </row>
    <row r="12" spans="1:97" s="532" customFormat="1" ht="18" hidden="1">
      <c r="A12" s="527"/>
      <c r="B12" s="524"/>
      <c r="C12" s="546"/>
      <c r="D12" s="578"/>
      <c r="E12" s="548"/>
      <c r="F12" s="548"/>
      <c r="G12" s="548"/>
      <c r="H12" s="524"/>
      <c r="I12" s="524"/>
      <c r="J12" s="524"/>
      <c r="K12" s="524"/>
      <c r="L12" s="524"/>
      <c r="M12" s="524"/>
      <c r="N12" s="524"/>
      <c r="O12" s="524"/>
      <c r="P12" s="524"/>
      <c r="Q12" s="524"/>
      <c r="R12" s="524"/>
      <c r="S12" s="524"/>
      <c r="T12" s="524"/>
      <c r="U12" s="524"/>
      <c r="V12" s="524"/>
      <c r="W12" s="524"/>
      <c r="X12" s="524"/>
      <c r="Y12" s="524"/>
      <c r="Z12" s="524"/>
      <c r="AA12" s="524"/>
      <c r="AB12" s="524"/>
      <c r="AC12" s="524"/>
      <c r="AD12" s="524"/>
      <c r="AE12" s="524"/>
      <c r="AF12" s="524"/>
      <c r="AG12" s="524"/>
      <c r="AH12" s="524"/>
      <c r="AI12" s="524"/>
      <c r="AJ12" s="524"/>
      <c r="AK12" s="524"/>
      <c r="AL12" s="524"/>
      <c r="AM12" s="524"/>
      <c r="AN12" s="524"/>
      <c r="AO12" s="524"/>
      <c r="AP12" s="524"/>
      <c r="AQ12" s="524"/>
      <c r="AR12" s="524"/>
      <c r="AS12" s="524"/>
      <c r="AT12" s="524"/>
      <c r="AU12" s="524"/>
      <c r="AV12" s="524"/>
      <c r="AW12" s="524"/>
      <c r="AX12" s="524"/>
      <c r="AY12" s="524"/>
      <c r="AZ12" s="524"/>
      <c r="BA12" s="524"/>
      <c r="BB12" s="524"/>
      <c r="BC12" s="524"/>
      <c r="BD12" s="524"/>
      <c r="BE12" s="524"/>
      <c r="BF12" s="524"/>
      <c r="BG12" s="524"/>
      <c r="BH12" s="524"/>
      <c r="BI12" s="524"/>
      <c r="BJ12" s="524"/>
      <c r="BK12" s="524"/>
      <c r="BL12" s="524"/>
      <c r="BM12" s="524"/>
      <c r="BN12" s="524"/>
      <c r="BO12" s="524"/>
      <c r="BP12" s="524"/>
      <c r="BQ12" s="524"/>
      <c r="BR12" s="524"/>
      <c r="BS12" s="524"/>
      <c r="BT12" s="524"/>
      <c r="BU12" s="524"/>
      <c r="BV12" s="524"/>
      <c r="BW12" s="524"/>
      <c r="BX12" s="524"/>
      <c r="BY12" s="524"/>
      <c r="BZ12" s="524"/>
      <c r="CA12" s="524"/>
      <c r="CB12" s="524"/>
      <c r="CC12" s="524"/>
      <c r="CD12" s="524"/>
      <c r="CE12" s="524"/>
      <c r="CF12" s="524"/>
      <c r="CG12" s="524"/>
      <c r="CH12" s="524"/>
      <c r="CI12" s="524"/>
      <c r="CJ12" s="524"/>
      <c r="CK12" s="524"/>
      <c r="CL12" s="524"/>
      <c r="CM12" s="524"/>
      <c r="CN12" s="524"/>
      <c r="CO12" s="524"/>
      <c r="CP12" s="524"/>
      <c r="CQ12" s="524"/>
      <c r="CR12" s="524"/>
      <c r="CS12" s="524"/>
    </row>
    <row r="13" spans="1:97" s="532" customFormat="1" ht="18" hidden="1">
      <c r="A13" s="527"/>
      <c r="B13" s="524"/>
      <c r="C13" s="546"/>
      <c r="D13" s="578"/>
      <c r="E13" s="548"/>
      <c r="F13" s="548"/>
      <c r="G13" s="548"/>
      <c r="H13" s="524"/>
      <c r="I13" s="524"/>
      <c r="J13" s="524"/>
      <c r="K13" s="524"/>
      <c r="L13" s="524"/>
      <c r="M13" s="524"/>
      <c r="N13" s="524"/>
      <c r="O13" s="524"/>
      <c r="P13" s="524"/>
      <c r="Q13" s="524"/>
      <c r="R13" s="524"/>
      <c r="S13" s="524"/>
      <c r="T13" s="524"/>
      <c r="U13" s="524"/>
      <c r="V13" s="524"/>
      <c r="W13" s="524"/>
      <c r="X13" s="524"/>
      <c r="Y13" s="524"/>
      <c r="Z13" s="524"/>
      <c r="AA13" s="524"/>
      <c r="AB13" s="524"/>
      <c r="AC13" s="524"/>
      <c r="AD13" s="524"/>
      <c r="AE13" s="524"/>
      <c r="AF13" s="524"/>
      <c r="AG13" s="524"/>
      <c r="AH13" s="524"/>
      <c r="AI13" s="524"/>
      <c r="AJ13" s="524"/>
      <c r="AK13" s="524"/>
      <c r="AL13" s="524"/>
      <c r="AM13" s="524"/>
      <c r="AN13" s="524"/>
      <c r="AO13" s="524"/>
      <c r="AP13" s="524"/>
      <c r="AQ13" s="524"/>
      <c r="AR13" s="524"/>
      <c r="AS13" s="524"/>
      <c r="AT13" s="524"/>
      <c r="AU13" s="524"/>
      <c r="AV13" s="524"/>
      <c r="AW13" s="524"/>
      <c r="AX13" s="524"/>
      <c r="AY13" s="524"/>
      <c r="AZ13" s="524"/>
      <c r="BA13" s="524"/>
      <c r="BB13" s="524"/>
      <c r="BC13" s="524"/>
      <c r="BD13" s="524"/>
      <c r="BE13" s="524"/>
      <c r="BF13" s="524"/>
      <c r="BG13" s="524"/>
      <c r="BH13" s="524"/>
      <c r="BI13" s="524"/>
      <c r="BJ13" s="524"/>
      <c r="BK13" s="524"/>
      <c r="BL13" s="524"/>
      <c r="BM13" s="524"/>
      <c r="BN13" s="524"/>
      <c r="BO13" s="524"/>
      <c r="BP13" s="524"/>
      <c r="BQ13" s="524"/>
      <c r="BR13" s="524"/>
      <c r="BS13" s="524"/>
      <c r="BT13" s="524"/>
      <c r="BU13" s="524"/>
      <c r="BV13" s="524"/>
      <c r="BW13" s="524"/>
      <c r="BX13" s="524"/>
      <c r="BY13" s="524"/>
      <c r="BZ13" s="524"/>
      <c r="CA13" s="524"/>
      <c r="CB13" s="524"/>
      <c r="CC13" s="524"/>
      <c r="CD13" s="524"/>
      <c r="CE13" s="524"/>
      <c r="CF13" s="524"/>
      <c r="CG13" s="524"/>
      <c r="CH13" s="524"/>
      <c r="CI13" s="524"/>
      <c r="CJ13" s="524"/>
      <c r="CK13" s="524"/>
      <c r="CL13" s="524"/>
      <c r="CM13" s="524"/>
      <c r="CN13" s="524"/>
      <c r="CO13" s="524"/>
      <c r="CP13" s="524"/>
      <c r="CQ13" s="524"/>
      <c r="CR13" s="524"/>
      <c r="CS13" s="524"/>
    </row>
    <row r="14" spans="1:97" s="532" customFormat="1" ht="18" hidden="1">
      <c r="A14" s="527"/>
      <c r="B14" s="524"/>
      <c r="C14" s="546"/>
      <c r="D14" s="578"/>
      <c r="E14" s="548"/>
      <c r="F14" s="548"/>
      <c r="G14" s="548"/>
      <c r="H14" s="524"/>
      <c r="I14" s="524"/>
      <c r="J14" s="524"/>
      <c r="K14" s="524"/>
      <c r="L14" s="524"/>
      <c r="M14" s="524"/>
      <c r="N14" s="524"/>
      <c r="O14" s="524"/>
      <c r="P14" s="524"/>
      <c r="Q14" s="524"/>
      <c r="R14" s="524"/>
      <c r="S14" s="524"/>
      <c r="T14" s="524"/>
      <c r="U14" s="524"/>
      <c r="V14" s="524"/>
      <c r="W14" s="524"/>
      <c r="X14" s="524"/>
      <c r="Y14" s="524"/>
      <c r="Z14" s="524"/>
      <c r="AA14" s="524"/>
      <c r="AB14" s="524"/>
      <c r="AC14" s="524"/>
      <c r="AD14" s="524"/>
      <c r="AE14" s="524"/>
      <c r="AF14" s="524"/>
      <c r="AG14" s="524"/>
      <c r="AH14" s="524"/>
      <c r="AI14" s="524"/>
      <c r="AJ14" s="524"/>
      <c r="AK14" s="524"/>
      <c r="AL14" s="524"/>
      <c r="AM14" s="524"/>
      <c r="AN14" s="524"/>
      <c r="AO14" s="524"/>
      <c r="AP14" s="524"/>
      <c r="AQ14" s="524"/>
      <c r="AR14" s="524"/>
      <c r="AS14" s="524"/>
      <c r="AT14" s="524"/>
      <c r="AU14" s="524"/>
      <c r="AV14" s="524"/>
      <c r="AW14" s="524"/>
      <c r="AX14" s="524"/>
      <c r="AY14" s="524"/>
      <c r="AZ14" s="524"/>
      <c r="BA14" s="524"/>
      <c r="BB14" s="524"/>
      <c r="BC14" s="524"/>
      <c r="BD14" s="524"/>
      <c r="BE14" s="524"/>
      <c r="BF14" s="524"/>
      <c r="BG14" s="524"/>
      <c r="BH14" s="524"/>
      <c r="BI14" s="524"/>
      <c r="BJ14" s="524"/>
      <c r="BK14" s="524"/>
      <c r="BL14" s="524"/>
      <c r="BM14" s="524"/>
      <c r="BN14" s="524"/>
      <c r="BO14" s="524"/>
      <c r="BP14" s="524"/>
      <c r="BQ14" s="524"/>
      <c r="BR14" s="524"/>
      <c r="BS14" s="524"/>
      <c r="BT14" s="524"/>
      <c r="BU14" s="524"/>
      <c r="BV14" s="524"/>
      <c r="BW14" s="524"/>
      <c r="BX14" s="524"/>
      <c r="BY14" s="524"/>
      <c r="BZ14" s="524"/>
      <c r="CA14" s="524"/>
      <c r="CB14" s="524"/>
      <c r="CC14" s="524"/>
      <c r="CD14" s="524"/>
      <c r="CE14" s="524"/>
      <c r="CF14" s="524"/>
      <c r="CG14" s="524"/>
      <c r="CH14" s="524"/>
      <c r="CI14" s="524"/>
      <c r="CJ14" s="524"/>
      <c r="CK14" s="524"/>
      <c r="CL14" s="524"/>
      <c r="CM14" s="524"/>
      <c r="CN14" s="524"/>
      <c r="CO14" s="524"/>
      <c r="CP14" s="524"/>
      <c r="CQ14" s="524"/>
      <c r="CR14" s="524"/>
      <c r="CS14" s="524"/>
    </row>
    <row r="15" spans="1:97" s="532" customFormat="1" ht="18.75" thickBot="1">
      <c r="A15" s="527"/>
      <c r="B15" s="527"/>
      <c r="C15" s="526"/>
      <c r="D15" s="545"/>
      <c r="E15" s="544"/>
      <c r="F15" s="543"/>
      <c r="G15" s="524"/>
      <c r="H15" s="524"/>
      <c r="I15" s="524"/>
      <c r="J15" s="524"/>
      <c r="K15" s="524"/>
      <c r="L15" s="524"/>
      <c r="M15" s="524"/>
      <c r="N15" s="524"/>
      <c r="O15" s="524"/>
      <c r="P15" s="524"/>
      <c r="Q15" s="524"/>
      <c r="R15" s="524"/>
      <c r="S15" s="524"/>
      <c r="T15" s="524"/>
      <c r="U15" s="524"/>
      <c r="V15" s="524"/>
      <c r="W15" s="524"/>
      <c r="X15" s="524"/>
      <c r="Y15" s="524"/>
      <c r="Z15" s="524"/>
      <c r="AA15" s="524"/>
      <c r="AB15" s="524"/>
      <c r="AC15" s="524"/>
      <c r="AD15" s="524"/>
      <c r="AE15" s="524"/>
      <c r="AF15" s="524"/>
      <c r="AG15" s="524"/>
      <c r="AH15" s="524"/>
      <c r="AI15" s="524"/>
      <c r="AJ15" s="524"/>
      <c r="AK15" s="524"/>
      <c r="AL15" s="524"/>
      <c r="AM15" s="524"/>
      <c r="AN15" s="524"/>
      <c r="AO15" s="524"/>
      <c r="AP15" s="524"/>
      <c r="AQ15" s="524"/>
      <c r="AR15" s="524"/>
      <c r="AS15" s="524"/>
      <c r="AT15" s="524"/>
      <c r="AU15" s="524"/>
      <c r="AV15" s="524"/>
      <c r="AW15" s="524"/>
      <c r="AX15" s="524"/>
      <c r="AY15" s="524"/>
      <c r="AZ15" s="524"/>
      <c r="BA15" s="524"/>
      <c r="BB15" s="524"/>
      <c r="BC15" s="524"/>
      <c r="BD15" s="524"/>
      <c r="BE15" s="524"/>
      <c r="BF15" s="524"/>
      <c r="BG15" s="524"/>
      <c r="BH15" s="524"/>
      <c r="BI15" s="524"/>
      <c r="BJ15" s="524"/>
      <c r="BK15" s="524"/>
      <c r="BL15" s="524"/>
      <c r="BM15" s="524"/>
      <c r="BN15" s="524"/>
      <c r="BO15" s="524"/>
      <c r="BP15" s="524"/>
      <c r="BQ15" s="524"/>
      <c r="BR15" s="524"/>
      <c r="BS15" s="524"/>
      <c r="BT15" s="524"/>
      <c r="BU15" s="524"/>
      <c r="BV15" s="524"/>
      <c r="BW15" s="524"/>
      <c r="BX15" s="524"/>
      <c r="BY15" s="524"/>
      <c r="BZ15" s="524"/>
      <c r="CA15" s="524"/>
      <c r="CB15" s="524"/>
      <c r="CC15" s="524"/>
      <c r="CD15" s="524"/>
      <c r="CE15" s="524"/>
      <c r="CF15" s="524"/>
      <c r="CG15" s="524"/>
      <c r="CH15" s="524"/>
      <c r="CI15" s="524"/>
      <c r="CJ15" s="524"/>
      <c r="CK15" s="524"/>
      <c r="CL15" s="524"/>
      <c r="CM15" s="524"/>
      <c r="CN15" s="524"/>
      <c r="CO15" s="524"/>
      <c r="CP15" s="524"/>
      <c r="CQ15" s="524"/>
      <c r="CR15" s="524"/>
      <c r="CS15" s="524"/>
    </row>
    <row r="16" spans="1:97" s="532" customFormat="1" ht="15.75" customHeight="1" thickTop="1">
      <c r="A16" s="527"/>
      <c r="B16" s="527"/>
      <c r="C16" s="703" t="s">
        <v>156</v>
      </c>
      <c r="D16" s="707" t="s">
        <v>160</v>
      </c>
      <c r="E16" s="709" t="s">
        <v>12</v>
      </c>
      <c r="F16" s="711" t="s">
        <v>159</v>
      </c>
      <c r="G16" s="705" t="s">
        <v>158</v>
      </c>
      <c r="H16" s="524"/>
      <c r="I16" s="524"/>
      <c r="J16" s="524"/>
      <c r="K16" s="524"/>
      <c r="L16" s="524"/>
      <c r="M16" s="524"/>
      <c r="N16" s="524"/>
      <c r="O16" s="524"/>
      <c r="P16" s="524"/>
      <c r="Q16" s="524"/>
      <c r="R16" s="524"/>
      <c r="S16" s="524"/>
      <c r="T16" s="524"/>
      <c r="U16" s="524"/>
      <c r="V16" s="524"/>
      <c r="W16" s="524"/>
      <c r="X16" s="524"/>
      <c r="Y16" s="524"/>
      <c r="Z16" s="524"/>
      <c r="AA16" s="524"/>
      <c r="AB16" s="524"/>
      <c r="AC16" s="524"/>
      <c r="AD16" s="524"/>
      <c r="AE16" s="524"/>
      <c r="AF16" s="524"/>
      <c r="AG16" s="524"/>
      <c r="AH16" s="524"/>
      <c r="AI16" s="524"/>
      <c r="AJ16" s="524"/>
      <c r="AK16" s="524"/>
      <c r="AL16" s="524"/>
      <c r="AM16" s="524"/>
      <c r="AN16" s="524"/>
      <c r="AO16" s="524"/>
      <c r="AP16" s="524"/>
      <c r="AQ16" s="524"/>
      <c r="AR16" s="524"/>
      <c r="AS16" s="524"/>
      <c r="AT16" s="524"/>
      <c r="AU16" s="524"/>
      <c r="AV16" s="524"/>
      <c r="AW16" s="524"/>
      <c r="AX16" s="524"/>
      <c r="AY16" s="524"/>
      <c r="AZ16" s="524"/>
      <c r="BA16" s="524"/>
      <c r="BB16" s="524"/>
      <c r="BC16" s="524"/>
      <c r="BD16" s="524"/>
      <c r="BE16" s="524"/>
      <c r="BF16" s="524"/>
      <c r="BG16" s="524"/>
      <c r="BH16" s="524"/>
      <c r="BI16" s="524"/>
      <c r="BJ16" s="524"/>
      <c r="BK16" s="524"/>
      <c r="BL16" s="524"/>
      <c r="BM16" s="524"/>
      <c r="BN16" s="524"/>
      <c r="BO16" s="524"/>
      <c r="BP16" s="524"/>
      <c r="BQ16" s="524"/>
      <c r="BR16" s="524"/>
      <c r="BS16" s="524"/>
      <c r="BT16" s="524"/>
      <c r="BU16" s="524"/>
      <c r="BV16" s="524"/>
      <c r="BW16" s="524"/>
      <c r="BX16" s="524"/>
      <c r="BY16" s="524"/>
      <c r="BZ16" s="524"/>
      <c r="CA16" s="524"/>
      <c r="CB16" s="524"/>
      <c r="CC16" s="524"/>
      <c r="CD16" s="524"/>
      <c r="CE16" s="524"/>
      <c r="CF16" s="524"/>
      <c r="CG16" s="524"/>
      <c r="CH16" s="524"/>
      <c r="CI16" s="524"/>
      <c r="CJ16" s="524"/>
      <c r="CK16" s="524"/>
      <c r="CL16" s="524"/>
      <c r="CM16" s="524"/>
      <c r="CN16" s="524"/>
      <c r="CO16" s="524"/>
      <c r="CP16" s="524"/>
      <c r="CQ16" s="524"/>
      <c r="CR16" s="524"/>
      <c r="CS16" s="524"/>
    </row>
    <row r="17" spans="1:97" s="532" customFormat="1" ht="15.75" customHeight="1" thickBot="1">
      <c r="A17" s="527"/>
      <c r="B17" s="527"/>
      <c r="C17" s="704"/>
      <c r="D17" s="708" t="s">
        <v>157</v>
      </c>
      <c r="E17" s="710"/>
      <c r="F17" s="712"/>
      <c r="G17" s="706"/>
      <c r="H17" s="524"/>
      <c r="I17" s="524"/>
      <c r="J17" s="524"/>
      <c r="K17" s="524"/>
      <c r="L17" s="524"/>
      <c r="M17" s="524"/>
      <c r="N17" s="524"/>
      <c r="O17" s="524"/>
      <c r="P17" s="524"/>
      <c r="Q17" s="524"/>
      <c r="R17" s="524"/>
      <c r="S17" s="524"/>
      <c r="T17" s="524"/>
      <c r="U17" s="524"/>
      <c r="V17" s="524"/>
      <c r="W17" s="524"/>
      <c r="X17" s="524"/>
      <c r="Y17" s="524"/>
      <c r="Z17" s="524"/>
      <c r="AA17" s="524"/>
      <c r="AB17" s="524"/>
      <c r="AC17" s="524"/>
      <c r="AD17" s="524"/>
      <c r="AE17" s="524"/>
      <c r="AF17" s="524"/>
      <c r="AG17" s="524"/>
      <c r="AH17" s="524"/>
      <c r="AI17" s="524"/>
      <c r="AJ17" s="524"/>
      <c r="AK17" s="524"/>
      <c r="AL17" s="524"/>
      <c r="AM17" s="524"/>
      <c r="AN17" s="524"/>
      <c r="AO17" s="524"/>
      <c r="AP17" s="524"/>
      <c r="AQ17" s="524"/>
      <c r="AR17" s="524"/>
      <c r="AS17" s="524"/>
      <c r="AT17" s="524"/>
      <c r="AU17" s="524"/>
      <c r="AV17" s="524"/>
      <c r="AW17" s="524"/>
      <c r="AX17" s="524"/>
      <c r="AY17" s="524"/>
      <c r="AZ17" s="524"/>
      <c r="BA17" s="524"/>
      <c r="BB17" s="524"/>
      <c r="BC17" s="524"/>
      <c r="BD17" s="524"/>
      <c r="BE17" s="524"/>
      <c r="BF17" s="524"/>
      <c r="BG17" s="524"/>
      <c r="BH17" s="524"/>
      <c r="BI17" s="524"/>
      <c r="BJ17" s="524"/>
      <c r="BK17" s="524"/>
      <c r="BL17" s="524"/>
      <c r="BM17" s="524"/>
      <c r="BN17" s="524"/>
      <c r="BO17" s="524"/>
      <c r="BP17" s="524"/>
      <c r="BQ17" s="524"/>
      <c r="BR17" s="524"/>
      <c r="BS17" s="524"/>
      <c r="BT17" s="524"/>
      <c r="BU17" s="524"/>
      <c r="BV17" s="524"/>
      <c r="BW17" s="524"/>
      <c r="BX17" s="524"/>
      <c r="BY17" s="524"/>
      <c r="BZ17" s="524"/>
      <c r="CA17" s="524"/>
      <c r="CB17" s="524"/>
      <c r="CC17" s="524"/>
      <c r="CD17" s="524"/>
      <c r="CE17" s="524"/>
      <c r="CF17" s="524"/>
      <c r="CG17" s="524"/>
      <c r="CH17" s="524"/>
      <c r="CI17" s="524"/>
      <c r="CJ17" s="524"/>
      <c r="CK17" s="524"/>
      <c r="CL17" s="524"/>
      <c r="CM17" s="524"/>
      <c r="CN17" s="524"/>
      <c r="CO17" s="524"/>
      <c r="CP17" s="524"/>
      <c r="CQ17" s="524"/>
      <c r="CR17" s="524"/>
      <c r="CS17" s="524"/>
    </row>
    <row r="18" spans="1:97" s="532" customFormat="1" ht="4.5" customHeight="1">
      <c r="A18" s="527"/>
      <c r="B18" s="527"/>
      <c r="C18" s="542"/>
      <c r="D18" s="541"/>
      <c r="E18" s="540"/>
      <c r="F18" s="539"/>
      <c r="G18" s="538"/>
      <c r="H18" s="524"/>
      <c r="I18" s="524"/>
      <c r="J18" s="524"/>
      <c r="K18" s="524"/>
      <c r="L18" s="524"/>
      <c r="M18" s="524"/>
      <c r="N18" s="524"/>
      <c r="O18" s="524"/>
      <c r="P18" s="524"/>
      <c r="Q18" s="524"/>
      <c r="R18" s="524"/>
      <c r="S18" s="524"/>
      <c r="T18" s="524"/>
      <c r="U18" s="524"/>
      <c r="V18" s="524"/>
      <c r="W18" s="524"/>
      <c r="X18" s="524"/>
      <c r="Y18" s="524"/>
      <c r="Z18" s="524"/>
      <c r="AA18" s="524"/>
      <c r="AB18" s="524"/>
      <c r="AC18" s="524"/>
      <c r="AD18" s="524"/>
      <c r="AE18" s="524"/>
      <c r="AF18" s="524"/>
      <c r="AG18" s="524"/>
      <c r="AH18" s="524"/>
      <c r="AI18" s="524"/>
      <c r="AJ18" s="524"/>
      <c r="AK18" s="524"/>
      <c r="AL18" s="524"/>
      <c r="AM18" s="524"/>
      <c r="AN18" s="524"/>
      <c r="AO18" s="524"/>
      <c r="AP18" s="524"/>
      <c r="AQ18" s="524"/>
      <c r="AR18" s="524"/>
      <c r="AS18" s="524"/>
      <c r="AT18" s="524"/>
      <c r="AU18" s="524"/>
      <c r="AV18" s="524"/>
      <c r="AW18" s="524"/>
      <c r="AX18" s="524"/>
      <c r="AY18" s="524"/>
      <c r="AZ18" s="524"/>
      <c r="BA18" s="524"/>
      <c r="BB18" s="524"/>
      <c r="BC18" s="524"/>
      <c r="BD18" s="524"/>
      <c r="BE18" s="524"/>
      <c r="BF18" s="524"/>
      <c r="BG18" s="524"/>
      <c r="BH18" s="524"/>
      <c r="BI18" s="524"/>
      <c r="BJ18" s="524"/>
      <c r="BK18" s="524"/>
      <c r="BL18" s="524"/>
      <c r="BM18" s="524"/>
      <c r="BN18" s="524"/>
      <c r="BO18" s="524"/>
      <c r="BP18" s="524"/>
      <c r="BQ18" s="524"/>
      <c r="BR18" s="524"/>
      <c r="BS18" s="524"/>
      <c r="BT18" s="524"/>
      <c r="BU18" s="524"/>
      <c r="BV18" s="524"/>
      <c r="BW18" s="524"/>
      <c r="BX18" s="524"/>
      <c r="BY18" s="524"/>
      <c r="BZ18" s="524"/>
      <c r="CA18" s="524"/>
      <c r="CB18" s="524"/>
      <c r="CC18" s="524"/>
      <c r="CD18" s="524"/>
      <c r="CE18" s="524"/>
      <c r="CF18" s="524"/>
      <c r="CG18" s="524"/>
      <c r="CH18" s="524"/>
      <c r="CI18" s="524"/>
      <c r="CJ18" s="524"/>
      <c r="CK18" s="524"/>
      <c r="CL18" s="524"/>
      <c r="CM18" s="524"/>
      <c r="CN18" s="524"/>
      <c r="CO18" s="524"/>
      <c r="CP18" s="524"/>
      <c r="CQ18" s="524"/>
      <c r="CR18" s="524"/>
      <c r="CS18" s="524"/>
    </row>
    <row r="19" spans="1:97" s="532" customFormat="1" ht="15.75" customHeight="1">
      <c r="A19" s="527"/>
      <c r="B19" s="527"/>
      <c r="C19" s="537">
        <v>1</v>
      </c>
      <c r="D19" s="536">
        <f>IF(VLOOKUP(C19,PROPONENTES!$B$19:$E$54,2,FALSE)="","",VLOOKUP(C19,PROPONENTES!$B$19:$E$54,2,FALSE))</f>
        <v>1</v>
      </c>
      <c r="E19" s="535" t="str">
        <f>IF(D19="","",IF(D19-INT(D19)&gt;1,"",VLOOKUP(D19,PROPONENTES!$C$19:$D$54,2,FALSE)))</f>
        <v>CONSORCIO C &amp; J</v>
      </c>
      <c r="F19" s="562">
        <f>SUM(F20:F21)</f>
        <v>1</v>
      </c>
      <c r="G19" s="533"/>
      <c r="H19" s="524"/>
      <c r="I19" s="524"/>
      <c r="J19" s="524"/>
      <c r="K19" s="524"/>
      <c r="L19" s="524"/>
      <c r="M19" s="524"/>
      <c r="N19" s="524"/>
      <c r="O19" s="524"/>
      <c r="P19" s="524"/>
      <c r="Q19" s="524"/>
      <c r="R19" s="524"/>
      <c r="S19" s="524"/>
      <c r="T19" s="524"/>
      <c r="U19" s="524"/>
      <c r="V19" s="524"/>
      <c r="W19" s="524"/>
      <c r="X19" s="524"/>
      <c r="Y19" s="524"/>
      <c r="Z19" s="524"/>
      <c r="AA19" s="524"/>
      <c r="AB19" s="524"/>
      <c r="AC19" s="524"/>
      <c r="AD19" s="524"/>
      <c r="AE19" s="524"/>
      <c r="AF19" s="524"/>
      <c r="AG19" s="524"/>
      <c r="AH19" s="524"/>
      <c r="AI19" s="524"/>
      <c r="AJ19" s="524"/>
      <c r="AK19" s="524"/>
      <c r="AL19" s="524"/>
      <c r="AM19" s="524"/>
      <c r="AN19" s="524"/>
      <c r="AO19" s="524"/>
      <c r="AP19" s="524"/>
      <c r="AQ19" s="524"/>
      <c r="AR19" s="524"/>
      <c r="AS19" s="524"/>
      <c r="AT19" s="524"/>
      <c r="AU19" s="524"/>
      <c r="AV19" s="524"/>
      <c r="AW19" s="524"/>
      <c r="AX19" s="524"/>
      <c r="AY19" s="524"/>
      <c r="AZ19" s="524"/>
      <c r="BA19" s="524"/>
      <c r="BB19" s="524"/>
      <c r="BC19" s="524"/>
      <c r="BD19" s="524"/>
      <c r="BE19" s="524"/>
      <c r="BF19" s="524"/>
      <c r="BG19" s="524"/>
      <c r="BH19" s="524"/>
      <c r="BI19" s="524"/>
      <c r="BJ19" s="524"/>
      <c r="BK19" s="524"/>
      <c r="BL19" s="524"/>
      <c r="BM19" s="524"/>
      <c r="BN19" s="524"/>
      <c r="BO19" s="524"/>
      <c r="BP19" s="524"/>
      <c r="BQ19" s="524"/>
      <c r="BR19" s="524"/>
      <c r="BS19" s="524"/>
      <c r="BT19" s="524"/>
      <c r="BU19" s="524"/>
      <c r="BV19" s="524"/>
      <c r="BW19" s="524"/>
      <c r="BX19" s="524"/>
      <c r="BY19" s="524"/>
      <c r="BZ19" s="524"/>
      <c r="CA19" s="524"/>
      <c r="CB19" s="524"/>
      <c r="CC19" s="524"/>
      <c r="CD19" s="524"/>
      <c r="CE19" s="524"/>
      <c r="CF19" s="524"/>
      <c r="CG19" s="524"/>
      <c r="CH19" s="524"/>
      <c r="CI19" s="524"/>
      <c r="CJ19" s="524"/>
      <c r="CK19" s="524"/>
      <c r="CL19" s="524"/>
      <c r="CM19" s="524"/>
      <c r="CN19" s="524"/>
      <c r="CO19" s="524"/>
      <c r="CP19" s="524"/>
      <c r="CQ19" s="524"/>
      <c r="CR19" s="524"/>
      <c r="CS19" s="524"/>
    </row>
    <row r="20" spans="1:97" s="532" customFormat="1" ht="15.75" customHeight="1">
      <c r="A20" s="527"/>
      <c r="B20" s="527"/>
      <c r="C20" s="537"/>
      <c r="D20" s="536">
        <v>1.1000000000000001</v>
      </c>
      <c r="E20" s="535" t="s">
        <v>214</v>
      </c>
      <c r="F20" s="562">
        <v>0.6</v>
      </c>
      <c r="G20" s="533"/>
      <c r="H20" s="524"/>
      <c r="I20" s="524"/>
      <c r="J20" s="524"/>
      <c r="K20" s="524"/>
      <c r="L20" s="524"/>
      <c r="M20" s="524"/>
      <c r="N20" s="524"/>
      <c r="O20" s="524"/>
      <c r="P20" s="524"/>
      <c r="Q20" s="524"/>
      <c r="R20" s="524"/>
      <c r="S20" s="524"/>
      <c r="T20" s="524"/>
      <c r="U20" s="524"/>
      <c r="V20" s="524"/>
      <c r="W20" s="524"/>
      <c r="X20" s="524"/>
      <c r="Y20" s="524"/>
      <c r="Z20" s="524"/>
      <c r="AA20" s="524"/>
      <c r="AB20" s="524"/>
      <c r="AC20" s="524"/>
      <c r="AD20" s="524"/>
      <c r="AE20" s="524"/>
      <c r="AF20" s="524"/>
      <c r="AG20" s="524"/>
      <c r="AH20" s="524"/>
      <c r="AI20" s="524"/>
      <c r="AJ20" s="524"/>
      <c r="AK20" s="524"/>
      <c r="AL20" s="524"/>
      <c r="AM20" s="524"/>
      <c r="AN20" s="524"/>
      <c r="AO20" s="524"/>
      <c r="AP20" s="524"/>
      <c r="AQ20" s="524"/>
      <c r="AR20" s="524"/>
      <c r="AS20" s="524"/>
      <c r="AT20" s="524"/>
      <c r="AU20" s="524"/>
      <c r="AV20" s="524"/>
      <c r="AW20" s="524"/>
      <c r="AX20" s="524"/>
      <c r="AY20" s="524"/>
      <c r="AZ20" s="524"/>
      <c r="BA20" s="524"/>
      <c r="BB20" s="524"/>
      <c r="BC20" s="524"/>
      <c r="BD20" s="524"/>
      <c r="BE20" s="524"/>
      <c r="BF20" s="524"/>
      <c r="BG20" s="524"/>
      <c r="BH20" s="524"/>
      <c r="BI20" s="524"/>
      <c r="BJ20" s="524"/>
      <c r="BK20" s="524"/>
      <c r="BL20" s="524"/>
      <c r="BM20" s="524"/>
      <c r="BN20" s="524"/>
      <c r="BO20" s="524"/>
      <c r="BP20" s="524"/>
      <c r="BQ20" s="524"/>
      <c r="BR20" s="524"/>
      <c r="BS20" s="524"/>
      <c r="BT20" s="524"/>
      <c r="BU20" s="524"/>
      <c r="BV20" s="524"/>
      <c r="BW20" s="524"/>
      <c r="BX20" s="524"/>
      <c r="BY20" s="524"/>
      <c r="BZ20" s="524"/>
      <c r="CA20" s="524"/>
      <c r="CB20" s="524"/>
      <c r="CC20" s="524"/>
      <c r="CD20" s="524"/>
      <c r="CE20" s="524"/>
      <c r="CF20" s="524"/>
      <c r="CG20" s="524"/>
      <c r="CH20" s="524"/>
      <c r="CI20" s="524"/>
      <c r="CJ20" s="524"/>
      <c r="CK20" s="524"/>
      <c r="CL20" s="524"/>
      <c r="CM20" s="524"/>
      <c r="CN20" s="524"/>
      <c r="CO20" s="524"/>
      <c r="CP20" s="524"/>
      <c r="CQ20" s="524"/>
      <c r="CR20" s="524"/>
      <c r="CS20" s="524"/>
    </row>
    <row r="21" spans="1:97" s="532" customFormat="1" ht="15.75" customHeight="1">
      <c r="A21" s="527"/>
      <c r="B21" s="527"/>
      <c r="C21" s="537"/>
      <c r="D21" s="536">
        <v>1.2</v>
      </c>
      <c r="E21" s="535" t="s">
        <v>216</v>
      </c>
      <c r="F21" s="562">
        <v>0.4</v>
      </c>
      <c r="G21" s="533"/>
      <c r="H21" s="524"/>
      <c r="I21" s="524"/>
      <c r="J21" s="524"/>
      <c r="K21" s="524"/>
      <c r="L21" s="524"/>
      <c r="M21" s="524"/>
      <c r="N21" s="524"/>
      <c r="O21" s="524"/>
      <c r="P21" s="524"/>
      <c r="Q21" s="524"/>
      <c r="R21" s="524"/>
      <c r="S21" s="524"/>
      <c r="T21" s="524"/>
      <c r="U21" s="524"/>
      <c r="V21" s="524"/>
      <c r="W21" s="524"/>
      <c r="X21" s="524"/>
      <c r="Y21" s="524"/>
      <c r="Z21" s="524"/>
      <c r="AA21" s="524"/>
      <c r="AB21" s="524"/>
      <c r="AC21" s="524"/>
      <c r="AD21" s="524"/>
      <c r="AE21" s="524"/>
      <c r="AF21" s="524"/>
      <c r="AG21" s="524"/>
      <c r="AH21" s="524"/>
      <c r="AI21" s="524"/>
      <c r="AJ21" s="524"/>
      <c r="AK21" s="524"/>
      <c r="AL21" s="524"/>
      <c r="AM21" s="524"/>
      <c r="AN21" s="524"/>
      <c r="AO21" s="524"/>
      <c r="AP21" s="524"/>
      <c r="AQ21" s="524"/>
      <c r="AR21" s="524"/>
      <c r="AS21" s="524"/>
      <c r="AT21" s="524"/>
      <c r="AU21" s="524"/>
      <c r="AV21" s="524"/>
      <c r="AW21" s="524"/>
      <c r="AX21" s="524"/>
      <c r="AY21" s="524"/>
      <c r="AZ21" s="524"/>
      <c r="BA21" s="524"/>
      <c r="BB21" s="524"/>
      <c r="BC21" s="524"/>
      <c r="BD21" s="524"/>
      <c r="BE21" s="524"/>
      <c r="BF21" s="524"/>
      <c r="BG21" s="524"/>
      <c r="BH21" s="524"/>
      <c r="BI21" s="524"/>
      <c r="BJ21" s="524"/>
      <c r="BK21" s="524"/>
      <c r="BL21" s="524"/>
      <c r="BM21" s="524"/>
      <c r="BN21" s="524"/>
      <c r="BO21" s="524"/>
      <c r="BP21" s="524"/>
      <c r="BQ21" s="524"/>
      <c r="BR21" s="524"/>
      <c r="BS21" s="524"/>
      <c r="BT21" s="524"/>
      <c r="BU21" s="524"/>
      <c r="BV21" s="524"/>
      <c r="BW21" s="524"/>
      <c r="BX21" s="524"/>
      <c r="BY21" s="524"/>
      <c r="BZ21" s="524"/>
      <c r="CA21" s="524"/>
      <c r="CB21" s="524"/>
      <c r="CC21" s="524"/>
      <c r="CD21" s="524"/>
      <c r="CE21" s="524"/>
      <c r="CF21" s="524"/>
      <c r="CG21" s="524"/>
      <c r="CH21" s="524"/>
      <c r="CI21" s="524"/>
      <c r="CJ21" s="524"/>
      <c r="CK21" s="524"/>
      <c r="CL21" s="524"/>
      <c r="CM21" s="524"/>
      <c r="CN21" s="524"/>
      <c r="CO21" s="524"/>
      <c r="CP21" s="524"/>
      <c r="CQ21" s="524"/>
      <c r="CR21" s="524"/>
      <c r="CS21" s="524"/>
    </row>
    <row r="22" spans="1:97" s="532" customFormat="1" ht="15.75" customHeight="1">
      <c r="A22" s="527"/>
      <c r="B22" s="527"/>
      <c r="C22" s="537">
        <v>2</v>
      </c>
      <c r="D22" s="536">
        <f>IF(VLOOKUP(C22,PROPONENTES!$B$19:$E$54,2,FALSE)="","",VLOOKUP(C22,PROPONENTES!$B$19:$E$54,2,FALSE))</f>
        <v>2</v>
      </c>
      <c r="E22" s="535" t="str">
        <f>IF(D22="","",IF(D22-INT(D22)&gt;1,"",VLOOKUP(D22,PROPONENTES!$C$19:$D$54,2,FALSE)))</f>
        <v>CONSORCIO RUTA SANTANDER 100</v>
      </c>
      <c r="F22" s="534">
        <f>SUM(F23:F24)</f>
        <v>1</v>
      </c>
      <c r="G22" s="533"/>
      <c r="H22" s="524"/>
      <c r="I22" s="524"/>
      <c r="J22" s="524"/>
      <c r="K22" s="524"/>
      <c r="L22" s="524"/>
      <c r="M22" s="524"/>
      <c r="N22" s="524"/>
      <c r="O22" s="524"/>
      <c r="P22" s="524"/>
      <c r="Q22" s="524"/>
      <c r="R22" s="524"/>
      <c r="S22" s="524"/>
      <c r="T22" s="524"/>
      <c r="U22" s="524"/>
      <c r="V22" s="524"/>
      <c r="W22" s="524"/>
      <c r="X22" s="524"/>
      <c r="Y22" s="524"/>
      <c r="Z22" s="524"/>
      <c r="AA22" s="524"/>
      <c r="AB22" s="524"/>
      <c r="AC22" s="524"/>
      <c r="AD22" s="524"/>
      <c r="AE22" s="524"/>
      <c r="AF22" s="524"/>
      <c r="AG22" s="524"/>
      <c r="AH22" s="524"/>
      <c r="AI22" s="524"/>
      <c r="AJ22" s="524"/>
      <c r="AK22" s="524"/>
      <c r="AL22" s="524"/>
      <c r="AM22" s="524"/>
      <c r="AN22" s="524"/>
      <c r="AO22" s="524"/>
      <c r="AP22" s="524"/>
      <c r="AQ22" s="524"/>
      <c r="AR22" s="524"/>
      <c r="AS22" s="524"/>
      <c r="AT22" s="524"/>
      <c r="AU22" s="524"/>
      <c r="AV22" s="524"/>
      <c r="AW22" s="524"/>
      <c r="AX22" s="524"/>
      <c r="AY22" s="524"/>
      <c r="AZ22" s="524"/>
      <c r="BA22" s="524"/>
      <c r="BB22" s="524"/>
      <c r="BC22" s="524"/>
      <c r="BD22" s="524"/>
      <c r="BE22" s="524"/>
      <c r="BF22" s="524"/>
      <c r="BG22" s="524"/>
      <c r="BH22" s="524"/>
      <c r="BI22" s="524"/>
      <c r="BJ22" s="524"/>
      <c r="BK22" s="524"/>
      <c r="BL22" s="524"/>
      <c r="BM22" s="524"/>
      <c r="BN22" s="524"/>
      <c r="BO22" s="524"/>
      <c r="BP22" s="524"/>
      <c r="BQ22" s="524"/>
      <c r="BR22" s="524"/>
      <c r="BS22" s="524"/>
      <c r="BT22" s="524"/>
      <c r="BU22" s="524"/>
      <c r="BV22" s="524"/>
      <c r="BW22" s="524"/>
      <c r="BX22" s="524"/>
      <c r="BY22" s="524"/>
      <c r="BZ22" s="524"/>
      <c r="CA22" s="524"/>
      <c r="CB22" s="524"/>
      <c r="CC22" s="524"/>
      <c r="CD22" s="524"/>
      <c r="CE22" s="524"/>
      <c r="CF22" s="524"/>
      <c r="CG22" s="524"/>
      <c r="CH22" s="524"/>
      <c r="CI22" s="524"/>
      <c r="CJ22" s="524"/>
      <c r="CK22" s="524"/>
      <c r="CL22" s="524"/>
      <c r="CM22" s="524"/>
      <c r="CN22" s="524"/>
      <c r="CO22" s="524"/>
      <c r="CP22" s="524"/>
      <c r="CQ22" s="524"/>
      <c r="CR22" s="524"/>
      <c r="CS22" s="524"/>
    </row>
    <row r="23" spans="1:97" s="532" customFormat="1" ht="15.75" customHeight="1">
      <c r="A23" s="527"/>
      <c r="B23" s="527"/>
      <c r="C23" s="537"/>
      <c r="D23" s="536">
        <v>2.1</v>
      </c>
      <c r="E23" s="535" t="s">
        <v>228</v>
      </c>
      <c r="F23" s="534">
        <v>0.8</v>
      </c>
      <c r="G23" s="533"/>
      <c r="H23" s="524"/>
      <c r="I23" s="524"/>
      <c r="J23" s="524"/>
      <c r="K23" s="524"/>
      <c r="L23" s="524"/>
      <c r="M23" s="524"/>
      <c r="N23" s="524"/>
      <c r="O23" s="524"/>
      <c r="P23" s="524"/>
      <c r="Q23" s="524"/>
      <c r="R23" s="524"/>
      <c r="S23" s="524"/>
      <c r="T23" s="524"/>
      <c r="U23" s="524"/>
      <c r="V23" s="524"/>
      <c r="W23" s="524"/>
      <c r="X23" s="524"/>
      <c r="Y23" s="524"/>
      <c r="Z23" s="524"/>
      <c r="AA23" s="524"/>
      <c r="AB23" s="524"/>
      <c r="AC23" s="524"/>
      <c r="AD23" s="524"/>
      <c r="AE23" s="524"/>
      <c r="AF23" s="524"/>
      <c r="AG23" s="524"/>
      <c r="AH23" s="524"/>
      <c r="AI23" s="524"/>
      <c r="AJ23" s="524"/>
      <c r="AK23" s="524"/>
      <c r="AL23" s="524"/>
      <c r="AM23" s="524"/>
      <c r="AN23" s="524"/>
      <c r="AO23" s="524"/>
      <c r="AP23" s="524"/>
      <c r="AQ23" s="524"/>
      <c r="AR23" s="524"/>
      <c r="AS23" s="524"/>
      <c r="AT23" s="524"/>
      <c r="AU23" s="524"/>
      <c r="AV23" s="524"/>
      <c r="AW23" s="524"/>
      <c r="AX23" s="524"/>
      <c r="AY23" s="524"/>
      <c r="AZ23" s="524"/>
      <c r="BA23" s="524"/>
      <c r="BB23" s="524"/>
      <c r="BC23" s="524"/>
      <c r="BD23" s="524"/>
      <c r="BE23" s="524"/>
      <c r="BF23" s="524"/>
      <c r="BG23" s="524"/>
      <c r="BH23" s="524"/>
      <c r="BI23" s="524"/>
      <c r="BJ23" s="524"/>
      <c r="BK23" s="524"/>
      <c r="BL23" s="524"/>
      <c r="BM23" s="524"/>
      <c r="BN23" s="524"/>
      <c r="BO23" s="524"/>
      <c r="BP23" s="524"/>
      <c r="BQ23" s="524"/>
      <c r="BR23" s="524"/>
      <c r="BS23" s="524"/>
      <c r="BT23" s="524"/>
      <c r="BU23" s="524"/>
      <c r="BV23" s="524"/>
      <c r="BW23" s="524"/>
      <c r="BX23" s="524"/>
      <c r="BY23" s="524"/>
      <c r="BZ23" s="524"/>
      <c r="CA23" s="524"/>
      <c r="CB23" s="524"/>
      <c r="CC23" s="524"/>
      <c r="CD23" s="524"/>
      <c r="CE23" s="524"/>
      <c r="CF23" s="524"/>
      <c r="CG23" s="524"/>
      <c r="CH23" s="524"/>
      <c r="CI23" s="524"/>
      <c r="CJ23" s="524"/>
      <c r="CK23" s="524"/>
      <c r="CL23" s="524"/>
      <c r="CM23" s="524"/>
      <c r="CN23" s="524"/>
      <c r="CO23" s="524"/>
      <c r="CP23" s="524"/>
      <c r="CQ23" s="524"/>
      <c r="CR23" s="524"/>
      <c r="CS23" s="524"/>
    </row>
    <row r="24" spans="1:97" s="532" customFormat="1" ht="15.75" customHeight="1">
      <c r="A24" s="527"/>
      <c r="B24" s="527"/>
      <c r="C24" s="537"/>
      <c r="D24" s="536">
        <v>2.2000000000000002</v>
      </c>
      <c r="E24" s="535" t="s">
        <v>227</v>
      </c>
      <c r="F24" s="534">
        <v>0.2</v>
      </c>
      <c r="G24" s="533"/>
      <c r="H24" s="524"/>
      <c r="I24" s="524"/>
      <c r="J24" s="524"/>
      <c r="K24" s="524"/>
      <c r="L24" s="524"/>
      <c r="M24" s="524"/>
      <c r="N24" s="524"/>
      <c r="O24" s="524"/>
      <c r="P24" s="524"/>
      <c r="Q24" s="524"/>
      <c r="R24" s="524"/>
      <c r="S24" s="524"/>
      <c r="T24" s="524"/>
      <c r="U24" s="524"/>
      <c r="V24" s="524"/>
      <c r="W24" s="524"/>
      <c r="X24" s="524"/>
      <c r="Y24" s="524"/>
      <c r="Z24" s="524"/>
      <c r="AA24" s="524"/>
      <c r="AB24" s="524"/>
      <c r="AC24" s="524"/>
      <c r="AD24" s="524"/>
      <c r="AE24" s="524"/>
      <c r="AF24" s="524"/>
      <c r="AG24" s="524"/>
      <c r="AH24" s="524"/>
      <c r="AI24" s="524"/>
      <c r="AJ24" s="524"/>
      <c r="AK24" s="524"/>
      <c r="AL24" s="524"/>
      <c r="AM24" s="524"/>
      <c r="AN24" s="524"/>
      <c r="AO24" s="524"/>
      <c r="AP24" s="524"/>
      <c r="AQ24" s="524"/>
      <c r="AR24" s="524"/>
      <c r="AS24" s="524"/>
      <c r="AT24" s="524"/>
      <c r="AU24" s="524"/>
      <c r="AV24" s="524"/>
      <c r="AW24" s="524"/>
      <c r="AX24" s="524"/>
      <c r="AY24" s="524"/>
      <c r="AZ24" s="524"/>
      <c r="BA24" s="524"/>
      <c r="BB24" s="524"/>
      <c r="BC24" s="524"/>
      <c r="BD24" s="524"/>
      <c r="BE24" s="524"/>
      <c r="BF24" s="524"/>
      <c r="BG24" s="524"/>
      <c r="BH24" s="524"/>
      <c r="BI24" s="524"/>
      <c r="BJ24" s="524"/>
      <c r="BK24" s="524"/>
      <c r="BL24" s="524"/>
      <c r="BM24" s="524"/>
      <c r="BN24" s="524"/>
      <c r="BO24" s="524"/>
      <c r="BP24" s="524"/>
      <c r="BQ24" s="524"/>
      <c r="BR24" s="524"/>
      <c r="BS24" s="524"/>
      <c r="BT24" s="524"/>
      <c r="BU24" s="524"/>
      <c r="BV24" s="524"/>
      <c r="BW24" s="524"/>
      <c r="BX24" s="524"/>
      <c r="BY24" s="524"/>
      <c r="BZ24" s="524"/>
      <c r="CA24" s="524"/>
      <c r="CB24" s="524"/>
      <c r="CC24" s="524"/>
      <c r="CD24" s="524"/>
      <c r="CE24" s="524"/>
      <c r="CF24" s="524"/>
      <c r="CG24" s="524"/>
      <c r="CH24" s="524"/>
      <c r="CI24" s="524"/>
      <c r="CJ24" s="524"/>
      <c r="CK24" s="524"/>
      <c r="CL24" s="524"/>
      <c r="CM24" s="524"/>
      <c r="CN24" s="524"/>
      <c r="CO24" s="524"/>
      <c r="CP24" s="524"/>
      <c r="CQ24" s="524"/>
      <c r="CR24" s="524"/>
      <c r="CS24" s="524"/>
    </row>
    <row r="25" spans="1:97" s="532" customFormat="1" ht="15.75" customHeight="1">
      <c r="A25" s="527"/>
      <c r="B25" s="527"/>
      <c r="C25" s="537">
        <v>3</v>
      </c>
      <c r="D25" s="536">
        <f>IF(VLOOKUP(C25,PROPONENTES!$B$19:$E$54,2,FALSE)="","",VLOOKUP(C25,PROPONENTES!$B$19:$E$54,2,FALSE))</f>
        <v>3</v>
      </c>
      <c r="E25" s="535" t="str">
        <f>IF(D25="","",IF(D25-INT(D25)&gt;1,"",VLOOKUP(D25,PROPONENTES!$C$19:$D$54,2,FALSE)))</f>
        <v>CONSORCIO SIETE</v>
      </c>
      <c r="F25" s="534">
        <f>SUM(F26:F28)</f>
        <v>1</v>
      </c>
      <c r="G25" s="533"/>
      <c r="H25" s="524"/>
      <c r="I25" s="524"/>
      <c r="J25" s="524"/>
      <c r="K25" s="524"/>
      <c r="L25" s="524"/>
      <c r="M25" s="524"/>
      <c r="N25" s="524"/>
      <c r="O25" s="524"/>
      <c r="P25" s="524"/>
      <c r="Q25" s="524"/>
      <c r="R25" s="524"/>
      <c r="S25" s="524"/>
      <c r="T25" s="524"/>
      <c r="U25" s="524"/>
      <c r="V25" s="524"/>
      <c r="W25" s="524"/>
      <c r="X25" s="524"/>
      <c r="Y25" s="524"/>
      <c r="Z25" s="524"/>
      <c r="AA25" s="524"/>
      <c r="AB25" s="524"/>
      <c r="AC25" s="524"/>
      <c r="AD25" s="524"/>
      <c r="AE25" s="524"/>
      <c r="AF25" s="524"/>
      <c r="AG25" s="524"/>
      <c r="AH25" s="524"/>
      <c r="AI25" s="524"/>
      <c r="AJ25" s="524"/>
      <c r="AK25" s="524"/>
      <c r="AL25" s="524"/>
      <c r="AM25" s="524"/>
      <c r="AN25" s="524"/>
      <c r="AO25" s="524"/>
      <c r="AP25" s="524"/>
      <c r="AQ25" s="524"/>
      <c r="AR25" s="524"/>
      <c r="AS25" s="524"/>
      <c r="AT25" s="524"/>
      <c r="AU25" s="524"/>
      <c r="AV25" s="524"/>
      <c r="AW25" s="524"/>
      <c r="AX25" s="524"/>
      <c r="AY25" s="524"/>
      <c r="AZ25" s="524"/>
      <c r="BA25" s="524"/>
      <c r="BB25" s="524"/>
      <c r="BC25" s="524"/>
      <c r="BD25" s="524"/>
      <c r="BE25" s="524"/>
      <c r="BF25" s="524"/>
      <c r="BG25" s="524"/>
      <c r="BH25" s="524"/>
      <c r="BI25" s="524"/>
      <c r="BJ25" s="524"/>
      <c r="BK25" s="524"/>
      <c r="BL25" s="524"/>
      <c r="BM25" s="524"/>
      <c r="BN25" s="524"/>
      <c r="BO25" s="524"/>
      <c r="BP25" s="524"/>
      <c r="BQ25" s="524"/>
      <c r="BR25" s="524"/>
      <c r="BS25" s="524"/>
      <c r="BT25" s="524"/>
      <c r="BU25" s="524"/>
      <c r="BV25" s="524"/>
      <c r="BW25" s="524"/>
      <c r="BX25" s="524"/>
      <c r="BY25" s="524"/>
      <c r="BZ25" s="524"/>
      <c r="CA25" s="524"/>
      <c r="CB25" s="524"/>
      <c r="CC25" s="524"/>
      <c r="CD25" s="524"/>
      <c r="CE25" s="524"/>
      <c r="CF25" s="524"/>
      <c r="CG25" s="524"/>
      <c r="CH25" s="524"/>
      <c r="CI25" s="524"/>
      <c r="CJ25" s="524"/>
      <c r="CK25" s="524"/>
      <c r="CL25" s="524"/>
      <c r="CM25" s="524"/>
      <c r="CN25" s="524"/>
      <c r="CO25" s="524"/>
      <c r="CP25" s="524"/>
      <c r="CQ25" s="524"/>
      <c r="CR25" s="524"/>
      <c r="CS25" s="524"/>
    </row>
    <row r="26" spans="1:97" s="532" customFormat="1" ht="15.75" customHeight="1">
      <c r="A26" s="527"/>
      <c r="B26" s="527"/>
      <c r="C26" s="537"/>
      <c r="D26" s="536">
        <v>3.1</v>
      </c>
      <c r="E26" s="535" t="s">
        <v>229</v>
      </c>
      <c r="F26" s="534">
        <v>0.7</v>
      </c>
      <c r="G26" s="533"/>
      <c r="H26" s="524"/>
      <c r="I26" s="524"/>
      <c r="J26" s="524"/>
      <c r="K26" s="524"/>
      <c r="L26" s="524"/>
      <c r="M26" s="524"/>
      <c r="N26" s="524"/>
      <c r="O26" s="524"/>
      <c r="P26" s="524"/>
      <c r="Q26" s="524"/>
      <c r="R26" s="524"/>
      <c r="S26" s="524"/>
      <c r="T26" s="524"/>
      <c r="U26" s="524"/>
      <c r="V26" s="524"/>
      <c r="W26" s="524"/>
      <c r="X26" s="524"/>
      <c r="Y26" s="524"/>
      <c r="Z26" s="524"/>
      <c r="AA26" s="524"/>
      <c r="AB26" s="524"/>
      <c r="AC26" s="524"/>
      <c r="AD26" s="524"/>
      <c r="AE26" s="524"/>
      <c r="AF26" s="524"/>
      <c r="AG26" s="524"/>
      <c r="AH26" s="524"/>
      <c r="AI26" s="524"/>
      <c r="AJ26" s="524"/>
      <c r="AK26" s="524"/>
      <c r="AL26" s="524"/>
      <c r="AM26" s="524"/>
      <c r="AN26" s="524"/>
      <c r="AO26" s="524"/>
      <c r="AP26" s="524"/>
      <c r="AQ26" s="524"/>
      <c r="AR26" s="524"/>
      <c r="AS26" s="524"/>
      <c r="AT26" s="524"/>
      <c r="AU26" s="524"/>
      <c r="AV26" s="524"/>
      <c r="AW26" s="524"/>
      <c r="AX26" s="524"/>
      <c r="AY26" s="524"/>
      <c r="AZ26" s="524"/>
      <c r="BA26" s="524"/>
      <c r="BB26" s="524"/>
      <c r="BC26" s="524"/>
      <c r="BD26" s="524"/>
      <c r="BE26" s="524"/>
      <c r="BF26" s="524"/>
      <c r="BG26" s="524"/>
      <c r="BH26" s="524"/>
      <c r="BI26" s="524"/>
      <c r="BJ26" s="524"/>
      <c r="BK26" s="524"/>
      <c r="BL26" s="524"/>
      <c r="BM26" s="524"/>
      <c r="BN26" s="524"/>
      <c r="BO26" s="524"/>
      <c r="BP26" s="524"/>
      <c r="BQ26" s="524"/>
      <c r="BR26" s="524"/>
      <c r="BS26" s="524"/>
      <c r="BT26" s="524"/>
      <c r="BU26" s="524"/>
      <c r="BV26" s="524"/>
      <c r="BW26" s="524"/>
      <c r="BX26" s="524"/>
      <c r="BY26" s="524"/>
      <c r="BZ26" s="524"/>
      <c r="CA26" s="524"/>
      <c r="CB26" s="524"/>
      <c r="CC26" s="524"/>
      <c r="CD26" s="524"/>
      <c r="CE26" s="524"/>
      <c r="CF26" s="524"/>
      <c r="CG26" s="524"/>
      <c r="CH26" s="524"/>
      <c r="CI26" s="524"/>
      <c r="CJ26" s="524"/>
      <c r="CK26" s="524"/>
      <c r="CL26" s="524"/>
      <c r="CM26" s="524"/>
      <c r="CN26" s="524"/>
      <c r="CO26" s="524"/>
      <c r="CP26" s="524"/>
      <c r="CQ26" s="524"/>
      <c r="CR26" s="524"/>
      <c r="CS26" s="524"/>
    </row>
    <row r="27" spans="1:97" s="532" customFormat="1" ht="15.75" customHeight="1">
      <c r="A27" s="527"/>
      <c r="B27" s="527"/>
      <c r="C27" s="537"/>
      <c r="D27" s="536">
        <v>3.2</v>
      </c>
      <c r="E27" s="535" t="s">
        <v>230</v>
      </c>
      <c r="F27" s="534">
        <v>0.2</v>
      </c>
      <c r="G27" s="533"/>
      <c r="H27" s="524"/>
      <c r="I27" s="524"/>
      <c r="J27" s="524"/>
      <c r="K27" s="524"/>
      <c r="L27" s="524"/>
      <c r="M27" s="524"/>
      <c r="N27" s="524"/>
      <c r="O27" s="524"/>
      <c r="P27" s="524"/>
      <c r="Q27" s="524"/>
      <c r="R27" s="524"/>
      <c r="S27" s="524"/>
      <c r="T27" s="524"/>
      <c r="U27" s="524"/>
      <c r="V27" s="524"/>
      <c r="W27" s="524"/>
      <c r="X27" s="524"/>
      <c r="Y27" s="524"/>
      <c r="Z27" s="524"/>
      <c r="AA27" s="524"/>
      <c r="AB27" s="524"/>
      <c r="AC27" s="524"/>
      <c r="AD27" s="524"/>
      <c r="AE27" s="524"/>
      <c r="AF27" s="524"/>
      <c r="AG27" s="524"/>
      <c r="AH27" s="524"/>
      <c r="AI27" s="524"/>
      <c r="AJ27" s="524"/>
      <c r="AK27" s="524"/>
      <c r="AL27" s="524"/>
      <c r="AM27" s="524"/>
      <c r="AN27" s="524"/>
      <c r="AO27" s="524"/>
      <c r="AP27" s="524"/>
      <c r="AQ27" s="524"/>
      <c r="AR27" s="524"/>
      <c r="AS27" s="524"/>
      <c r="AT27" s="524"/>
      <c r="AU27" s="524"/>
      <c r="AV27" s="524"/>
      <c r="AW27" s="524"/>
      <c r="AX27" s="524"/>
      <c r="AY27" s="524"/>
      <c r="AZ27" s="524"/>
      <c r="BA27" s="524"/>
      <c r="BB27" s="524"/>
      <c r="BC27" s="524"/>
      <c r="BD27" s="524"/>
      <c r="BE27" s="524"/>
      <c r="BF27" s="524"/>
      <c r="BG27" s="524"/>
      <c r="BH27" s="524"/>
      <c r="BI27" s="524"/>
      <c r="BJ27" s="524"/>
      <c r="BK27" s="524"/>
      <c r="BL27" s="524"/>
      <c r="BM27" s="524"/>
      <c r="BN27" s="524"/>
      <c r="BO27" s="524"/>
      <c r="BP27" s="524"/>
      <c r="BQ27" s="524"/>
      <c r="BR27" s="524"/>
      <c r="BS27" s="524"/>
      <c r="BT27" s="524"/>
      <c r="BU27" s="524"/>
      <c r="BV27" s="524"/>
      <c r="BW27" s="524"/>
      <c r="BX27" s="524"/>
      <c r="BY27" s="524"/>
      <c r="BZ27" s="524"/>
      <c r="CA27" s="524"/>
      <c r="CB27" s="524"/>
      <c r="CC27" s="524"/>
      <c r="CD27" s="524"/>
      <c r="CE27" s="524"/>
      <c r="CF27" s="524"/>
      <c r="CG27" s="524"/>
      <c r="CH27" s="524"/>
      <c r="CI27" s="524"/>
      <c r="CJ27" s="524"/>
      <c r="CK27" s="524"/>
      <c r="CL27" s="524"/>
      <c r="CM27" s="524"/>
      <c r="CN27" s="524"/>
      <c r="CO27" s="524"/>
      <c r="CP27" s="524"/>
      <c r="CQ27" s="524"/>
      <c r="CR27" s="524"/>
      <c r="CS27" s="524"/>
    </row>
    <row r="28" spans="1:97" s="532" customFormat="1" ht="15.75" customHeight="1">
      <c r="A28" s="527"/>
      <c r="B28" s="527"/>
      <c r="C28" s="537"/>
      <c r="D28" s="536">
        <v>3.3</v>
      </c>
      <c r="E28" s="535" t="s">
        <v>231</v>
      </c>
      <c r="F28" s="534">
        <v>0.1</v>
      </c>
      <c r="G28" s="533"/>
      <c r="H28" s="524"/>
      <c r="I28" s="524"/>
      <c r="J28" s="524"/>
      <c r="K28" s="524"/>
      <c r="L28" s="524"/>
      <c r="M28" s="524"/>
      <c r="N28" s="524"/>
      <c r="O28" s="524"/>
      <c r="P28" s="524"/>
      <c r="Q28" s="524"/>
      <c r="R28" s="524"/>
      <c r="S28" s="524"/>
      <c r="T28" s="524"/>
      <c r="U28" s="524"/>
      <c r="V28" s="524"/>
      <c r="W28" s="524"/>
      <c r="X28" s="524"/>
      <c r="Y28" s="524"/>
      <c r="Z28" s="524"/>
      <c r="AA28" s="524"/>
      <c r="AB28" s="524"/>
      <c r="AC28" s="524"/>
      <c r="AD28" s="524"/>
      <c r="AE28" s="524"/>
      <c r="AF28" s="524"/>
      <c r="AG28" s="524"/>
      <c r="AH28" s="524"/>
      <c r="AI28" s="524"/>
      <c r="AJ28" s="524"/>
      <c r="AK28" s="524"/>
      <c r="AL28" s="524"/>
      <c r="AM28" s="524"/>
      <c r="AN28" s="524"/>
      <c r="AO28" s="524"/>
      <c r="AP28" s="524"/>
      <c r="AQ28" s="524"/>
      <c r="AR28" s="524"/>
      <c r="AS28" s="524"/>
      <c r="AT28" s="524"/>
      <c r="AU28" s="524"/>
      <c r="AV28" s="524"/>
      <c r="AW28" s="524"/>
      <c r="AX28" s="524"/>
      <c r="AY28" s="524"/>
      <c r="AZ28" s="524"/>
      <c r="BA28" s="524"/>
      <c r="BB28" s="524"/>
      <c r="BC28" s="524"/>
      <c r="BD28" s="524"/>
      <c r="BE28" s="524"/>
      <c r="BF28" s="524"/>
      <c r="BG28" s="524"/>
      <c r="BH28" s="524"/>
      <c r="BI28" s="524"/>
      <c r="BJ28" s="524"/>
      <c r="BK28" s="524"/>
      <c r="BL28" s="524"/>
      <c r="BM28" s="524"/>
      <c r="BN28" s="524"/>
      <c r="BO28" s="524"/>
      <c r="BP28" s="524"/>
      <c r="BQ28" s="524"/>
      <c r="BR28" s="524"/>
      <c r="BS28" s="524"/>
      <c r="BT28" s="524"/>
      <c r="BU28" s="524"/>
      <c r="BV28" s="524"/>
      <c r="BW28" s="524"/>
      <c r="BX28" s="524"/>
      <c r="BY28" s="524"/>
      <c r="BZ28" s="524"/>
      <c r="CA28" s="524"/>
      <c r="CB28" s="524"/>
      <c r="CC28" s="524"/>
      <c r="CD28" s="524"/>
      <c r="CE28" s="524"/>
      <c r="CF28" s="524"/>
      <c r="CG28" s="524"/>
      <c r="CH28" s="524"/>
      <c r="CI28" s="524"/>
      <c r="CJ28" s="524"/>
      <c r="CK28" s="524"/>
      <c r="CL28" s="524"/>
      <c r="CM28" s="524"/>
      <c r="CN28" s="524"/>
      <c r="CO28" s="524"/>
      <c r="CP28" s="524"/>
      <c r="CQ28" s="524"/>
      <c r="CR28" s="524"/>
      <c r="CS28" s="524"/>
    </row>
    <row r="29" spans="1:97" s="532" customFormat="1" ht="15.75" customHeight="1">
      <c r="A29" s="527"/>
      <c r="B29" s="527"/>
      <c r="C29" s="537">
        <v>4</v>
      </c>
      <c r="D29" s="536">
        <f>IF(VLOOKUP(C29,PROPONENTES!$B$19:$E$54,2,FALSE)="","",VLOOKUP(C29,PROPONENTES!$B$19:$E$54,2,FALSE))</f>
        <v>4</v>
      </c>
      <c r="E29" s="535" t="str">
        <f>IF(D29="","",IF(D29-INT(D29)&gt;1,"",VLOOKUP(D29,PROPONENTES!$C$19:$D$54,2,FALSE)))</f>
        <v>GIA INGENIERIA S.A.S</v>
      </c>
      <c r="F29" s="534">
        <v>1</v>
      </c>
      <c r="G29" s="533"/>
      <c r="H29" s="524"/>
      <c r="I29" s="524"/>
      <c r="J29" s="524"/>
      <c r="K29" s="524"/>
      <c r="L29" s="524"/>
      <c r="M29" s="524"/>
      <c r="N29" s="524"/>
      <c r="O29" s="524"/>
      <c r="P29" s="524"/>
      <c r="Q29" s="524"/>
      <c r="R29" s="524"/>
      <c r="S29" s="524"/>
      <c r="T29" s="524"/>
      <c r="U29" s="524"/>
      <c r="V29" s="524"/>
      <c r="W29" s="524"/>
      <c r="X29" s="524"/>
      <c r="Y29" s="524"/>
      <c r="Z29" s="524"/>
      <c r="AA29" s="524"/>
      <c r="AB29" s="524"/>
      <c r="AC29" s="524"/>
      <c r="AD29" s="524"/>
      <c r="AE29" s="524"/>
      <c r="AF29" s="524"/>
      <c r="AG29" s="524"/>
      <c r="AH29" s="524"/>
      <c r="AI29" s="524"/>
      <c r="AJ29" s="524"/>
      <c r="AK29" s="524"/>
      <c r="AL29" s="524"/>
      <c r="AM29" s="524"/>
      <c r="AN29" s="524"/>
      <c r="AO29" s="524"/>
      <c r="AP29" s="524"/>
      <c r="AQ29" s="524"/>
      <c r="AR29" s="524"/>
      <c r="AS29" s="524"/>
      <c r="AT29" s="524"/>
      <c r="AU29" s="524"/>
      <c r="AV29" s="524"/>
      <c r="AW29" s="524"/>
      <c r="AX29" s="524"/>
      <c r="AY29" s="524"/>
      <c r="AZ29" s="524"/>
      <c r="BA29" s="524"/>
      <c r="BB29" s="524"/>
      <c r="BC29" s="524"/>
      <c r="BD29" s="524"/>
      <c r="BE29" s="524"/>
      <c r="BF29" s="524"/>
      <c r="BG29" s="524"/>
      <c r="BH29" s="524"/>
      <c r="BI29" s="524"/>
      <c r="BJ29" s="524"/>
      <c r="BK29" s="524"/>
      <c r="BL29" s="524"/>
      <c r="BM29" s="524"/>
      <c r="BN29" s="524"/>
      <c r="BO29" s="524"/>
      <c r="BP29" s="524"/>
      <c r="BQ29" s="524"/>
      <c r="BR29" s="524"/>
      <c r="BS29" s="524"/>
      <c r="BT29" s="524"/>
      <c r="BU29" s="524"/>
      <c r="BV29" s="524"/>
      <c r="BW29" s="524"/>
      <c r="BX29" s="524"/>
      <c r="BY29" s="524"/>
      <c r="BZ29" s="524"/>
      <c r="CA29" s="524"/>
      <c r="CB29" s="524"/>
      <c r="CC29" s="524"/>
      <c r="CD29" s="524"/>
      <c r="CE29" s="524"/>
      <c r="CF29" s="524"/>
      <c r="CG29" s="524"/>
      <c r="CH29" s="524"/>
      <c r="CI29" s="524"/>
      <c r="CJ29" s="524"/>
      <c r="CK29" s="524"/>
      <c r="CL29" s="524"/>
      <c r="CM29" s="524"/>
      <c r="CN29" s="524"/>
      <c r="CO29" s="524"/>
      <c r="CP29" s="524"/>
      <c r="CQ29" s="524"/>
      <c r="CR29" s="524"/>
      <c r="CS29" s="524"/>
    </row>
    <row r="30" spans="1:97" s="532" customFormat="1" ht="15.75" customHeight="1">
      <c r="A30" s="527"/>
      <c r="B30" s="527"/>
      <c r="C30" s="537">
        <v>5</v>
      </c>
      <c r="D30" s="536">
        <f>IF(VLOOKUP(C30,PROPONENTES!$B$19:$E$54,2,FALSE)="","",VLOOKUP(C30,PROPONENTES!$B$19:$E$54,2,FALSE))</f>
        <v>5</v>
      </c>
      <c r="E30" s="535" t="str">
        <f>IF(D30="","",IF(D30-INT(D30)&gt;1,"",VLOOKUP(D30,PROPONENTES!$C$19:$D$54,2,FALSE)))</f>
        <v>CONSORCIO JJAB</v>
      </c>
      <c r="F30" s="534">
        <f>SUM(F31:F32)</f>
        <v>1</v>
      </c>
      <c r="G30" s="533"/>
      <c r="H30" s="524"/>
      <c r="I30" s="524"/>
      <c r="J30" s="524"/>
      <c r="K30" s="524"/>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row>
    <row r="31" spans="1:97" s="532" customFormat="1" ht="15.75" customHeight="1">
      <c r="A31" s="527"/>
      <c r="B31" s="527"/>
      <c r="C31" s="537"/>
      <c r="D31" s="536">
        <v>5.0999999999999996</v>
      </c>
      <c r="E31" s="535" t="s">
        <v>246</v>
      </c>
      <c r="F31" s="534">
        <v>0.8</v>
      </c>
      <c r="G31" s="533"/>
      <c r="H31" s="524"/>
      <c r="I31" s="524"/>
      <c r="J31" s="524"/>
      <c r="K31" s="524"/>
      <c r="L31" s="524"/>
      <c r="M31" s="524"/>
      <c r="N31" s="524"/>
      <c r="O31" s="524"/>
      <c r="P31" s="524"/>
      <c r="Q31" s="524"/>
      <c r="R31" s="524"/>
      <c r="S31" s="524"/>
      <c r="T31" s="524"/>
      <c r="U31" s="524"/>
      <c r="V31" s="524"/>
      <c r="W31" s="524"/>
      <c r="X31" s="524"/>
      <c r="Y31" s="524"/>
      <c r="Z31" s="524"/>
      <c r="AA31" s="524"/>
      <c r="AB31" s="524"/>
      <c r="AC31" s="524"/>
      <c r="AD31" s="524"/>
      <c r="AE31" s="524"/>
      <c r="AF31" s="524"/>
      <c r="AG31" s="524"/>
      <c r="AH31" s="524"/>
      <c r="AI31" s="524"/>
      <c r="AJ31" s="524"/>
      <c r="AK31" s="524"/>
      <c r="AL31" s="524"/>
      <c r="AM31" s="524"/>
      <c r="AN31" s="524"/>
      <c r="AO31" s="524"/>
      <c r="AP31" s="524"/>
      <c r="AQ31" s="524"/>
      <c r="AR31" s="524"/>
      <c r="AS31" s="524"/>
      <c r="AT31" s="524"/>
      <c r="AU31" s="524"/>
      <c r="AV31" s="524"/>
      <c r="AW31" s="524"/>
      <c r="AX31" s="524"/>
      <c r="AY31" s="524"/>
      <c r="AZ31" s="524"/>
      <c r="BA31" s="524"/>
      <c r="BB31" s="524"/>
      <c r="BC31" s="524"/>
      <c r="BD31" s="524"/>
      <c r="BE31" s="524"/>
      <c r="BF31" s="524"/>
      <c r="BG31" s="524"/>
      <c r="BH31" s="524"/>
      <c r="BI31" s="524"/>
      <c r="BJ31" s="524"/>
      <c r="BK31" s="524"/>
      <c r="BL31" s="524"/>
      <c r="BM31" s="524"/>
      <c r="BN31" s="524"/>
      <c r="BO31" s="524"/>
      <c r="BP31" s="524"/>
      <c r="BQ31" s="524"/>
      <c r="BR31" s="524"/>
      <c r="BS31" s="524"/>
      <c r="BT31" s="524"/>
      <c r="BU31" s="524"/>
      <c r="BV31" s="524"/>
      <c r="BW31" s="524"/>
      <c r="BX31" s="524"/>
      <c r="BY31" s="524"/>
      <c r="BZ31" s="524"/>
      <c r="CA31" s="524"/>
      <c r="CB31" s="524"/>
      <c r="CC31" s="524"/>
      <c r="CD31" s="524"/>
      <c r="CE31" s="524"/>
      <c r="CF31" s="524"/>
      <c r="CG31" s="524"/>
      <c r="CH31" s="524"/>
      <c r="CI31" s="524"/>
      <c r="CJ31" s="524"/>
      <c r="CK31" s="524"/>
      <c r="CL31" s="524"/>
      <c r="CM31" s="524"/>
      <c r="CN31" s="524"/>
      <c r="CO31" s="524"/>
      <c r="CP31" s="524"/>
      <c r="CQ31" s="524"/>
      <c r="CR31" s="524"/>
      <c r="CS31" s="524"/>
    </row>
    <row r="32" spans="1:97" s="532" customFormat="1" ht="15.75" customHeight="1">
      <c r="A32" s="527"/>
      <c r="B32" s="527"/>
      <c r="C32" s="537"/>
      <c r="D32" s="536">
        <v>5.2</v>
      </c>
      <c r="E32" s="535" t="s">
        <v>247</v>
      </c>
      <c r="F32" s="534">
        <v>0.2</v>
      </c>
      <c r="G32" s="533"/>
      <c r="H32" s="524"/>
      <c r="I32" s="524"/>
      <c r="J32" s="524"/>
      <c r="K32" s="524"/>
      <c r="L32" s="524"/>
      <c r="M32" s="524"/>
      <c r="N32" s="524"/>
      <c r="O32" s="524"/>
      <c r="P32" s="524"/>
      <c r="Q32" s="524"/>
      <c r="R32" s="524"/>
      <c r="S32" s="524"/>
      <c r="T32" s="524"/>
      <c r="U32" s="524"/>
      <c r="V32" s="524"/>
      <c r="W32" s="524"/>
      <c r="X32" s="524"/>
      <c r="Y32" s="524"/>
      <c r="Z32" s="524"/>
      <c r="AA32" s="524"/>
      <c r="AB32" s="524"/>
      <c r="AC32" s="524"/>
      <c r="AD32" s="524"/>
      <c r="AE32" s="524"/>
      <c r="AF32" s="524"/>
      <c r="AG32" s="524"/>
      <c r="AH32" s="524"/>
      <c r="AI32" s="524"/>
      <c r="AJ32" s="524"/>
      <c r="AK32" s="524"/>
      <c r="AL32" s="524"/>
      <c r="AM32" s="524"/>
      <c r="AN32" s="524"/>
      <c r="AO32" s="524"/>
      <c r="AP32" s="524"/>
      <c r="AQ32" s="524"/>
      <c r="AR32" s="524"/>
      <c r="AS32" s="524"/>
      <c r="AT32" s="524"/>
      <c r="AU32" s="524"/>
      <c r="AV32" s="524"/>
      <c r="AW32" s="524"/>
      <c r="AX32" s="524"/>
      <c r="AY32" s="524"/>
      <c r="AZ32" s="524"/>
      <c r="BA32" s="524"/>
      <c r="BB32" s="524"/>
      <c r="BC32" s="524"/>
      <c r="BD32" s="524"/>
      <c r="BE32" s="524"/>
      <c r="BF32" s="524"/>
      <c r="BG32" s="524"/>
      <c r="BH32" s="524"/>
      <c r="BI32" s="524"/>
      <c r="BJ32" s="524"/>
      <c r="BK32" s="524"/>
      <c r="BL32" s="524"/>
      <c r="BM32" s="524"/>
      <c r="BN32" s="524"/>
      <c r="BO32" s="524"/>
      <c r="BP32" s="524"/>
      <c r="BQ32" s="524"/>
      <c r="BR32" s="524"/>
      <c r="BS32" s="524"/>
      <c r="BT32" s="524"/>
      <c r="BU32" s="524"/>
      <c r="BV32" s="524"/>
      <c r="BW32" s="524"/>
      <c r="BX32" s="524"/>
      <c r="BY32" s="524"/>
      <c r="BZ32" s="524"/>
      <c r="CA32" s="524"/>
      <c r="CB32" s="524"/>
      <c r="CC32" s="524"/>
      <c r="CD32" s="524"/>
      <c r="CE32" s="524"/>
      <c r="CF32" s="524"/>
      <c r="CG32" s="524"/>
      <c r="CH32" s="524"/>
      <c r="CI32" s="524"/>
      <c r="CJ32" s="524"/>
      <c r="CK32" s="524"/>
      <c r="CL32" s="524"/>
      <c r="CM32" s="524"/>
      <c r="CN32" s="524"/>
      <c r="CO32" s="524"/>
      <c r="CP32" s="524"/>
      <c r="CQ32" s="524"/>
      <c r="CR32" s="524"/>
      <c r="CS32" s="524"/>
    </row>
    <row r="33" spans="1:97" s="532" customFormat="1" ht="15.75" customHeight="1">
      <c r="A33" s="527"/>
      <c r="B33" s="527"/>
      <c r="C33" s="537">
        <v>6</v>
      </c>
      <c r="D33" s="536">
        <f>IF(VLOOKUP(C33,PROPONENTES!$B$19:$E$54,2,FALSE)="","",VLOOKUP(C33,PROPONENTES!$B$19:$E$54,2,FALSE))</f>
        <v>6</v>
      </c>
      <c r="E33" s="535" t="str">
        <f>IF(D33="","",IF(D33-INT(D33)&gt;1,"",VLOOKUP(D33,PROPONENTES!$C$19:$D$54,2,FALSE)))</f>
        <v>CONSORCIO JC SANTANDER</v>
      </c>
      <c r="F33" s="534">
        <f>SUM(F34:F36)</f>
        <v>1</v>
      </c>
      <c r="G33" s="533"/>
      <c r="H33" s="524"/>
      <c r="I33" s="524"/>
      <c r="J33" s="524"/>
      <c r="K33" s="524"/>
      <c r="L33" s="524"/>
      <c r="M33" s="524"/>
      <c r="N33" s="524"/>
      <c r="O33" s="524"/>
      <c r="P33" s="524"/>
      <c r="Q33" s="524"/>
      <c r="R33" s="524"/>
      <c r="S33" s="524"/>
      <c r="T33" s="524"/>
      <c r="U33" s="524"/>
      <c r="V33" s="524"/>
      <c r="W33" s="524"/>
      <c r="X33" s="524"/>
      <c r="Y33" s="524"/>
      <c r="Z33" s="524"/>
      <c r="AA33" s="524"/>
      <c r="AB33" s="524"/>
      <c r="AC33" s="524"/>
      <c r="AD33" s="524"/>
      <c r="AE33" s="524"/>
      <c r="AF33" s="524"/>
      <c r="AG33" s="524"/>
      <c r="AH33" s="524"/>
      <c r="AI33" s="524"/>
      <c r="AJ33" s="524"/>
      <c r="AK33" s="524"/>
      <c r="AL33" s="524"/>
      <c r="AM33" s="524"/>
      <c r="AN33" s="524"/>
      <c r="AO33" s="524"/>
      <c r="AP33" s="524"/>
      <c r="AQ33" s="524"/>
      <c r="AR33" s="524"/>
      <c r="AS33" s="524"/>
      <c r="AT33" s="524"/>
      <c r="AU33" s="524"/>
      <c r="AV33" s="524"/>
      <c r="AW33" s="524"/>
      <c r="AX33" s="524"/>
      <c r="AY33" s="524"/>
      <c r="AZ33" s="524"/>
      <c r="BA33" s="524"/>
      <c r="BB33" s="524"/>
      <c r="BC33" s="524"/>
      <c r="BD33" s="524"/>
      <c r="BE33" s="524"/>
      <c r="BF33" s="524"/>
      <c r="BG33" s="524"/>
      <c r="BH33" s="524"/>
      <c r="BI33" s="524"/>
      <c r="BJ33" s="524"/>
      <c r="BK33" s="524"/>
      <c r="BL33" s="524"/>
      <c r="BM33" s="524"/>
      <c r="BN33" s="524"/>
      <c r="BO33" s="524"/>
      <c r="BP33" s="524"/>
      <c r="BQ33" s="524"/>
      <c r="BR33" s="524"/>
      <c r="BS33" s="524"/>
      <c r="BT33" s="524"/>
      <c r="BU33" s="524"/>
      <c r="BV33" s="524"/>
      <c r="BW33" s="524"/>
      <c r="BX33" s="524"/>
      <c r="BY33" s="524"/>
      <c r="BZ33" s="524"/>
      <c r="CA33" s="524"/>
      <c r="CB33" s="524"/>
      <c r="CC33" s="524"/>
      <c r="CD33" s="524"/>
      <c r="CE33" s="524"/>
      <c r="CF33" s="524"/>
      <c r="CG33" s="524"/>
      <c r="CH33" s="524"/>
      <c r="CI33" s="524"/>
      <c r="CJ33" s="524"/>
      <c r="CK33" s="524"/>
      <c r="CL33" s="524"/>
      <c r="CM33" s="524"/>
      <c r="CN33" s="524"/>
      <c r="CO33" s="524"/>
      <c r="CP33" s="524"/>
      <c r="CQ33" s="524"/>
      <c r="CR33" s="524"/>
      <c r="CS33" s="524"/>
    </row>
    <row r="34" spans="1:97" s="532" customFormat="1" ht="15.75" customHeight="1">
      <c r="A34" s="527"/>
      <c r="B34" s="527"/>
      <c r="C34" s="537"/>
      <c r="D34" s="536">
        <v>6.1</v>
      </c>
      <c r="E34" s="535" t="s">
        <v>253</v>
      </c>
      <c r="F34" s="534">
        <v>0.6</v>
      </c>
      <c r="G34" s="533"/>
      <c r="H34" s="524"/>
      <c r="I34" s="524"/>
      <c r="J34" s="524"/>
      <c r="K34" s="524"/>
      <c r="L34" s="524"/>
      <c r="M34" s="524"/>
      <c r="N34" s="524"/>
      <c r="O34" s="524"/>
      <c r="P34" s="524"/>
      <c r="Q34" s="524"/>
      <c r="R34" s="524"/>
      <c r="S34" s="524"/>
      <c r="T34" s="524"/>
      <c r="U34" s="524"/>
      <c r="V34" s="524"/>
      <c r="W34" s="524"/>
      <c r="X34" s="524"/>
      <c r="Y34" s="524"/>
      <c r="Z34" s="524"/>
      <c r="AA34" s="524"/>
      <c r="AB34" s="524"/>
      <c r="AC34" s="524"/>
      <c r="AD34" s="524"/>
      <c r="AE34" s="524"/>
      <c r="AF34" s="524"/>
      <c r="AG34" s="524"/>
      <c r="AH34" s="524"/>
      <c r="AI34" s="524"/>
      <c r="AJ34" s="524"/>
      <c r="AK34" s="524"/>
      <c r="AL34" s="524"/>
      <c r="AM34" s="524"/>
      <c r="AN34" s="524"/>
      <c r="AO34" s="524"/>
      <c r="AP34" s="524"/>
      <c r="AQ34" s="524"/>
      <c r="AR34" s="524"/>
      <c r="AS34" s="524"/>
      <c r="AT34" s="524"/>
      <c r="AU34" s="524"/>
      <c r="AV34" s="524"/>
      <c r="AW34" s="524"/>
      <c r="AX34" s="524"/>
      <c r="AY34" s="524"/>
      <c r="AZ34" s="524"/>
      <c r="BA34" s="524"/>
      <c r="BB34" s="524"/>
      <c r="BC34" s="524"/>
      <c r="BD34" s="524"/>
      <c r="BE34" s="524"/>
      <c r="BF34" s="524"/>
      <c r="BG34" s="524"/>
      <c r="BH34" s="524"/>
      <c r="BI34" s="524"/>
      <c r="BJ34" s="524"/>
      <c r="BK34" s="524"/>
      <c r="BL34" s="524"/>
      <c r="BM34" s="524"/>
      <c r="BN34" s="524"/>
      <c r="BO34" s="524"/>
      <c r="BP34" s="524"/>
      <c r="BQ34" s="524"/>
      <c r="BR34" s="524"/>
      <c r="BS34" s="524"/>
      <c r="BT34" s="524"/>
      <c r="BU34" s="524"/>
      <c r="BV34" s="524"/>
      <c r="BW34" s="524"/>
      <c r="BX34" s="524"/>
      <c r="BY34" s="524"/>
      <c r="BZ34" s="524"/>
      <c r="CA34" s="524"/>
      <c r="CB34" s="524"/>
      <c r="CC34" s="524"/>
      <c r="CD34" s="524"/>
      <c r="CE34" s="524"/>
      <c r="CF34" s="524"/>
      <c r="CG34" s="524"/>
      <c r="CH34" s="524"/>
      <c r="CI34" s="524"/>
      <c r="CJ34" s="524"/>
      <c r="CK34" s="524"/>
      <c r="CL34" s="524"/>
      <c r="CM34" s="524"/>
      <c r="CN34" s="524"/>
      <c r="CO34" s="524"/>
      <c r="CP34" s="524"/>
      <c r="CQ34" s="524"/>
      <c r="CR34" s="524"/>
      <c r="CS34" s="524"/>
    </row>
    <row r="35" spans="1:97" s="532" customFormat="1" ht="15.75" customHeight="1">
      <c r="A35" s="527"/>
      <c r="B35" s="527"/>
      <c r="C35" s="537"/>
      <c r="D35" s="536">
        <v>6.2</v>
      </c>
      <c r="E35" s="535" t="s">
        <v>254</v>
      </c>
      <c r="F35" s="534">
        <v>0.2</v>
      </c>
      <c r="G35" s="533"/>
      <c r="H35" s="524"/>
      <c r="I35" s="524"/>
      <c r="J35" s="524"/>
      <c r="K35" s="524"/>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row>
    <row r="36" spans="1:97" s="532" customFormat="1" ht="15.75" customHeight="1">
      <c r="A36" s="527"/>
      <c r="B36" s="527"/>
      <c r="C36" s="537"/>
      <c r="D36" s="536">
        <v>6.3</v>
      </c>
      <c r="E36" s="535" t="s">
        <v>255</v>
      </c>
      <c r="F36" s="534">
        <v>0.2</v>
      </c>
      <c r="G36" s="533"/>
      <c r="H36" s="524"/>
      <c r="I36" s="524"/>
      <c r="J36" s="524"/>
      <c r="K36" s="524"/>
      <c r="L36" s="524"/>
      <c r="M36" s="524"/>
      <c r="N36" s="524"/>
      <c r="O36" s="524"/>
      <c r="P36" s="524"/>
      <c r="Q36" s="524"/>
      <c r="R36" s="524"/>
      <c r="S36" s="524"/>
      <c r="T36" s="524"/>
      <c r="U36" s="524"/>
      <c r="V36" s="524"/>
      <c r="W36" s="524"/>
      <c r="X36" s="524"/>
      <c r="Y36" s="524"/>
      <c r="Z36" s="524"/>
      <c r="AA36" s="524"/>
      <c r="AB36" s="524"/>
      <c r="AC36" s="524"/>
      <c r="AD36" s="524"/>
      <c r="AE36" s="524"/>
      <c r="AF36" s="524"/>
      <c r="AG36" s="524"/>
      <c r="AH36" s="524"/>
      <c r="AI36" s="524"/>
      <c r="AJ36" s="524"/>
      <c r="AK36" s="524"/>
      <c r="AL36" s="524"/>
      <c r="AM36" s="524"/>
      <c r="AN36" s="524"/>
      <c r="AO36" s="524"/>
      <c r="AP36" s="524"/>
      <c r="AQ36" s="524"/>
      <c r="AR36" s="524"/>
      <c r="AS36" s="524"/>
      <c r="AT36" s="524"/>
      <c r="AU36" s="524"/>
      <c r="AV36" s="524"/>
      <c r="AW36" s="524"/>
      <c r="AX36" s="524"/>
      <c r="AY36" s="524"/>
      <c r="AZ36" s="524"/>
      <c r="BA36" s="524"/>
      <c r="BB36" s="524"/>
      <c r="BC36" s="524"/>
      <c r="BD36" s="524"/>
      <c r="BE36" s="524"/>
      <c r="BF36" s="524"/>
      <c r="BG36" s="524"/>
      <c r="BH36" s="524"/>
      <c r="BI36" s="524"/>
      <c r="BJ36" s="524"/>
      <c r="BK36" s="524"/>
      <c r="BL36" s="524"/>
      <c r="BM36" s="524"/>
      <c r="BN36" s="524"/>
      <c r="BO36" s="524"/>
      <c r="BP36" s="524"/>
      <c r="BQ36" s="524"/>
      <c r="BR36" s="524"/>
      <c r="BS36" s="524"/>
      <c r="BT36" s="524"/>
      <c r="BU36" s="524"/>
      <c r="BV36" s="524"/>
      <c r="BW36" s="524"/>
      <c r="BX36" s="524"/>
      <c r="BY36" s="524"/>
      <c r="BZ36" s="524"/>
      <c r="CA36" s="524"/>
      <c r="CB36" s="524"/>
      <c r="CC36" s="524"/>
      <c r="CD36" s="524"/>
      <c r="CE36" s="524"/>
      <c r="CF36" s="524"/>
      <c r="CG36" s="524"/>
      <c r="CH36" s="524"/>
      <c r="CI36" s="524"/>
      <c r="CJ36" s="524"/>
      <c r="CK36" s="524"/>
      <c r="CL36" s="524"/>
      <c r="CM36" s="524"/>
      <c r="CN36" s="524"/>
      <c r="CO36" s="524"/>
      <c r="CP36" s="524"/>
      <c r="CQ36" s="524"/>
      <c r="CR36" s="524"/>
      <c r="CS36" s="524"/>
    </row>
    <row r="37" spans="1:97" s="532" customFormat="1" ht="15.75" customHeight="1">
      <c r="A37" s="527"/>
      <c r="B37" s="527"/>
      <c r="C37" s="537">
        <v>7</v>
      </c>
      <c r="D37" s="536">
        <f>IF(VLOOKUP(C37,PROPONENTES!$B$19:$E$54,2,FALSE)="","",VLOOKUP(C37,PROPONENTES!$B$19:$E$54,2,FALSE))</f>
        <v>7</v>
      </c>
      <c r="E37" s="535" t="str">
        <f>IF(D37="","",IF(D37-INT(D37)&gt;1,"",VLOOKUP(D37,PROPONENTES!$C$19:$D$54,2,FALSE)))</f>
        <v>ESTUDIOS TECNICOS Y ASESORIAS S.A</v>
      </c>
      <c r="F37" s="534">
        <v>1</v>
      </c>
      <c r="G37" s="533"/>
      <c r="H37" s="524"/>
      <c r="I37" s="524"/>
      <c r="J37" s="524"/>
      <c r="K37" s="524"/>
      <c r="L37" s="524"/>
      <c r="M37" s="524"/>
      <c r="N37" s="524"/>
      <c r="O37" s="524"/>
      <c r="P37" s="524"/>
      <c r="Q37" s="524"/>
      <c r="R37" s="524"/>
      <c r="S37" s="524"/>
      <c r="T37" s="524"/>
      <c r="U37" s="524"/>
      <c r="V37" s="524"/>
      <c r="W37" s="524"/>
      <c r="X37" s="524"/>
      <c r="Y37" s="524"/>
      <c r="Z37" s="524"/>
      <c r="AA37" s="524"/>
      <c r="AB37" s="524"/>
      <c r="AC37" s="524"/>
      <c r="AD37" s="524"/>
      <c r="AE37" s="524"/>
      <c r="AF37" s="524"/>
      <c r="AG37" s="524"/>
      <c r="AH37" s="524"/>
      <c r="AI37" s="524"/>
      <c r="AJ37" s="524"/>
      <c r="AK37" s="524"/>
      <c r="AL37" s="524"/>
      <c r="AM37" s="524"/>
      <c r="AN37" s="524"/>
      <c r="AO37" s="524"/>
      <c r="AP37" s="524"/>
      <c r="AQ37" s="524"/>
      <c r="AR37" s="524"/>
      <c r="AS37" s="524"/>
      <c r="AT37" s="524"/>
      <c r="AU37" s="524"/>
      <c r="AV37" s="524"/>
      <c r="AW37" s="524"/>
      <c r="AX37" s="524"/>
      <c r="AY37" s="524"/>
      <c r="AZ37" s="524"/>
      <c r="BA37" s="524"/>
      <c r="BB37" s="524"/>
      <c r="BC37" s="524"/>
      <c r="BD37" s="524"/>
      <c r="BE37" s="524"/>
      <c r="BF37" s="524"/>
      <c r="BG37" s="524"/>
      <c r="BH37" s="524"/>
      <c r="BI37" s="524"/>
      <c r="BJ37" s="524"/>
      <c r="BK37" s="524"/>
      <c r="BL37" s="524"/>
      <c r="BM37" s="524"/>
      <c r="BN37" s="524"/>
      <c r="BO37" s="524"/>
      <c r="BP37" s="524"/>
      <c r="BQ37" s="524"/>
      <c r="BR37" s="524"/>
      <c r="BS37" s="524"/>
      <c r="BT37" s="524"/>
      <c r="BU37" s="524"/>
      <c r="BV37" s="524"/>
      <c r="BW37" s="524"/>
      <c r="BX37" s="524"/>
      <c r="BY37" s="524"/>
      <c r="BZ37" s="524"/>
      <c r="CA37" s="524"/>
      <c r="CB37" s="524"/>
      <c r="CC37" s="524"/>
      <c r="CD37" s="524"/>
      <c r="CE37" s="524"/>
      <c r="CF37" s="524"/>
      <c r="CG37" s="524"/>
      <c r="CH37" s="524"/>
      <c r="CI37" s="524"/>
      <c r="CJ37" s="524"/>
      <c r="CK37" s="524"/>
      <c r="CL37" s="524"/>
      <c r="CM37" s="524"/>
      <c r="CN37" s="524"/>
      <c r="CO37" s="524"/>
      <c r="CP37" s="524"/>
      <c r="CQ37" s="524"/>
      <c r="CR37" s="524"/>
      <c r="CS37" s="524"/>
    </row>
    <row r="38" spans="1:97" s="532" customFormat="1" ht="15.75" customHeight="1">
      <c r="A38" s="527"/>
      <c r="B38" s="527"/>
      <c r="C38" s="537">
        <v>8</v>
      </c>
      <c r="D38" s="536">
        <f>IF(VLOOKUP(C38,PROPONENTES!$B$19:$E$54,2,FALSE)="","",VLOOKUP(C38,PROPONENTES!$B$19:$E$54,2,FALSE))</f>
        <v>8</v>
      </c>
      <c r="E38" s="535" t="str">
        <f>IF(D38="","",IF(D38-INT(D38)&gt;1,"",VLOOKUP(D38,PROPONENTES!$C$19:$D$54,2,FALSE)))</f>
        <v>CONSULTORIA BOGOTANA SAS</v>
      </c>
      <c r="F38" s="534">
        <v>1</v>
      </c>
      <c r="G38" s="533"/>
      <c r="H38" s="524"/>
      <c r="I38" s="524"/>
      <c r="J38" s="524"/>
      <c r="K38" s="524"/>
      <c r="L38" s="524"/>
      <c r="M38" s="524"/>
      <c r="N38" s="524"/>
      <c r="O38" s="524"/>
      <c r="P38" s="524"/>
      <c r="Q38" s="524"/>
      <c r="R38" s="524"/>
      <c r="S38" s="524"/>
      <c r="T38" s="524"/>
      <c r="U38" s="524"/>
      <c r="V38" s="524"/>
      <c r="W38" s="524"/>
      <c r="X38" s="524"/>
      <c r="Y38" s="524"/>
      <c r="Z38" s="524"/>
      <c r="AA38" s="524"/>
      <c r="AB38" s="524"/>
      <c r="AC38" s="524"/>
      <c r="AD38" s="524"/>
      <c r="AE38" s="524"/>
      <c r="AF38" s="524"/>
      <c r="AG38" s="524"/>
      <c r="AH38" s="524"/>
      <c r="AI38" s="524"/>
      <c r="AJ38" s="524"/>
      <c r="AK38" s="524"/>
      <c r="AL38" s="524"/>
      <c r="AM38" s="524"/>
      <c r="AN38" s="524"/>
      <c r="AO38" s="524"/>
      <c r="AP38" s="524"/>
      <c r="AQ38" s="524"/>
      <c r="AR38" s="524"/>
      <c r="AS38" s="524"/>
      <c r="AT38" s="524"/>
      <c r="AU38" s="524"/>
      <c r="AV38" s="524"/>
      <c r="AW38" s="524"/>
      <c r="AX38" s="524"/>
      <c r="AY38" s="524"/>
      <c r="AZ38" s="524"/>
      <c r="BA38" s="524"/>
      <c r="BB38" s="524"/>
      <c r="BC38" s="524"/>
      <c r="BD38" s="524"/>
      <c r="BE38" s="524"/>
      <c r="BF38" s="524"/>
      <c r="BG38" s="524"/>
      <c r="BH38" s="524"/>
      <c r="BI38" s="524"/>
      <c r="BJ38" s="524"/>
      <c r="BK38" s="524"/>
      <c r="BL38" s="524"/>
      <c r="BM38" s="524"/>
      <c r="BN38" s="524"/>
      <c r="BO38" s="524"/>
      <c r="BP38" s="524"/>
      <c r="BQ38" s="524"/>
      <c r="BR38" s="524"/>
      <c r="BS38" s="524"/>
      <c r="BT38" s="524"/>
      <c r="BU38" s="524"/>
      <c r="BV38" s="524"/>
      <c r="BW38" s="524"/>
      <c r="BX38" s="524"/>
      <c r="BY38" s="524"/>
      <c r="BZ38" s="524"/>
      <c r="CA38" s="524"/>
      <c r="CB38" s="524"/>
      <c r="CC38" s="524"/>
      <c r="CD38" s="524"/>
      <c r="CE38" s="524"/>
      <c r="CF38" s="524"/>
      <c r="CG38" s="524"/>
      <c r="CH38" s="524"/>
      <c r="CI38" s="524"/>
      <c r="CJ38" s="524"/>
      <c r="CK38" s="524"/>
      <c r="CL38" s="524"/>
      <c r="CM38" s="524"/>
      <c r="CN38" s="524"/>
      <c r="CO38" s="524"/>
      <c r="CP38" s="524"/>
      <c r="CQ38" s="524"/>
      <c r="CR38" s="524"/>
      <c r="CS38" s="524"/>
    </row>
    <row r="39" spans="1:97" s="532" customFormat="1" ht="15.75" customHeight="1">
      <c r="A39" s="527"/>
      <c r="B39" s="527"/>
      <c r="C39" s="537">
        <v>9</v>
      </c>
      <c r="D39" s="536">
        <f>IF(VLOOKUP(C39,PROPONENTES!$B$19:$E$54,2,FALSE)="","",VLOOKUP(C39,PROPONENTES!$B$19:$E$54,2,FALSE))</f>
        <v>9</v>
      </c>
      <c r="E39" s="535" t="str">
        <f>IF(D39="","",IF(D39-INT(D39)&gt;1,"",VLOOKUP(D39,PROPONENTES!$C$19:$D$54,2,FALSE)))</f>
        <v>RENE ARMANDO MARTINEZ DORADO</v>
      </c>
      <c r="F39" s="534">
        <v>1</v>
      </c>
      <c r="G39" s="533"/>
      <c r="H39" s="524"/>
      <c r="I39" s="524"/>
      <c r="J39" s="524"/>
      <c r="K39" s="524"/>
      <c r="L39" s="524"/>
      <c r="M39" s="524"/>
      <c r="N39" s="524"/>
      <c r="O39" s="524"/>
      <c r="P39" s="524"/>
      <c r="Q39" s="524"/>
      <c r="R39" s="524"/>
      <c r="S39" s="524"/>
      <c r="T39" s="524"/>
      <c r="U39" s="524"/>
      <c r="V39" s="524"/>
      <c r="W39" s="524"/>
      <c r="X39" s="524"/>
      <c r="Y39" s="524"/>
      <c r="Z39" s="524"/>
      <c r="AA39" s="524"/>
      <c r="AB39" s="524"/>
      <c r="AC39" s="524"/>
      <c r="AD39" s="524"/>
      <c r="AE39" s="524"/>
      <c r="AF39" s="524"/>
      <c r="AG39" s="524"/>
      <c r="AH39" s="524"/>
      <c r="AI39" s="524"/>
      <c r="AJ39" s="524"/>
      <c r="AK39" s="524"/>
      <c r="AL39" s="524"/>
      <c r="AM39" s="524"/>
      <c r="AN39" s="524"/>
      <c r="AO39" s="524"/>
      <c r="AP39" s="524"/>
      <c r="AQ39" s="524"/>
      <c r="AR39" s="524"/>
      <c r="AS39" s="524"/>
      <c r="AT39" s="524"/>
      <c r="AU39" s="524"/>
      <c r="AV39" s="524"/>
      <c r="AW39" s="524"/>
      <c r="AX39" s="524"/>
      <c r="AY39" s="524"/>
      <c r="AZ39" s="524"/>
      <c r="BA39" s="524"/>
      <c r="BB39" s="524"/>
      <c r="BC39" s="524"/>
      <c r="BD39" s="524"/>
      <c r="BE39" s="524"/>
      <c r="BF39" s="524"/>
      <c r="BG39" s="524"/>
      <c r="BH39" s="524"/>
      <c r="BI39" s="524"/>
      <c r="BJ39" s="524"/>
      <c r="BK39" s="524"/>
      <c r="BL39" s="524"/>
      <c r="BM39" s="524"/>
      <c r="BN39" s="524"/>
      <c r="BO39" s="524"/>
      <c r="BP39" s="524"/>
      <c r="BQ39" s="524"/>
      <c r="BR39" s="524"/>
      <c r="BS39" s="524"/>
      <c r="BT39" s="524"/>
      <c r="BU39" s="524"/>
      <c r="BV39" s="524"/>
      <c r="BW39" s="524"/>
      <c r="BX39" s="524"/>
      <c r="BY39" s="524"/>
      <c r="BZ39" s="524"/>
      <c r="CA39" s="524"/>
      <c r="CB39" s="524"/>
      <c r="CC39" s="524"/>
      <c r="CD39" s="524"/>
      <c r="CE39" s="524"/>
      <c r="CF39" s="524"/>
      <c r="CG39" s="524"/>
      <c r="CH39" s="524"/>
      <c r="CI39" s="524"/>
      <c r="CJ39" s="524"/>
      <c r="CK39" s="524"/>
      <c r="CL39" s="524"/>
      <c r="CM39" s="524"/>
      <c r="CN39" s="524"/>
      <c r="CO39" s="524"/>
      <c r="CP39" s="524"/>
      <c r="CQ39" s="524"/>
      <c r="CR39" s="524"/>
      <c r="CS39" s="524"/>
    </row>
    <row r="40" spans="1:97" s="532" customFormat="1" ht="15.75" customHeight="1">
      <c r="A40" s="527"/>
      <c r="B40" s="527"/>
      <c r="C40" s="537">
        <v>10</v>
      </c>
      <c r="D40" s="536">
        <f>IF(VLOOKUP(C40,PROPONENTES!$B$19:$E$54,2,FALSE)="","",VLOOKUP(C40,PROPONENTES!$B$19:$E$54,2,FALSE))</f>
        <v>10</v>
      </c>
      <c r="E40" s="535" t="str">
        <f>IF(D40="","",IF(D40-INT(D40)&gt;1,"",VLOOKUP(D40,PROPONENTES!$C$19:$D$54,2,FALSE)))</f>
        <v>CONSORCIO ADMON BM 100</v>
      </c>
      <c r="F40" s="534">
        <f>SUM(F41:F42)</f>
        <v>1</v>
      </c>
      <c r="G40" s="533"/>
      <c r="H40" s="524"/>
      <c r="I40" s="524"/>
      <c r="J40" s="524"/>
      <c r="K40" s="524"/>
      <c r="L40" s="524"/>
      <c r="M40" s="524"/>
      <c r="N40" s="524"/>
      <c r="O40" s="524"/>
      <c r="P40" s="524"/>
      <c r="Q40" s="524"/>
      <c r="R40" s="524"/>
      <c r="S40" s="524"/>
      <c r="T40" s="524"/>
      <c r="U40" s="524"/>
      <c r="V40" s="524"/>
      <c r="W40" s="524"/>
      <c r="X40" s="524"/>
      <c r="Y40" s="524"/>
      <c r="Z40" s="524"/>
      <c r="AA40" s="524"/>
      <c r="AB40" s="524"/>
      <c r="AC40" s="524"/>
      <c r="AD40" s="524"/>
      <c r="AE40" s="524"/>
      <c r="AF40" s="524"/>
      <c r="AG40" s="524"/>
      <c r="AH40" s="524"/>
      <c r="AI40" s="524"/>
      <c r="AJ40" s="524"/>
      <c r="AK40" s="524"/>
      <c r="AL40" s="524"/>
      <c r="AM40" s="524"/>
      <c r="AN40" s="524"/>
      <c r="AO40" s="524"/>
      <c r="AP40" s="524"/>
      <c r="AQ40" s="524"/>
      <c r="AR40" s="524"/>
      <c r="AS40" s="524"/>
      <c r="AT40" s="524"/>
      <c r="AU40" s="524"/>
      <c r="AV40" s="524"/>
      <c r="AW40" s="524"/>
      <c r="AX40" s="524"/>
      <c r="AY40" s="524"/>
      <c r="AZ40" s="524"/>
      <c r="BA40" s="524"/>
      <c r="BB40" s="524"/>
      <c r="BC40" s="524"/>
      <c r="BD40" s="524"/>
      <c r="BE40" s="524"/>
      <c r="BF40" s="524"/>
      <c r="BG40" s="524"/>
      <c r="BH40" s="524"/>
      <c r="BI40" s="524"/>
      <c r="BJ40" s="524"/>
      <c r="BK40" s="524"/>
      <c r="BL40" s="524"/>
      <c r="BM40" s="524"/>
      <c r="BN40" s="524"/>
      <c r="BO40" s="524"/>
      <c r="BP40" s="524"/>
      <c r="BQ40" s="524"/>
      <c r="BR40" s="524"/>
      <c r="BS40" s="524"/>
      <c r="BT40" s="524"/>
      <c r="BU40" s="524"/>
      <c r="BV40" s="524"/>
      <c r="BW40" s="524"/>
      <c r="BX40" s="524"/>
      <c r="BY40" s="524"/>
      <c r="BZ40" s="524"/>
      <c r="CA40" s="524"/>
      <c r="CB40" s="524"/>
      <c r="CC40" s="524"/>
      <c r="CD40" s="524"/>
      <c r="CE40" s="524"/>
      <c r="CF40" s="524"/>
      <c r="CG40" s="524"/>
      <c r="CH40" s="524"/>
      <c r="CI40" s="524"/>
      <c r="CJ40" s="524"/>
      <c r="CK40" s="524"/>
      <c r="CL40" s="524"/>
      <c r="CM40" s="524"/>
      <c r="CN40" s="524"/>
      <c r="CO40" s="524"/>
      <c r="CP40" s="524"/>
      <c r="CQ40" s="524"/>
      <c r="CR40" s="524"/>
      <c r="CS40" s="524"/>
    </row>
    <row r="41" spans="1:97" s="532" customFormat="1" ht="15.75" customHeight="1">
      <c r="A41" s="527"/>
      <c r="B41" s="527"/>
      <c r="C41" s="537"/>
      <c r="D41" s="536">
        <v>10.1</v>
      </c>
      <c r="E41" s="535" t="s">
        <v>261</v>
      </c>
      <c r="F41" s="534">
        <v>0.6</v>
      </c>
      <c r="G41" s="533"/>
      <c r="H41" s="524"/>
      <c r="I41" s="524"/>
      <c r="J41" s="524"/>
      <c r="K41" s="524"/>
      <c r="L41" s="524"/>
      <c r="M41" s="524"/>
      <c r="N41" s="524"/>
      <c r="O41" s="524"/>
      <c r="P41" s="524"/>
      <c r="Q41" s="524"/>
      <c r="R41" s="524"/>
      <c r="S41" s="524"/>
      <c r="T41" s="524"/>
      <c r="U41" s="524"/>
      <c r="V41" s="524"/>
      <c r="W41" s="524"/>
      <c r="X41" s="524"/>
      <c r="Y41" s="524"/>
      <c r="Z41" s="524"/>
      <c r="AA41" s="524"/>
      <c r="AB41" s="524"/>
      <c r="AC41" s="524"/>
      <c r="AD41" s="524"/>
      <c r="AE41" s="524"/>
      <c r="AF41" s="524"/>
      <c r="AG41" s="524"/>
      <c r="AH41" s="524"/>
      <c r="AI41" s="524"/>
      <c r="AJ41" s="524"/>
      <c r="AK41" s="524"/>
      <c r="AL41" s="524"/>
      <c r="AM41" s="524"/>
      <c r="AN41" s="524"/>
      <c r="AO41" s="524"/>
      <c r="AP41" s="524"/>
      <c r="AQ41" s="524"/>
      <c r="AR41" s="524"/>
      <c r="AS41" s="524"/>
      <c r="AT41" s="524"/>
      <c r="AU41" s="524"/>
      <c r="AV41" s="524"/>
      <c r="AW41" s="524"/>
      <c r="AX41" s="524"/>
      <c r="AY41" s="524"/>
      <c r="AZ41" s="524"/>
      <c r="BA41" s="524"/>
      <c r="BB41" s="524"/>
      <c r="BC41" s="524"/>
      <c r="BD41" s="524"/>
      <c r="BE41" s="524"/>
      <c r="BF41" s="524"/>
      <c r="BG41" s="524"/>
      <c r="BH41" s="524"/>
      <c r="BI41" s="524"/>
      <c r="BJ41" s="524"/>
      <c r="BK41" s="524"/>
      <c r="BL41" s="524"/>
      <c r="BM41" s="524"/>
      <c r="BN41" s="524"/>
      <c r="BO41" s="524"/>
      <c r="BP41" s="524"/>
      <c r="BQ41" s="524"/>
      <c r="BR41" s="524"/>
      <c r="BS41" s="524"/>
      <c r="BT41" s="524"/>
      <c r="BU41" s="524"/>
      <c r="BV41" s="524"/>
      <c r="BW41" s="524"/>
      <c r="BX41" s="524"/>
      <c r="BY41" s="524"/>
      <c r="BZ41" s="524"/>
      <c r="CA41" s="524"/>
      <c r="CB41" s="524"/>
      <c r="CC41" s="524"/>
      <c r="CD41" s="524"/>
      <c r="CE41" s="524"/>
      <c r="CF41" s="524"/>
      <c r="CG41" s="524"/>
      <c r="CH41" s="524"/>
      <c r="CI41" s="524"/>
      <c r="CJ41" s="524"/>
      <c r="CK41" s="524"/>
      <c r="CL41" s="524"/>
      <c r="CM41" s="524"/>
      <c r="CN41" s="524"/>
      <c r="CO41" s="524"/>
      <c r="CP41" s="524"/>
      <c r="CQ41" s="524"/>
      <c r="CR41" s="524"/>
      <c r="CS41" s="524"/>
    </row>
    <row r="42" spans="1:97" s="532" customFormat="1" ht="15.75" customHeight="1">
      <c r="A42" s="527"/>
      <c r="B42" s="527"/>
      <c r="C42" s="537"/>
      <c r="D42" s="536">
        <v>10.199999999999999</v>
      </c>
      <c r="E42" s="535" t="s">
        <v>262</v>
      </c>
      <c r="F42" s="534">
        <v>0.4</v>
      </c>
      <c r="G42" s="533"/>
      <c r="H42" s="524"/>
      <c r="I42" s="524"/>
      <c r="J42" s="524"/>
      <c r="K42" s="524"/>
      <c r="L42" s="524"/>
      <c r="M42" s="524"/>
      <c r="N42" s="524"/>
      <c r="O42" s="524"/>
      <c r="P42" s="524"/>
      <c r="Q42" s="524"/>
      <c r="R42" s="524"/>
      <c r="S42" s="524"/>
      <c r="T42" s="524"/>
      <c r="U42" s="524"/>
      <c r="V42" s="524"/>
      <c r="W42" s="524"/>
      <c r="X42" s="524"/>
      <c r="Y42" s="524"/>
      <c r="Z42" s="524"/>
      <c r="AA42" s="524"/>
      <c r="AB42" s="524"/>
      <c r="AC42" s="524"/>
      <c r="AD42" s="524"/>
      <c r="AE42" s="524"/>
      <c r="AF42" s="524"/>
      <c r="AG42" s="524"/>
      <c r="AH42" s="524"/>
      <c r="AI42" s="524"/>
      <c r="AJ42" s="524"/>
      <c r="AK42" s="524"/>
      <c r="AL42" s="524"/>
      <c r="AM42" s="524"/>
      <c r="AN42" s="524"/>
      <c r="AO42" s="524"/>
      <c r="AP42" s="524"/>
      <c r="AQ42" s="524"/>
      <c r="AR42" s="524"/>
      <c r="AS42" s="524"/>
      <c r="AT42" s="524"/>
      <c r="AU42" s="524"/>
      <c r="AV42" s="524"/>
      <c r="AW42" s="524"/>
      <c r="AX42" s="524"/>
      <c r="AY42" s="524"/>
      <c r="AZ42" s="524"/>
      <c r="BA42" s="524"/>
      <c r="BB42" s="524"/>
      <c r="BC42" s="524"/>
      <c r="BD42" s="524"/>
      <c r="BE42" s="524"/>
      <c r="BF42" s="524"/>
      <c r="BG42" s="524"/>
      <c r="BH42" s="524"/>
      <c r="BI42" s="524"/>
      <c r="BJ42" s="524"/>
      <c r="BK42" s="524"/>
      <c r="BL42" s="524"/>
      <c r="BM42" s="524"/>
      <c r="BN42" s="524"/>
      <c r="BO42" s="524"/>
      <c r="BP42" s="524"/>
      <c r="BQ42" s="524"/>
      <c r="BR42" s="524"/>
      <c r="BS42" s="524"/>
      <c r="BT42" s="524"/>
      <c r="BU42" s="524"/>
      <c r="BV42" s="524"/>
      <c r="BW42" s="524"/>
      <c r="BX42" s="524"/>
      <c r="BY42" s="524"/>
      <c r="BZ42" s="524"/>
      <c r="CA42" s="524"/>
      <c r="CB42" s="524"/>
      <c r="CC42" s="524"/>
      <c r="CD42" s="524"/>
      <c r="CE42" s="524"/>
      <c r="CF42" s="524"/>
      <c r="CG42" s="524"/>
      <c r="CH42" s="524"/>
      <c r="CI42" s="524"/>
      <c r="CJ42" s="524"/>
      <c r="CK42" s="524"/>
      <c r="CL42" s="524"/>
      <c r="CM42" s="524"/>
      <c r="CN42" s="524"/>
      <c r="CO42" s="524"/>
      <c r="CP42" s="524"/>
      <c r="CQ42" s="524"/>
      <c r="CR42" s="524"/>
      <c r="CS42" s="524"/>
    </row>
    <row r="43" spans="1:97" s="532" customFormat="1" ht="15.75" customHeight="1">
      <c r="A43" s="527"/>
      <c r="B43" s="527"/>
      <c r="C43" s="537">
        <v>11</v>
      </c>
      <c r="D43" s="536">
        <f>IF(VLOOKUP(C43,PROPONENTES!$B$19:$E$54,2,FALSE)="","",VLOOKUP(C43,PROPONENTES!$B$19:$E$54,2,FALSE))</f>
        <v>11</v>
      </c>
      <c r="E43" s="535" t="str">
        <f>IF(D43="","",IF(D43-INT(D43)&gt;1,"",VLOOKUP(D43,PROPONENTES!$C$19:$D$54,2,FALSE)))</f>
        <v>GNG INGENIERIA S.A.S</v>
      </c>
      <c r="F43" s="534">
        <v>1</v>
      </c>
      <c r="G43" s="533"/>
      <c r="H43" s="524"/>
      <c r="I43" s="524"/>
      <c r="J43" s="524"/>
      <c r="K43" s="524"/>
      <c r="L43" s="524"/>
      <c r="M43" s="524"/>
      <c r="N43" s="524"/>
      <c r="O43" s="524"/>
      <c r="P43" s="524"/>
      <c r="Q43" s="524"/>
      <c r="R43" s="524"/>
      <c r="S43" s="524"/>
      <c r="T43" s="524"/>
      <c r="U43" s="524"/>
      <c r="V43" s="524"/>
      <c r="W43" s="524"/>
      <c r="X43" s="524"/>
      <c r="Y43" s="524"/>
      <c r="Z43" s="524"/>
      <c r="AA43" s="524"/>
      <c r="AB43" s="524"/>
      <c r="AC43" s="524"/>
      <c r="AD43" s="524"/>
      <c r="AE43" s="524"/>
      <c r="AF43" s="524"/>
      <c r="AG43" s="524"/>
      <c r="AH43" s="524"/>
      <c r="AI43" s="524"/>
      <c r="AJ43" s="524"/>
      <c r="AK43" s="524"/>
      <c r="AL43" s="524"/>
      <c r="AM43" s="524"/>
      <c r="AN43" s="524"/>
      <c r="AO43" s="524"/>
      <c r="AP43" s="524"/>
      <c r="AQ43" s="524"/>
      <c r="AR43" s="524"/>
      <c r="AS43" s="524"/>
      <c r="AT43" s="524"/>
      <c r="AU43" s="524"/>
      <c r="AV43" s="524"/>
      <c r="AW43" s="524"/>
      <c r="AX43" s="524"/>
      <c r="AY43" s="524"/>
      <c r="AZ43" s="524"/>
      <c r="BA43" s="524"/>
      <c r="BB43" s="524"/>
      <c r="BC43" s="524"/>
      <c r="BD43" s="524"/>
      <c r="BE43" s="524"/>
      <c r="BF43" s="524"/>
      <c r="BG43" s="524"/>
      <c r="BH43" s="524"/>
      <c r="BI43" s="524"/>
      <c r="BJ43" s="524"/>
      <c r="BK43" s="524"/>
      <c r="BL43" s="524"/>
      <c r="BM43" s="524"/>
      <c r="BN43" s="524"/>
      <c r="BO43" s="524"/>
      <c r="BP43" s="524"/>
      <c r="BQ43" s="524"/>
      <c r="BR43" s="524"/>
      <c r="BS43" s="524"/>
      <c r="BT43" s="524"/>
      <c r="BU43" s="524"/>
      <c r="BV43" s="524"/>
      <c r="BW43" s="524"/>
      <c r="BX43" s="524"/>
      <c r="BY43" s="524"/>
      <c r="BZ43" s="524"/>
      <c r="CA43" s="524"/>
      <c r="CB43" s="524"/>
      <c r="CC43" s="524"/>
      <c r="CD43" s="524"/>
      <c r="CE43" s="524"/>
      <c r="CF43" s="524"/>
      <c r="CG43" s="524"/>
      <c r="CH43" s="524"/>
      <c r="CI43" s="524"/>
      <c r="CJ43" s="524"/>
      <c r="CK43" s="524"/>
      <c r="CL43" s="524"/>
      <c r="CM43" s="524"/>
      <c r="CN43" s="524"/>
      <c r="CO43" s="524"/>
      <c r="CP43" s="524"/>
      <c r="CQ43" s="524"/>
      <c r="CR43" s="524"/>
      <c r="CS43" s="524"/>
    </row>
    <row r="44" spans="1:97" s="532" customFormat="1" ht="15.75" customHeight="1">
      <c r="A44" s="527"/>
      <c r="B44" s="527"/>
      <c r="C44" s="537">
        <v>12</v>
      </c>
      <c r="D44" s="536">
        <f>IF(VLOOKUP(C44,PROPONENTES!$B$19:$E$54,2,FALSE)="","",VLOOKUP(C44,PROPONENTES!$B$19:$E$54,2,FALSE))</f>
        <v>12</v>
      </c>
      <c r="E44" s="535" t="str">
        <f>IF(D44="","",IF(D44-INT(D44)&gt;1,"",VLOOKUP(D44,PROPONENTES!$C$19:$D$54,2,FALSE)))</f>
        <v>RAMON IVAN ORDOÑEZ TEJADA</v>
      </c>
      <c r="F44" s="534">
        <v>1</v>
      </c>
      <c r="G44" s="533"/>
      <c r="H44" s="524"/>
      <c r="I44" s="524"/>
      <c r="J44" s="524"/>
      <c r="K44" s="524"/>
      <c r="L44" s="524"/>
      <c r="M44" s="524"/>
      <c r="N44" s="524"/>
      <c r="O44" s="524"/>
      <c r="P44" s="524"/>
      <c r="Q44" s="524"/>
      <c r="R44" s="524"/>
      <c r="S44" s="524"/>
      <c r="T44" s="524"/>
      <c r="U44" s="524"/>
      <c r="V44" s="524"/>
      <c r="W44" s="524"/>
      <c r="X44" s="524"/>
      <c r="Y44" s="524"/>
      <c r="Z44" s="524"/>
      <c r="AA44" s="524"/>
      <c r="AB44" s="524"/>
      <c r="AC44" s="524"/>
      <c r="AD44" s="524"/>
      <c r="AE44" s="524"/>
      <c r="AF44" s="524"/>
      <c r="AG44" s="524"/>
      <c r="AH44" s="524"/>
      <c r="AI44" s="524"/>
      <c r="AJ44" s="524"/>
      <c r="AK44" s="524"/>
      <c r="AL44" s="524"/>
      <c r="AM44" s="524"/>
      <c r="AN44" s="524"/>
      <c r="AO44" s="524"/>
      <c r="AP44" s="524"/>
      <c r="AQ44" s="524"/>
      <c r="AR44" s="524"/>
      <c r="AS44" s="524"/>
      <c r="AT44" s="524"/>
      <c r="AU44" s="524"/>
      <c r="AV44" s="524"/>
      <c r="AW44" s="524"/>
      <c r="AX44" s="524"/>
      <c r="AY44" s="524"/>
      <c r="AZ44" s="524"/>
      <c r="BA44" s="524"/>
      <c r="BB44" s="524"/>
      <c r="BC44" s="524"/>
      <c r="BD44" s="524"/>
      <c r="BE44" s="524"/>
      <c r="BF44" s="524"/>
      <c r="BG44" s="524"/>
      <c r="BH44" s="524"/>
      <c r="BI44" s="524"/>
      <c r="BJ44" s="524"/>
      <c r="BK44" s="524"/>
      <c r="BL44" s="524"/>
      <c r="BM44" s="524"/>
      <c r="BN44" s="524"/>
      <c r="BO44" s="524"/>
      <c r="BP44" s="524"/>
      <c r="BQ44" s="524"/>
      <c r="BR44" s="524"/>
      <c r="BS44" s="524"/>
      <c r="BT44" s="524"/>
      <c r="BU44" s="524"/>
      <c r="BV44" s="524"/>
      <c r="BW44" s="524"/>
      <c r="BX44" s="524"/>
      <c r="BY44" s="524"/>
      <c r="BZ44" s="524"/>
      <c r="CA44" s="524"/>
      <c r="CB44" s="524"/>
      <c r="CC44" s="524"/>
      <c r="CD44" s="524"/>
      <c r="CE44" s="524"/>
      <c r="CF44" s="524"/>
      <c r="CG44" s="524"/>
      <c r="CH44" s="524"/>
      <c r="CI44" s="524"/>
      <c r="CJ44" s="524"/>
      <c r="CK44" s="524"/>
      <c r="CL44" s="524"/>
      <c r="CM44" s="524"/>
      <c r="CN44" s="524"/>
      <c r="CO44" s="524"/>
      <c r="CP44" s="524"/>
      <c r="CQ44" s="524"/>
      <c r="CR44" s="524"/>
      <c r="CS44" s="524"/>
    </row>
    <row r="45" spans="1:97" s="532" customFormat="1" ht="15.75" customHeight="1">
      <c r="A45" s="527"/>
      <c r="B45" s="527"/>
      <c r="C45" s="537">
        <v>13</v>
      </c>
      <c r="D45" s="536">
        <f>IF(VLOOKUP(C45,PROPONENTES!$B$19:$E$54,2,FALSE)="","",VLOOKUP(C45,PROPONENTES!$B$19:$E$54,2,FALSE))</f>
        <v>13</v>
      </c>
      <c r="E45" s="535" t="str">
        <f>IF(D45="","",IF(D45-INT(D45)&gt;1,"",VLOOKUP(D45,PROPONENTES!$C$19:$D$54,2,FALSE)))</f>
        <v>CONSORCIO VIAS BICENTENARIO 2.0</v>
      </c>
      <c r="F45" s="534">
        <f>SUM(F46:F47)</f>
        <v>1</v>
      </c>
      <c r="G45" s="533"/>
      <c r="H45" s="524"/>
      <c r="I45" s="524"/>
      <c r="J45" s="524"/>
      <c r="K45" s="524"/>
      <c r="L45" s="524"/>
      <c r="M45" s="524"/>
      <c r="N45" s="524"/>
      <c r="O45" s="524"/>
      <c r="P45" s="524"/>
      <c r="Q45" s="524"/>
      <c r="R45" s="524"/>
      <c r="S45" s="524"/>
      <c r="T45" s="524"/>
      <c r="U45" s="524"/>
      <c r="V45" s="524"/>
      <c r="W45" s="524"/>
      <c r="X45" s="524"/>
      <c r="Y45" s="524"/>
      <c r="Z45" s="524"/>
      <c r="AA45" s="524"/>
      <c r="AB45" s="524"/>
      <c r="AC45" s="524"/>
      <c r="AD45" s="524"/>
      <c r="AE45" s="524"/>
      <c r="AF45" s="524"/>
      <c r="AG45" s="524"/>
      <c r="AH45" s="524"/>
      <c r="AI45" s="524"/>
      <c r="AJ45" s="524"/>
      <c r="AK45" s="524"/>
      <c r="AL45" s="524"/>
      <c r="AM45" s="524"/>
      <c r="AN45" s="524"/>
      <c r="AO45" s="524"/>
      <c r="AP45" s="524"/>
      <c r="AQ45" s="524"/>
      <c r="AR45" s="524"/>
      <c r="AS45" s="524"/>
      <c r="AT45" s="524"/>
      <c r="AU45" s="524"/>
      <c r="AV45" s="524"/>
      <c r="AW45" s="524"/>
      <c r="AX45" s="524"/>
      <c r="AY45" s="524"/>
      <c r="AZ45" s="524"/>
      <c r="BA45" s="524"/>
      <c r="BB45" s="524"/>
      <c r="BC45" s="524"/>
      <c r="BD45" s="524"/>
      <c r="BE45" s="524"/>
      <c r="BF45" s="524"/>
      <c r="BG45" s="524"/>
      <c r="BH45" s="524"/>
      <c r="BI45" s="524"/>
      <c r="BJ45" s="524"/>
      <c r="BK45" s="524"/>
      <c r="BL45" s="524"/>
      <c r="BM45" s="524"/>
      <c r="BN45" s="524"/>
      <c r="BO45" s="524"/>
      <c r="BP45" s="524"/>
      <c r="BQ45" s="524"/>
      <c r="BR45" s="524"/>
      <c r="BS45" s="524"/>
      <c r="BT45" s="524"/>
      <c r="BU45" s="524"/>
      <c r="BV45" s="524"/>
      <c r="BW45" s="524"/>
      <c r="BX45" s="524"/>
      <c r="BY45" s="524"/>
      <c r="BZ45" s="524"/>
      <c r="CA45" s="524"/>
      <c r="CB45" s="524"/>
      <c r="CC45" s="524"/>
      <c r="CD45" s="524"/>
      <c r="CE45" s="524"/>
      <c r="CF45" s="524"/>
      <c r="CG45" s="524"/>
      <c r="CH45" s="524"/>
      <c r="CI45" s="524"/>
      <c r="CJ45" s="524"/>
      <c r="CK45" s="524"/>
      <c r="CL45" s="524"/>
      <c r="CM45" s="524"/>
      <c r="CN45" s="524"/>
      <c r="CO45" s="524"/>
      <c r="CP45" s="524"/>
      <c r="CQ45" s="524"/>
      <c r="CR45" s="524"/>
      <c r="CS45" s="524"/>
    </row>
    <row r="46" spans="1:97" s="532" customFormat="1" ht="15.75" customHeight="1">
      <c r="A46" s="527"/>
      <c r="B46" s="527"/>
      <c r="C46" s="537"/>
      <c r="D46" s="536">
        <v>13.1</v>
      </c>
      <c r="E46" s="535" t="s">
        <v>273</v>
      </c>
      <c r="F46" s="534">
        <v>0.6</v>
      </c>
      <c r="G46" s="533"/>
      <c r="H46" s="524"/>
      <c r="I46" s="524"/>
      <c r="J46" s="524"/>
      <c r="K46" s="524"/>
      <c r="L46" s="524"/>
      <c r="M46" s="524"/>
      <c r="N46" s="524"/>
      <c r="O46" s="524"/>
      <c r="P46" s="524"/>
      <c r="Q46" s="524"/>
      <c r="R46" s="524"/>
      <c r="S46" s="524"/>
      <c r="T46" s="524"/>
      <c r="U46" s="524"/>
      <c r="V46" s="524"/>
      <c r="W46" s="524"/>
      <c r="X46" s="524"/>
      <c r="Y46" s="524"/>
      <c r="Z46" s="524"/>
      <c r="AA46" s="524"/>
      <c r="AB46" s="524"/>
      <c r="AC46" s="524"/>
      <c r="AD46" s="524"/>
      <c r="AE46" s="524"/>
      <c r="AF46" s="524"/>
      <c r="AG46" s="524"/>
      <c r="AH46" s="524"/>
      <c r="AI46" s="524"/>
      <c r="AJ46" s="524"/>
      <c r="AK46" s="524"/>
      <c r="AL46" s="524"/>
      <c r="AM46" s="524"/>
      <c r="AN46" s="524"/>
      <c r="AO46" s="524"/>
      <c r="AP46" s="524"/>
      <c r="AQ46" s="524"/>
      <c r="AR46" s="524"/>
      <c r="AS46" s="524"/>
      <c r="AT46" s="524"/>
      <c r="AU46" s="524"/>
      <c r="AV46" s="524"/>
      <c r="AW46" s="524"/>
      <c r="AX46" s="524"/>
      <c r="AY46" s="524"/>
      <c r="AZ46" s="524"/>
      <c r="BA46" s="524"/>
      <c r="BB46" s="524"/>
      <c r="BC46" s="524"/>
      <c r="BD46" s="524"/>
      <c r="BE46" s="524"/>
      <c r="BF46" s="524"/>
      <c r="BG46" s="524"/>
      <c r="BH46" s="524"/>
      <c r="BI46" s="524"/>
      <c r="BJ46" s="524"/>
      <c r="BK46" s="524"/>
      <c r="BL46" s="524"/>
      <c r="BM46" s="524"/>
      <c r="BN46" s="524"/>
      <c r="BO46" s="524"/>
      <c r="BP46" s="524"/>
      <c r="BQ46" s="524"/>
      <c r="BR46" s="524"/>
      <c r="BS46" s="524"/>
      <c r="BT46" s="524"/>
      <c r="BU46" s="524"/>
      <c r="BV46" s="524"/>
      <c r="BW46" s="524"/>
      <c r="BX46" s="524"/>
      <c r="BY46" s="524"/>
      <c r="BZ46" s="524"/>
      <c r="CA46" s="524"/>
      <c r="CB46" s="524"/>
      <c r="CC46" s="524"/>
      <c r="CD46" s="524"/>
      <c r="CE46" s="524"/>
      <c r="CF46" s="524"/>
      <c r="CG46" s="524"/>
      <c r="CH46" s="524"/>
      <c r="CI46" s="524"/>
      <c r="CJ46" s="524"/>
      <c r="CK46" s="524"/>
      <c r="CL46" s="524"/>
      <c r="CM46" s="524"/>
      <c r="CN46" s="524"/>
      <c r="CO46" s="524"/>
      <c r="CP46" s="524"/>
      <c r="CQ46" s="524"/>
      <c r="CR46" s="524"/>
      <c r="CS46" s="524"/>
    </row>
    <row r="47" spans="1:97" s="532" customFormat="1" ht="15.75" customHeight="1">
      <c r="A47" s="527"/>
      <c r="B47" s="527"/>
      <c r="C47" s="537"/>
      <c r="D47" s="536">
        <v>13.2</v>
      </c>
      <c r="E47" s="535" t="s">
        <v>274</v>
      </c>
      <c r="F47" s="534">
        <v>0.4</v>
      </c>
      <c r="G47" s="533"/>
      <c r="H47" s="524"/>
      <c r="I47" s="524"/>
      <c r="J47" s="524"/>
      <c r="K47" s="524"/>
      <c r="L47" s="524"/>
      <c r="M47" s="524"/>
      <c r="N47" s="524"/>
      <c r="O47" s="524"/>
      <c r="P47" s="524"/>
      <c r="Q47" s="524"/>
      <c r="R47" s="524"/>
      <c r="S47" s="524"/>
      <c r="T47" s="524"/>
      <c r="U47" s="524"/>
      <c r="V47" s="524"/>
      <c r="W47" s="524"/>
      <c r="X47" s="524"/>
      <c r="Y47" s="524"/>
      <c r="Z47" s="524"/>
      <c r="AA47" s="524"/>
      <c r="AB47" s="524"/>
      <c r="AC47" s="524"/>
      <c r="AD47" s="524"/>
      <c r="AE47" s="524"/>
      <c r="AF47" s="524"/>
      <c r="AG47" s="524"/>
      <c r="AH47" s="524"/>
      <c r="AI47" s="524"/>
      <c r="AJ47" s="524"/>
      <c r="AK47" s="524"/>
      <c r="AL47" s="524"/>
      <c r="AM47" s="524"/>
      <c r="AN47" s="524"/>
      <c r="AO47" s="524"/>
      <c r="AP47" s="524"/>
      <c r="AQ47" s="524"/>
      <c r="AR47" s="524"/>
      <c r="AS47" s="524"/>
      <c r="AT47" s="524"/>
      <c r="AU47" s="524"/>
      <c r="AV47" s="524"/>
      <c r="AW47" s="524"/>
      <c r="AX47" s="524"/>
      <c r="AY47" s="524"/>
      <c r="AZ47" s="524"/>
      <c r="BA47" s="524"/>
      <c r="BB47" s="524"/>
      <c r="BC47" s="524"/>
      <c r="BD47" s="524"/>
      <c r="BE47" s="524"/>
      <c r="BF47" s="524"/>
      <c r="BG47" s="524"/>
      <c r="BH47" s="524"/>
      <c r="BI47" s="524"/>
      <c r="BJ47" s="524"/>
      <c r="BK47" s="524"/>
      <c r="BL47" s="524"/>
      <c r="BM47" s="524"/>
      <c r="BN47" s="524"/>
      <c r="BO47" s="524"/>
      <c r="BP47" s="524"/>
      <c r="BQ47" s="524"/>
      <c r="BR47" s="524"/>
      <c r="BS47" s="524"/>
      <c r="BT47" s="524"/>
      <c r="BU47" s="524"/>
      <c r="BV47" s="524"/>
      <c r="BW47" s="524"/>
      <c r="BX47" s="524"/>
      <c r="BY47" s="524"/>
      <c r="BZ47" s="524"/>
      <c r="CA47" s="524"/>
      <c r="CB47" s="524"/>
      <c r="CC47" s="524"/>
      <c r="CD47" s="524"/>
      <c r="CE47" s="524"/>
      <c r="CF47" s="524"/>
      <c r="CG47" s="524"/>
      <c r="CH47" s="524"/>
      <c r="CI47" s="524"/>
      <c r="CJ47" s="524"/>
      <c r="CK47" s="524"/>
      <c r="CL47" s="524"/>
      <c r="CM47" s="524"/>
      <c r="CN47" s="524"/>
      <c r="CO47" s="524"/>
      <c r="CP47" s="524"/>
      <c r="CQ47" s="524"/>
      <c r="CR47" s="524"/>
      <c r="CS47" s="524"/>
    </row>
    <row r="48" spans="1:97" s="532" customFormat="1" ht="15.75" customHeight="1">
      <c r="A48" s="527"/>
      <c r="B48" s="527"/>
      <c r="C48" s="537">
        <v>14</v>
      </c>
      <c r="D48" s="536">
        <f>IF(VLOOKUP(C48,PROPONENTES!$B$19:$E$54,2,FALSE)="","",VLOOKUP(C48,PROPONENTES!$B$19:$E$54,2,FALSE))</f>
        <v>14</v>
      </c>
      <c r="E48" s="535" t="str">
        <f>IF(D48="","",IF(D48-INT(D48)&gt;1,"",VLOOKUP(D48,PROPONENTES!$C$19:$D$54,2,FALSE)))</f>
        <v>CONSORCIO INUC</v>
      </c>
      <c r="F48" s="534">
        <f>SUM(F49:F50)</f>
        <v>1</v>
      </c>
      <c r="G48" s="533"/>
      <c r="H48" s="524"/>
      <c r="I48" s="524"/>
      <c r="J48" s="524"/>
      <c r="K48" s="524"/>
      <c r="L48" s="524"/>
      <c r="M48" s="524"/>
      <c r="N48" s="524"/>
      <c r="O48" s="524"/>
      <c r="P48" s="524"/>
      <c r="Q48" s="524"/>
      <c r="R48" s="524"/>
      <c r="S48" s="524"/>
      <c r="T48" s="524"/>
      <c r="U48" s="524"/>
      <c r="V48" s="524"/>
      <c r="W48" s="524"/>
      <c r="X48" s="524"/>
      <c r="Y48" s="524"/>
      <c r="Z48" s="524"/>
      <c r="AA48" s="524"/>
      <c r="AB48" s="524"/>
      <c r="AC48" s="524"/>
      <c r="AD48" s="524"/>
      <c r="AE48" s="524"/>
      <c r="AF48" s="524"/>
      <c r="AG48" s="524"/>
      <c r="AH48" s="524"/>
      <c r="AI48" s="524"/>
      <c r="AJ48" s="524"/>
      <c r="AK48" s="524"/>
      <c r="AL48" s="524"/>
      <c r="AM48" s="524"/>
      <c r="AN48" s="524"/>
      <c r="AO48" s="524"/>
      <c r="AP48" s="524"/>
      <c r="AQ48" s="524"/>
      <c r="AR48" s="524"/>
      <c r="AS48" s="524"/>
      <c r="AT48" s="524"/>
      <c r="AU48" s="524"/>
      <c r="AV48" s="524"/>
      <c r="AW48" s="524"/>
      <c r="AX48" s="524"/>
      <c r="AY48" s="524"/>
      <c r="AZ48" s="524"/>
      <c r="BA48" s="524"/>
      <c r="BB48" s="524"/>
      <c r="BC48" s="524"/>
      <c r="BD48" s="524"/>
      <c r="BE48" s="524"/>
      <c r="BF48" s="524"/>
      <c r="BG48" s="524"/>
      <c r="BH48" s="524"/>
      <c r="BI48" s="524"/>
      <c r="BJ48" s="524"/>
      <c r="BK48" s="524"/>
      <c r="BL48" s="524"/>
      <c r="BM48" s="524"/>
      <c r="BN48" s="524"/>
      <c r="BO48" s="524"/>
      <c r="BP48" s="524"/>
      <c r="BQ48" s="524"/>
      <c r="BR48" s="524"/>
      <c r="BS48" s="524"/>
      <c r="BT48" s="524"/>
      <c r="BU48" s="524"/>
      <c r="BV48" s="524"/>
      <c r="BW48" s="524"/>
      <c r="BX48" s="524"/>
      <c r="BY48" s="524"/>
      <c r="BZ48" s="524"/>
      <c r="CA48" s="524"/>
      <c r="CB48" s="524"/>
      <c r="CC48" s="524"/>
      <c r="CD48" s="524"/>
      <c r="CE48" s="524"/>
      <c r="CF48" s="524"/>
      <c r="CG48" s="524"/>
      <c r="CH48" s="524"/>
      <c r="CI48" s="524"/>
      <c r="CJ48" s="524"/>
      <c r="CK48" s="524"/>
      <c r="CL48" s="524"/>
      <c r="CM48" s="524"/>
      <c r="CN48" s="524"/>
      <c r="CO48" s="524"/>
      <c r="CP48" s="524"/>
      <c r="CQ48" s="524"/>
      <c r="CR48" s="524"/>
      <c r="CS48" s="524"/>
    </row>
    <row r="49" spans="1:97" s="532" customFormat="1" ht="15.75" customHeight="1">
      <c r="A49" s="527"/>
      <c r="B49" s="527"/>
      <c r="C49" s="537"/>
      <c r="D49" s="536">
        <v>14.1</v>
      </c>
      <c r="E49" s="535" t="s">
        <v>275</v>
      </c>
      <c r="F49" s="534">
        <v>0.4</v>
      </c>
      <c r="G49" s="533"/>
      <c r="H49" s="524"/>
      <c r="I49" s="524"/>
      <c r="J49" s="524"/>
      <c r="K49" s="524"/>
      <c r="L49" s="524"/>
      <c r="M49" s="524"/>
      <c r="N49" s="524"/>
      <c r="O49" s="524"/>
      <c r="P49" s="524"/>
      <c r="Q49" s="524"/>
      <c r="R49" s="524"/>
      <c r="S49" s="524"/>
      <c r="T49" s="524"/>
      <c r="U49" s="524"/>
      <c r="V49" s="524"/>
      <c r="W49" s="524"/>
      <c r="X49" s="524"/>
      <c r="Y49" s="524"/>
      <c r="Z49" s="524"/>
      <c r="AA49" s="524"/>
      <c r="AB49" s="524"/>
      <c r="AC49" s="524"/>
      <c r="AD49" s="524"/>
      <c r="AE49" s="524"/>
      <c r="AF49" s="524"/>
      <c r="AG49" s="524"/>
      <c r="AH49" s="524"/>
      <c r="AI49" s="524"/>
      <c r="AJ49" s="524"/>
      <c r="AK49" s="524"/>
      <c r="AL49" s="524"/>
      <c r="AM49" s="524"/>
      <c r="AN49" s="524"/>
      <c r="AO49" s="524"/>
      <c r="AP49" s="524"/>
      <c r="AQ49" s="524"/>
      <c r="AR49" s="524"/>
      <c r="AS49" s="524"/>
      <c r="AT49" s="524"/>
      <c r="AU49" s="524"/>
      <c r="AV49" s="524"/>
      <c r="AW49" s="524"/>
      <c r="AX49" s="524"/>
      <c r="AY49" s="524"/>
      <c r="AZ49" s="524"/>
      <c r="BA49" s="524"/>
      <c r="BB49" s="524"/>
      <c r="BC49" s="524"/>
      <c r="BD49" s="524"/>
      <c r="BE49" s="524"/>
      <c r="BF49" s="524"/>
      <c r="BG49" s="524"/>
      <c r="BH49" s="524"/>
      <c r="BI49" s="524"/>
      <c r="BJ49" s="524"/>
      <c r="BK49" s="524"/>
      <c r="BL49" s="524"/>
      <c r="BM49" s="524"/>
      <c r="BN49" s="524"/>
      <c r="BO49" s="524"/>
      <c r="BP49" s="524"/>
      <c r="BQ49" s="524"/>
      <c r="BR49" s="524"/>
      <c r="BS49" s="524"/>
      <c r="BT49" s="524"/>
      <c r="BU49" s="524"/>
      <c r="BV49" s="524"/>
      <c r="BW49" s="524"/>
      <c r="BX49" s="524"/>
      <c r="BY49" s="524"/>
      <c r="BZ49" s="524"/>
      <c r="CA49" s="524"/>
      <c r="CB49" s="524"/>
      <c r="CC49" s="524"/>
      <c r="CD49" s="524"/>
      <c r="CE49" s="524"/>
      <c r="CF49" s="524"/>
      <c r="CG49" s="524"/>
      <c r="CH49" s="524"/>
      <c r="CI49" s="524"/>
      <c r="CJ49" s="524"/>
      <c r="CK49" s="524"/>
      <c r="CL49" s="524"/>
      <c r="CM49" s="524"/>
      <c r="CN49" s="524"/>
      <c r="CO49" s="524"/>
      <c r="CP49" s="524"/>
      <c r="CQ49" s="524"/>
      <c r="CR49" s="524"/>
      <c r="CS49" s="524"/>
    </row>
    <row r="50" spans="1:97" s="532" customFormat="1" ht="15.75" customHeight="1">
      <c r="A50" s="527"/>
      <c r="B50" s="527"/>
      <c r="C50" s="537"/>
      <c r="D50" s="536">
        <v>14.2</v>
      </c>
      <c r="E50" s="535" t="s">
        <v>276</v>
      </c>
      <c r="F50" s="534">
        <v>0.6</v>
      </c>
      <c r="G50" s="533"/>
      <c r="H50" s="524"/>
      <c r="I50" s="524"/>
      <c r="J50" s="524"/>
      <c r="K50" s="524"/>
      <c r="L50" s="524"/>
      <c r="M50" s="524"/>
      <c r="N50" s="524"/>
      <c r="O50" s="524"/>
      <c r="P50" s="524"/>
      <c r="Q50" s="524"/>
      <c r="R50" s="524"/>
      <c r="S50" s="524"/>
      <c r="T50" s="524"/>
      <c r="U50" s="524"/>
      <c r="V50" s="524"/>
      <c r="W50" s="524"/>
      <c r="X50" s="524"/>
      <c r="Y50" s="524"/>
      <c r="Z50" s="524"/>
      <c r="AA50" s="524"/>
      <c r="AB50" s="524"/>
      <c r="AC50" s="524"/>
      <c r="AD50" s="524"/>
      <c r="AE50" s="524"/>
      <c r="AF50" s="524"/>
      <c r="AG50" s="524"/>
      <c r="AH50" s="524"/>
      <c r="AI50" s="524"/>
      <c r="AJ50" s="524"/>
      <c r="AK50" s="524"/>
      <c r="AL50" s="524"/>
      <c r="AM50" s="524"/>
      <c r="AN50" s="524"/>
      <c r="AO50" s="524"/>
      <c r="AP50" s="524"/>
      <c r="AQ50" s="524"/>
      <c r="AR50" s="524"/>
      <c r="AS50" s="524"/>
      <c r="AT50" s="524"/>
      <c r="AU50" s="524"/>
      <c r="AV50" s="524"/>
      <c r="AW50" s="524"/>
      <c r="AX50" s="524"/>
      <c r="AY50" s="524"/>
      <c r="AZ50" s="524"/>
      <c r="BA50" s="524"/>
      <c r="BB50" s="524"/>
      <c r="BC50" s="524"/>
      <c r="BD50" s="524"/>
      <c r="BE50" s="524"/>
      <c r="BF50" s="524"/>
      <c r="BG50" s="524"/>
      <c r="BH50" s="524"/>
      <c r="BI50" s="524"/>
      <c r="BJ50" s="524"/>
      <c r="BK50" s="524"/>
      <c r="BL50" s="524"/>
      <c r="BM50" s="524"/>
      <c r="BN50" s="524"/>
      <c r="BO50" s="524"/>
      <c r="BP50" s="524"/>
      <c r="BQ50" s="524"/>
      <c r="BR50" s="524"/>
      <c r="BS50" s="524"/>
      <c r="BT50" s="524"/>
      <c r="BU50" s="524"/>
      <c r="BV50" s="524"/>
      <c r="BW50" s="524"/>
      <c r="BX50" s="524"/>
      <c r="BY50" s="524"/>
      <c r="BZ50" s="524"/>
      <c r="CA50" s="524"/>
      <c r="CB50" s="524"/>
      <c r="CC50" s="524"/>
      <c r="CD50" s="524"/>
      <c r="CE50" s="524"/>
      <c r="CF50" s="524"/>
      <c r="CG50" s="524"/>
      <c r="CH50" s="524"/>
      <c r="CI50" s="524"/>
      <c r="CJ50" s="524"/>
      <c r="CK50" s="524"/>
      <c r="CL50" s="524"/>
      <c r="CM50" s="524"/>
      <c r="CN50" s="524"/>
      <c r="CO50" s="524"/>
      <c r="CP50" s="524"/>
      <c r="CQ50" s="524"/>
      <c r="CR50" s="524"/>
      <c r="CS50" s="524"/>
    </row>
    <row r="51" spans="1:97" s="532" customFormat="1" ht="15.75" customHeight="1">
      <c r="A51" s="527"/>
      <c r="B51" s="527"/>
      <c r="C51" s="537">
        <v>15</v>
      </c>
      <c r="D51" s="536">
        <f>IF(VLOOKUP(C51,PROPONENTES!$B$19:$E$54,2,FALSE)="","",VLOOKUP(C51,PROPONENTES!$B$19:$E$54,2,FALSE))</f>
        <v>15</v>
      </c>
      <c r="E51" s="535" t="str">
        <f>IF(D51="","",IF(D51-INT(D51)&gt;1,"",VLOOKUP(D51,PROPONENTES!$C$19:$D$54,2,FALSE)))</f>
        <v>CONSORCIO CIVILES 100</v>
      </c>
      <c r="F51" s="534">
        <f>SUM(F52:F53)</f>
        <v>1</v>
      </c>
      <c r="G51" s="533"/>
      <c r="H51" s="524"/>
      <c r="I51" s="524"/>
      <c r="J51" s="524"/>
      <c r="K51" s="524"/>
      <c r="L51" s="524"/>
      <c r="M51" s="524"/>
      <c r="N51" s="524"/>
      <c r="O51" s="524"/>
      <c r="P51" s="524"/>
      <c r="Q51" s="524"/>
      <c r="R51" s="524"/>
      <c r="S51" s="524"/>
      <c r="T51" s="524"/>
      <c r="U51" s="524"/>
      <c r="V51" s="524"/>
      <c r="W51" s="524"/>
      <c r="X51" s="524"/>
      <c r="Y51" s="524"/>
      <c r="Z51" s="524"/>
      <c r="AA51" s="524"/>
      <c r="AB51" s="524"/>
      <c r="AC51" s="524"/>
      <c r="AD51" s="524"/>
      <c r="AE51" s="524"/>
      <c r="AF51" s="524"/>
      <c r="AG51" s="524"/>
      <c r="AH51" s="524"/>
      <c r="AI51" s="524"/>
      <c r="AJ51" s="524"/>
      <c r="AK51" s="524"/>
      <c r="AL51" s="524"/>
      <c r="AM51" s="524"/>
      <c r="AN51" s="524"/>
      <c r="AO51" s="524"/>
      <c r="AP51" s="524"/>
      <c r="AQ51" s="524"/>
      <c r="AR51" s="524"/>
      <c r="AS51" s="524"/>
      <c r="AT51" s="524"/>
      <c r="AU51" s="524"/>
      <c r="AV51" s="524"/>
      <c r="AW51" s="524"/>
      <c r="AX51" s="524"/>
      <c r="AY51" s="524"/>
      <c r="AZ51" s="524"/>
      <c r="BA51" s="524"/>
      <c r="BB51" s="524"/>
      <c r="BC51" s="524"/>
      <c r="BD51" s="524"/>
      <c r="BE51" s="524"/>
      <c r="BF51" s="524"/>
      <c r="BG51" s="524"/>
      <c r="BH51" s="524"/>
      <c r="BI51" s="524"/>
      <c r="BJ51" s="524"/>
      <c r="BK51" s="524"/>
      <c r="BL51" s="524"/>
      <c r="BM51" s="524"/>
      <c r="BN51" s="524"/>
      <c r="BO51" s="524"/>
      <c r="BP51" s="524"/>
      <c r="BQ51" s="524"/>
      <c r="BR51" s="524"/>
      <c r="BS51" s="524"/>
      <c r="BT51" s="524"/>
      <c r="BU51" s="524"/>
      <c r="BV51" s="524"/>
      <c r="BW51" s="524"/>
      <c r="BX51" s="524"/>
      <c r="BY51" s="524"/>
      <c r="BZ51" s="524"/>
      <c r="CA51" s="524"/>
      <c r="CB51" s="524"/>
      <c r="CC51" s="524"/>
      <c r="CD51" s="524"/>
      <c r="CE51" s="524"/>
      <c r="CF51" s="524"/>
      <c r="CG51" s="524"/>
      <c r="CH51" s="524"/>
      <c r="CI51" s="524"/>
      <c r="CJ51" s="524"/>
      <c r="CK51" s="524"/>
      <c r="CL51" s="524"/>
      <c r="CM51" s="524"/>
      <c r="CN51" s="524"/>
      <c r="CO51" s="524"/>
      <c r="CP51" s="524"/>
      <c r="CQ51" s="524"/>
      <c r="CR51" s="524"/>
      <c r="CS51" s="524"/>
    </row>
    <row r="52" spans="1:97" s="532" customFormat="1" ht="15.75" customHeight="1">
      <c r="A52" s="527"/>
      <c r="B52" s="527"/>
      <c r="C52" s="537"/>
      <c r="D52" s="536">
        <v>15.1</v>
      </c>
      <c r="E52" s="535" t="s">
        <v>289</v>
      </c>
      <c r="F52" s="534">
        <v>0.6</v>
      </c>
      <c r="G52" s="533"/>
      <c r="H52" s="524"/>
      <c r="I52" s="524"/>
      <c r="J52" s="524"/>
      <c r="K52" s="524"/>
      <c r="L52" s="524"/>
      <c r="M52" s="524"/>
      <c r="N52" s="524"/>
      <c r="O52" s="524"/>
      <c r="P52" s="524"/>
      <c r="Q52" s="524"/>
      <c r="R52" s="524"/>
      <c r="S52" s="524"/>
      <c r="T52" s="524"/>
      <c r="U52" s="524"/>
      <c r="V52" s="524"/>
      <c r="W52" s="524"/>
      <c r="X52" s="524"/>
      <c r="Y52" s="524"/>
      <c r="Z52" s="524"/>
      <c r="AA52" s="524"/>
      <c r="AB52" s="524"/>
      <c r="AC52" s="524"/>
      <c r="AD52" s="524"/>
      <c r="AE52" s="524"/>
      <c r="AF52" s="524"/>
      <c r="AG52" s="524"/>
      <c r="AH52" s="524"/>
      <c r="AI52" s="524"/>
      <c r="AJ52" s="524"/>
      <c r="AK52" s="524"/>
      <c r="AL52" s="524"/>
      <c r="AM52" s="524"/>
      <c r="AN52" s="524"/>
      <c r="AO52" s="524"/>
      <c r="AP52" s="524"/>
      <c r="AQ52" s="524"/>
      <c r="AR52" s="524"/>
      <c r="AS52" s="524"/>
      <c r="AT52" s="524"/>
      <c r="AU52" s="524"/>
      <c r="AV52" s="524"/>
      <c r="AW52" s="524"/>
      <c r="AX52" s="524"/>
      <c r="AY52" s="524"/>
      <c r="AZ52" s="524"/>
      <c r="BA52" s="524"/>
      <c r="BB52" s="524"/>
      <c r="BC52" s="524"/>
      <c r="BD52" s="524"/>
      <c r="BE52" s="524"/>
      <c r="BF52" s="524"/>
      <c r="BG52" s="524"/>
      <c r="BH52" s="524"/>
      <c r="BI52" s="524"/>
      <c r="BJ52" s="524"/>
      <c r="BK52" s="524"/>
      <c r="BL52" s="524"/>
      <c r="BM52" s="524"/>
      <c r="BN52" s="524"/>
      <c r="BO52" s="524"/>
      <c r="BP52" s="524"/>
      <c r="BQ52" s="524"/>
      <c r="BR52" s="524"/>
      <c r="BS52" s="524"/>
      <c r="BT52" s="524"/>
      <c r="BU52" s="524"/>
      <c r="BV52" s="524"/>
      <c r="BW52" s="524"/>
      <c r="BX52" s="524"/>
      <c r="BY52" s="524"/>
      <c r="BZ52" s="524"/>
      <c r="CA52" s="524"/>
      <c r="CB52" s="524"/>
      <c r="CC52" s="524"/>
      <c r="CD52" s="524"/>
      <c r="CE52" s="524"/>
      <c r="CF52" s="524"/>
      <c r="CG52" s="524"/>
      <c r="CH52" s="524"/>
      <c r="CI52" s="524"/>
      <c r="CJ52" s="524"/>
      <c r="CK52" s="524"/>
      <c r="CL52" s="524"/>
      <c r="CM52" s="524"/>
      <c r="CN52" s="524"/>
      <c r="CO52" s="524"/>
      <c r="CP52" s="524"/>
      <c r="CQ52" s="524"/>
      <c r="CR52" s="524"/>
      <c r="CS52" s="524"/>
    </row>
    <row r="53" spans="1:97" s="532" customFormat="1" ht="15.75" customHeight="1">
      <c r="A53" s="527"/>
      <c r="B53" s="527"/>
      <c r="C53" s="537"/>
      <c r="D53" s="536">
        <v>15.2</v>
      </c>
      <c r="E53" s="535" t="s">
        <v>290</v>
      </c>
      <c r="F53" s="534">
        <v>0.4</v>
      </c>
      <c r="G53" s="533"/>
      <c r="H53" s="524"/>
      <c r="I53" s="524"/>
      <c r="J53" s="524"/>
      <c r="K53" s="524"/>
      <c r="L53" s="524"/>
      <c r="M53" s="524"/>
      <c r="N53" s="524"/>
      <c r="O53" s="524"/>
      <c r="P53" s="524"/>
      <c r="Q53" s="524"/>
      <c r="R53" s="524"/>
      <c r="S53" s="524"/>
      <c r="T53" s="524"/>
      <c r="U53" s="524"/>
      <c r="V53" s="524"/>
      <c r="W53" s="524"/>
      <c r="X53" s="524"/>
      <c r="Y53" s="524"/>
      <c r="Z53" s="524"/>
      <c r="AA53" s="524"/>
      <c r="AB53" s="524"/>
      <c r="AC53" s="524"/>
      <c r="AD53" s="524"/>
      <c r="AE53" s="524"/>
      <c r="AF53" s="524"/>
      <c r="AG53" s="524"/>
      <c r="AH53" s="524"/>
      <c r="AI53" s="524"/>
      <c r="AJ53" s="524"/>
      <c r="AK53" s="524"/>
      <c r="AL53" s="524"/>
      <c r="AM53" s="524"/>
      <c r="AN53" s="524"/>
      <c r="AO53" s="524"/>
      <c r="AP53" s="524"/>
      <c r="AQ53" s="524"/>
      <c r="AR53" s="524"/>
      <c r="AS53" s="524"/>
      <c r="AT53" s="524"/>
      <c r="AU53" s="524"/>
      <c r="AV53" s="524"/>
      <c r="AW53" s="524"/>
      <c r="AX53" s="524"/>
      <c r="AY53" s="524"/>
      <c r="AZ53" s="524"/>
      <c r="BA53" s="524"/>
      <c r="BB53" s="524"/>
      <c r="BC53" s="524"/>
      <c r="BD53" s="524"/>
      <c r="BE53" s="524"/>
      <c r="BF53" s="524"/>
      <c r="BG53" s="524"/>
      <c r="BH53" s="524"/>
      <c r="BI53" s="524"/>
      <c r="BJ53" s="524"/>
      <c r="BK53" s="524"/>
      <c r="BL53" s="524"/>
      <c r="BM53" s="524"/>
      <c r="BN53" s="524"/>
      <c r="BO53" s="524"/>
      <c r="BP53" s="524"/>
      <c r="BQ53" s="524"/>
      <c r="BR53" s="524"/>
      <c r="BS53" s="524"/>
      <c r="BT53" s="524"/>
      <c r="BU53" s="524"/>
      <c r="BV53" s="524"/>
      <c r="BW53" s="524"/>
      <c r="BX53" s="524"/>
      <c r="BY53" s="524"/>
      <c r="BZ53" s="524"/>
      <c r="CA53" s="524"/>
      <c r="CB53" s="524"/>
      <c r="CC53" s="524"/>
      <c r="CD53" s="524"/>
      <c r="CE53" s="524"/>
      <c r="CF53" s="524"/>
      <c r="CG53" s="524"/>
      <c r="CH53" s="524"/>
      <c r="CI53" s="524"/>
      <c r="CJ53" s="524"/>
      <c r="CK53" s="524"/>
      <c r="CL53" s="524"/>
      <c r="CM53" s="524"/>
      <c r="CN53" s="524"/>
      <c r="CO53" s="524"/>
      <c r="CP53" s="524"/>
      <c r="CQ53" s="524"/>
      <c r="CR53" s="524"/>
      <c r="CS53" s="524"/>
    </row>
    <row r="54" spans="1:97" s="532" customFormat="1" ht="15.75" customHeight="1">
      <c r="A54" s="527"/>
      <c r="B54" s="527"/>
      <c r="C54" s="537">
        <v>16</v>
      </c>
      <c r="D54" s="536">
        <f>IF(VLOOKUP(C54,PROPONENTES!$B$19:$E$54,2,FALSE)="","",VLOOKUP(C54,PROPONENTES!$B$19:$E$54,2,FALSE))</f>
        <v>16</v>
      </c>
      <c r="E54" s="535" t="str">
        <f>IF(D54="","",IF(D54-INT(D54)&gt;1,"",VLOOKUP(D54,PROPONENTES!$C$19:$D$54,2,FALSE)))</f>
        <v>CONSORCIO ADMON IG 100</v>
      </c>
      <c r="F54" s="534">
        <f>SUM(F55:F57)</f>
        <v>1</v>
      </c>
      <c r="G54" s="533"/>
      <c r="H54" s="524"/>
      <c r="I54" s="524"/>
      <c r="J54" s="524"/>
      <c r="K54" s="524"/>
      <c r="L54" s="524"/>
      <c r="M54" s="524"/>
      <c r="N54" s="524"/>
      <c r="O54" s="524"/>
      <c r="P54" s="524"/>
      <c r="Q54" s="524"/>
      <c r="R54" s="524"/>
      <c r="S54" s="524"/>
      <c r="T54" s="524"/>
      <c r="U54" s="524"/>
      <c r="V54" s="524"/>
      <c r="W54" s="524"/>
      <c r="X54" s="524"/>
      <c r="Y54" s="524"/>
      <c r="Z54" s="524"/>
      <c r="AA54" s="524"/>
      <c r="AB54" s="524"/>
      <c r="AC54" s="524"/>
      <c r="AD54" s="524"/>
      <c r="AE54" s="524"/>
      <c r="AF54" s="524"/>
      <c r="AG54" s="524"/>
      <c r="AH54" s="524"/>
      <c r="AI54" s="524"/>
      <c r="AJ54" s="524"/>
      <c r="AK54" s="524"/>
      <c r="AL54" s="524"/>
      <c r="AM54" s="524"/>
      <c r="AN54" s="524"/>
      <c r="AO54" s="524"/>
      <c r="AP54" s="524"/>
      <c r="AQ54" s="524"/>
      <c r="AR54" s="524"/>
      <c r="AS54" s="524"/>
      <c r="AT54" s="524"/>
      <c r="AU54" s="524"/>
      <c r="AV54" s="524"/>
      <c r="AW54" s="524"/>
      <c r="AX54" s="524"/>
      <c r="AY54" s="524"/>
      <c r="AZ54" s="524"/>
      <c r="BA54" s="524"/>
      <c r="BB54" s="524"/>
      <c r="BC54" s="524"/>
      <c r="BD54" s="524"/>
      <c r="BE54" s="524"/>
      <c r="BF54" s="524"/>
      <c r="BG54" s="524"/>
      <c r="BH54" s="524"/>
      <c r="BI54" s="524"/>
      <c r="BJ54" s="524"/>
      <c r="BK54" s="524"/>
      <c r="BL54" s="524"/>
      <c r="BM54" s="524"/>
      <c r="BN54" s="524"/>
      <c r="BO54" s="524"/>
      <c r="BP54" s="524"/>
      <c r="BQ54" s="524"/>
      <c r="BR54" s="524"/>
      <c r="BS54" s="524"/>
      <c r="BT54" s="524"/>
      <c r="BU54" s="524"/>
      <c r="BV54" s="524"/>
      <c r="BW54" s="524"/>
      <c r="BX54" s="524"/>
      <c r="BY54" s="524"/>
      <c r="BZ54" s="524"/>
      <c r="CA54" s="524"/>
      <c r="CB54" s="524"/>
      <c r="CC54" s="524"/>
      <c r="CD54" s="524"/>
      <c r="CE54" s="524"/>
      <c r="CF54" s="524"/>
      <c r="CG54" s="524"/>
      <c r="CH54" s="524"/>
      <c r="CI54" s="524"/>
      <c r="CJ54" s="524"/>
      <c r="CK54" s="524"/>
      <c r="CL54" s="524"/>
      <c r="CM54" s="524"/>
      <c r="CN54" s="524"/>
      <c r="CO54" s="524"/>
      <c r="CP54" s="524"/>
      <c r="CQ54" s="524"/>
      <c r="CR54" s="524"/>
      <c r="CS54" s="524"/>
    </row>
    <row r="55" spans="1:97" s="532" customFormat="1" ht="15.75" customHeight="1">
      <c r="A55" s="527"/>
      <c r="B55" s="527"/>
      <c r="C55" s="537"/>
      <c r="D55" s="536">
        <v>16.100000000000001</v>
      </c>
      <c r="E55" s="535" t="s">
        <v>292</v>
      </c>
      <c r="F55" s="534">
        <v>0.6</v>
      </c>
      <c r="G55" s="533"/>
      <c r="H55" s="524"/>
      <c r="I55" s="524"/>
      <c r="J55" s="524"/>
      <c r="K55" s="524"/>
      <c r="L55" s="524"/>
      <c r="M55" s="524"/>
      <c r="N55" s="524"/>
      <c r="O55" s="524"/>
      <c r="P55" s="524"/>
      <c r="Q55" s="524"/>
      <c r="R55" s="524"/>
      <c r="S55" s="524"/>
      <c r="T55" s="524"/>
      <c r="U55" s="524"/>
      <c r="V55" s="524"/>
      <c r="W55" s="524"/>
      <c r="X55" s="524"/>
      <c r="Y55" s="524"/>
      <c r="Z55" s="524"/>
      <c r="AA55" s="524"/>
      <c r="AB55" s="524"/>
      <c r="AC55" s="524"/>
      <c r="AD55" s="524"/>
      <c r="AE55" s="524"/>
      <c r="AF55" s="524"/>
      <c r="AG55" s="524"/>
      <c r="AH55" s="524"/>
      <c r="AI55" s="524"/>
      <c r="AJ55" s="524"/>
      <c r="AK55" s="524"/>
      <c r="AL55" s="524"/>
      <c r="AM55" s="524"/>
      <c r="AN55" s="524"/>
      <c r="AO55" s="524"/>
      <c r="AP55" s="524"/>
      <c r="AQ55" s="524"/>
      <c r="AR55" s="524"/>
      <c r="AS55" s="524"/>
      <c r="AT55" s="524"/>
      <c r="AU55" s="524"/>
      <c r="AV55" s="524"/>
      <c r="AW55" s="524"/>
      <c r="AX55" s="524"/>
      <c r="AY55" s="524"/>
      <c r="AZ55" s="524"/>
      <c r="BA55" s="524"/>
      <c r="BB55" s="524"/>
      <c r="BC55" s="524"/>
      <c r="BD55" s="524"/>
      <c r="BE55" s="524"/>
      <c r="BF55" s="524"/>
      <c r="BG55" s="524"/>
      <c r="BH55" s="524"/>
      <c r="BI55" s="524"/>
      <c r="BJ55" s="524"/>
      <c r="BK55" s="524"/>
      <c r="BL55" s="524"/>
      <c r="BM55" s="524"/>
      <c r="BN55" s="524"/>
      <c r="BO55" s="524"/>
      <c r="BP55" s="524"/>
      <c r="BQ55" s="524"/>
      <c r="BR55" s="524"/>
      <c r="BS55" s="524"/>
      <c r="BT55" s="524"/>
      <c r="BU55" s="524"/>
      <c r="BV55" s="524"/>
      <c r="BW55" s="524"/>
      <c r="BX55" s="524"/>
      <c r="BY55" s="524"/>
      <c r="BZ55" s="524"/>
      <c r="CA55" s="524"/>
      <c r="CB55" s="524"/>
      <c r="CC55" s="524"/>
      <c r="CD55" s="524"/>
      <c r="CE55" s="524"/>
      <c r="CF55" s="524"/>
      <c r="CG55" s="524"/>
      <c r="CH55" s="524"/>
      <c r="CI55" s="524"/>
      <c r="CJ55" s="524"/>
      <c r="CK55" s="524"/>
      <c r="CL55" s="524"/>
      <c r="CM55" s="524"/>
      <c r="CN55" s="524"/>
      <c r="CO55" s="524"/>
      <c r="CP55" s="524"/>
      <c r="CQ55" s="524"/>
      <c r="CR55" s="524"/>
      <c r="CS55" s="524"/>
    </row>
    <row r="56" spans="1:97" s="532" customFormat="1" ht="15.75" customHeight="1">
      <c r="A56" s="527"/>
      <c r="B56" s="527"/>
      <c r="C56" s="537"/>
      <c r="D56" s="536">
        <v>16.2</v>
      </c>
      <c r="E56" s="535" t="s">
        <v>293</v>
      </c>
      <c r="F56" s="534">
        <v>0.2</v>
      </c>
      <c r="G56" s="533"/>
      <c r="H56" s="524"/>
      <c r="I56" s="524"/>
      <c r="J56" s="524"/>
      <c r="K56" s="524"/>
      <c r="L56" s="524"/>
      <c r="M56" s="524"/>
      <c r="N56" s="524"/>
      <c r="O56" s="524"/>
      <c r="P56" s="524"/>
      <c r="Q56" s="524"/>
      <c r="R56" s="524"/>
      <c r="S56" s="524"/>
      <c r="T56" s="524"/>
      <c r="U56" s="524"/>
      <c r="V56" s="524"/>
      <c r="W56" s="524"/>
      <c r="X56" s="524"/>
      <c r="Y56" s="524"/>
      <c r="Z56" s="524"/>
      <c r="AA56" s="524"/>
      <c r="AB56" s="524"/>
      <c r="AC56" s="524"/>
      <c r="AD56" s="524"/>
      <c r="AE56" s="524"/>
      <c r="AF56" s="524"/>
      <c r="AG56" s="524"/>
      <c r="AH56" s="524"/>
      <c r="AI56" s="524"/>
      <c r="AJ56" s="524"/>
      <c r="AK56" s="524"/>
      <c r="AL56" s="524"/>
      <c r="AM56" s="524"/>
      <c r="AN56" s="524"/>
      <c r="AO56" s="524"/>
      <c r="AP56" s="524"/>
      <c r="AQ56" s="524"/>
      <c r="AR56" s="524"/>
      <c r="AS56" s="524"/>
      <c r="AT56" s="524"/>
      <c r="AU56" s="524"/>
      <c r="AV56" s="524"/>
      <c r="AW56" s="524"/>
      <c r="AX56" s="524"/>
      <c r="AY56" s="524"/>
      <c r="AZ56" s="524"/>
      <c r="BA56" s="524"/>
      <c r="BB56" s="524"/>
      <c r="BC56" s="524"/>
      <c r="BD56" s="524"/>
      <c r="BE56" s="524"/>
      <c r="BF56" s="524"/>
      <c r="BG56" s="524"/>
      <c r="BH56" s="524"/>
      <c r="BI56" s="524"/>
      <c r="BJ56" s="524"/>
      <c r="BK56" s="524"/>
      <c r="BL56" s="524"/>
      <c r="BM56" s="524"/>
      <c r="BN56" s="524"/>
      <c r="BO56" s="524"/>
      <c r="BP56" s="524"/>
      <c r="BQ56" s="524"/>
      <c r="BR56" s="524"/>
      <c r="BS56" s="524"/>
      <c r="BT56" s="524"/>
      <c r="BU56" s="524"/>
      <c r="BV56" s="524"/>
      <c r="BW56" s="524"/>
      <c r="BX56" s="524"/>
      <c r="BY56" s="524"/>
      <c r="BZ56" s="524"/>
      <c r="CA56" s="524"/>
      <c r="CB56" s="524"/>
      <c r="CC56" s="524"/>
      <c r="CD56" s="524"/>
      <c r="CE56" s="524"/>
      <c r="CF56" s="524"/>
      <c r="CG56" s="524"/>
      <c r="CH56" s="524"/>
      <c r="CI56" s="524"/>
      <c r="CJ56" s="524"/>
      <c r="CK56" s="524"/>
      <c r="CL56" s="524"/>
      <c r="CM56" s="524"/>
      <c r="CN56" s="524"/>
      <c r="CO56" s="524"/>
      <c r="CP56" s="524"/>
      <c r="CQ56" s="524"/>
      <c r="CR56" s="524"/>
      <c r="CS56" s="524"/>
    </row>
    <row r="57" spans="1:97" s="532" customFormat="1" ht="15.75" customHeight="1">
      <c r="A57" s="527"/>
      <c r="B57" s="527"/>
      <c r="C57" s="537"/>
      <c r="D57" s="536">
        <v>16.3</v>
      </c>
      <c r="E57" s="535" t="s">
        <v>294</v>
      </c>
      <c r="F57" s="534">
        <v>0.2</v>
      </c>
      <c r="G57" s="533"/>
      <c r="H57" s="524"/>
      <c r="I57" s="524"/>
      <c r="J57" s="524"/>
      <c r="K57" s="524"/>
      <c r="L57" s="524"/>
      <c r="M57" s="524"/>
      <c r="N57" s="524"/>
      <c r="O57" s="524"/>
      <c r="P57" s="524"/>
      <c r="Q57" s="524"/>
      <c r="R57" s="524"/>
      <c r="S57" s="524"/>
      <c r="T57" s="524"/>
      <c r="U57" s="524"/>
      <c r="V57" s="524"/>
      <c r="W57" s="524"/>
      <c r="X57" s="524"/>
      <c r="Y57" s="524"/>
      <c r="Z57" s="524"/>
      <c r="AA57" s="524"/>
      <c r="AB57" s="524"/>
      <c r="AC57" s="524"/>
      <c r="AD57" s="524"/>
      <c r="AE57" s="524"/>
      <c r="AF57" s="524"/>
      <c r="AG57" s="524"/>
      <c r="AH57" s="524"/>
      <c r="AI57" s="524"/>
      <c r="AJ57" s="524"/>
      <c r="AK57" s="524"/>
      <c r="AL57" s="524"/>
      <c r="AM57" s="524"/>
      <c r="AN57" s="524"/>
      <c r="AO57" s="524"/>
      <c r="AP57" s="524"/>
      <c r="AQ57" s="524"/>
      <c r="AR57" s="524"/>
      <c r="AS57" s="524"/>
      <c r="AT57" s="524"/>
      <c r="AU57" s="524"/>
      <c r="AV57" s="524"/>
      <c r="AW57" s="524"/>
      <c r="AX57" s="524"/>
      <c r="AY57" s="524"/>
      <c r="AZ57" s="524"/>
      <c r="BA57" s="524"/>
      <c r="BB57" s="524"/>
      <c r="BC57" s="524"/>
      <c r="BD57" s="524"/>
      <c r="BE57" s="524"/>
      <c r="BF57" s="524"/>
      <c r="BG57" s="524"/>
      <c r="BH57" s="524"/>
      <c r="BI57" s="524"/>
      <c r="BJ57" s="524"/>
      <c r="BK57" s="524"/>
      <c r="BL57" s="524"/>
      <c r="BM57" s="524"/>
      <c r="BN57" s="524"/>
      <c r="BO57" s="524"/>
      <c r="BP57" s="524"/>
      <c r="BQ57" s="524"/>
      <c r="BR57" s="524"/>
      <c r="BS57" s="524"/>
      <c r="BT57" s="524"/>
      <c r="BU57" s="524"/>
      <c r="BV57" s="524"/>
      <c r="BW57" s="524"/>
      <c r="BX57" s="524"/>
      <c r="BY57" s="524"/>
      <c r="BZ57" s="524"/>
      <c r="CA57" s="524"/>
      <c r="CB57" s="524"/>
      <c r="CC57" s="524"/>
      <c r="CD57" s="524"/>
      <c r="CE57" s="524"/>
      <c r="CF57" s="524"/>
      <c r="CG57" s="524"/>
      <c r="CH57" s="524"/>
      <c r="CI57" s="524"/>
      <c r="CJ57" s="524"/>
      <c r="CK57" s="524"/>
      <c r="CL57" s="524"/>
      <c r="CM57" s="524"/>
      <c r="CN57" s="524"/>
      <c r="CO57" s="524"/>
      <c r="CP57" s="524"/>
      <c r="CQ57" s="524"/>
      <c r="CR57" s="524"/>
      <c r="CS57" s="524"/>
    </row>
    <row r="58" spans="1:97" s="532" customFormat="1" ht="15.75" customHeight="1">
      <c r="A58" s="527"/>
      <c r="B58" s="527"/>
      <c r="C58" s="537">
        <v>17</v>
      </c>
      <c r="D58" s="536">
        <f>IF(VLOOKUP(C58,PROPONENTES!$B$19:$E$54,2,FALSE)="","",VLOOKUP(C58,PROPONENTES!$B$19:$E$54,2,FALSE))</f>
        <v>17</v>
      </c>
      <c r="E58" s="535" t="str">
        <f>IF(D58="","",IF(D58-INT(D58)&gt;1,"",VLOOKUP(D58,PROPONENTES!$C$19:$D$54,2,FALSE)))</f>
        <v>CONSORCIO VIAL SANTANDER</v>
      </c>
      <c r="F58" s="534">
        <f>SUM(F59:F60)</f>
        <v>1</v>
      </c>
      <c r="G58" s="533"/>
      <c r="H58" s="524"/>
      <c r="I58" s="524"/>
      <c r="J58" s="524"/>
      <c r="K58" s="524"/>
      <c r="L58" s="524"/>
      <c r="M58" s="524"/>
      <c r="N58" s="524"/>
      <c r="O58" s="524"/>
      <c r="P58" s="524"/>
      <c r="Q58" s="524"/>
      <c r="R58" s="524"/>
      <c r="S58" s="524"/>
      <c r="T58" s="524"/>
      <c r="U58" s="524"/>
      <c r="V58" s="524"/>
      <c r="W58" s="524"/>
      <c r="X58" s="524"/>
      <c r="Y58" s="524"/>
      <c r="Z58" s="524"/>
      <c r="AA58" s="524"/>
      <c r="AB58" s="524"/>
      <c r="AC58" s="524"/>
      <c r="AD58" s="524"/>
      <c r="AE58" s="524"/>
      <c r="AF58" s="524"/>
      <c r="AG58" s="524"/>
      <c r="AH58" s="524"/>
      <c r="AI58" s="524"/>
      <c r="AJ58" s="524"/>
      <c r="AK58" s="524"/>
      <c r="AL58" s="524"/>
      <c r="AM58" s="524"/>
      <c r="AN58" s="524"/>
      <c r="AO58" s="524"/>
      <c r="AP58" s="524"/>
      <c r="AQ58" s="524"/>
      <c r="AR58" s="524"/>
      <c r="AS58" s="524"/>
      <c r="AT58" s="524"/>
      <c r="AU58" s="524"/>
      <c r="AV58" s="524"/>
      <c r="AW58" s="524"/>
      <c r="AX58" s="524"/>
      <c r="AY58" s="524"/>
      <c r="AZ58" s="524"/>
      <c r="BA58" s="524"/>
      <c r="BB58" s="524"/>
      <c r="BC58" s="524"/>
      <c r="BD58" s="524"/>
      <c r="BE58" s="524"/>
      <c r="BF58" s="524"/>
      <c r="BG58" s="524"/>
      <c r="BH58" s="524"/>
      <c r="BI58" s="524"/>
      <c r="BJ58" s="524"/>
      <c r="BK58" s="524"/>
      <c r="BL58" s="524"/>
      <c r="BM58" s="524"/>
      <c r="BN58" s="524"/>
      <c r="BO58" s="524"/>
      <c r="BP58" s="524"/>
      <c r="BQ58" s="524"/>
      <c r="BR58" s="524"/>
      <c r="BS58" s="524"/>
      <c r="BT58" s="524"/>
      <c r="BU58" s="524"/>
      <c r="BV58" s="524"/>
      <c r="BW58" s="524"/>
      <c r="BX58" s="524"/>
      <c r="BY58" s="524"/>
      <c r="BZ58" s="524"/>
      <c r="CA58" s="524"/>
      <c r="CB58" s="524"/>
      <c r="CC58" s="524"/>
      <c r="CD58" s="524"/>
      <c r="CE58" s="524"/>
      <c r="CF58" s="524"/>
      <c r="CG58" s="524"/>
      <c r="CH58" s="524"/>
      <c r="CI58" s="524"/>
      <c r="CJ58" s="524"/>
      <c r="CK58" s="524"/>
      <c r="CL58" s="524"/>
      <c r="CM58" s="524"/>
      <c r="CN58" s="524"/>
      <c r="CO58" s="524"/>
      <c r="CP58" s="524"/>
      <c r="CQ58" s="524"/>
      <c r="CR58" s="524"/>
      <c r="CS58" s="524"/>
    </row>
    <row r="59" spans="1:97" s="532" customFormat="1" ht="15.75" customHeight="1">
      <c r="A59" s="527"/>
      <c r="B59" s="527"/>
      <c r="C59" s="537"/>
      <c r="D59" s="536">
        <v>17.100000000000001</v>
      </c>
      <c r="E59" s="535" t="s">
        <v>295</v>
      </c>
      <c r="F59" s="534">
        <v>0.4</v>
      </c>
      <c r="G59" s="533"/>
      <c r="H59" s="524"/>
      <c r="I59" s="524"/>
      <c r="J59" s="524"/>
      <c r="K59" s="524"/>
      <c r="L59" s="524"/>
      <c r="M59" s="524"/>
      <c r="N59" s="524"/>
      <c r="O59" s="524"/>
      <c r="P59" s="524"/>
      <c r="Q59" s="524"/>
      <c r="R59" s="524"/>
      <c r="S59" s="524"/>
      <c r="T59" s="524"/>
      <c r="U59" s="524"/>
      <c r="V59" s="524"/>
      <c r="W59" s="524"/>
      <c r="X59" s="524"/>
      <c r="Y59" s="524"/>
      <c r="Z59" s="524"/>
      <c r="AA59" s="524"/>
      <c r="AB59" s="524"/>
      <c r="AC59" s="524"/>
      <c r="AD59" s="524"/>
      <c r="AE59" s="524"/>
      <c r="AF59" s="524"/>
      <c r="AG59" s="524"/>
      <c r="AH59" s="524"/>
      <c r="AI59" s="524"/>
      <c r="AJ59" s="524"/>
      <c r="AK59" s="524"/>
      <c r="AL59" s="524"/>
      <c r="AM59" s="524"/>
      <c r="AN59" s="524"/>
      <c r="AO59" s="524"/>
      <c r="AP59" s="524"/>
      <c r="AQ59" s="524"/>
      <c r="AR59" s="524"/>
      <c r="AS59" s="524"/>
      <c r="AT59" s="524"/>
      <c r="AU59" s="524"/>
      <c r="AV59" s="524"/>
      <c r="AW59" s="524"/>
      <c r="AX59" s="524"/>
      <c r="AY59" s="524"/>
      <c r="AZ59" s="524"/>
      <c r="BA59" s="524"/>
      <c r="BB59" s="524"/>
      <c r="BC59" s="524"/>
      <c r="BD59" s="524"/>
      <c r="BE59" s="524"/>
      <c r="BF59" s="524"/>
      <c r="BG59" s="524"/>
      <c r="BH59" s="524"/>
      <c r="BI59" s="524"/>
      <c r="BJ59" s="524"/>
      <c r="BK59" s="524"/>
      <c r="BL59" s="524"/>
      <c r="BM59" s="524"/>
      <c r="BN59" s="524"/>
      <c r="BO59" s="524"/>
      <c r="BP59" s="524"/>
      <c r="BQ59" s="524"/>
      <c r="BR59" s="524"/>
      <c r="BS59" s="524"/>
      <c r="BT59" s="524"/>
      <c r="BU59" s="524"/>
      <c r="BV59" s="524"/>
      <c r="BW59" s="524"/>
      <c r="BX59" s="524"/>
      <c r="BY59" s="524"/>
      <c r="BZ59" s="524"/>
      <c r="CA59" s="524"/>
      <c r="CB59" s="524"/>
      <c r="CC59" s="524"/>
      <c r="CD59" s="524"/>
      <c r="CE59" s="524"/>
      <c r="CF59" s="524"/>
      <c r="CG59" s="524"/>
      <c r="CH59" s="524"/>
      <c r="CI59" s="524"/>
      <c r="CJ59" s="524"/>
      <c r="CK59" s="524"/>
      <c r="CL59" s="524"/>
      <c r="CM59" s="524"/>
      <c r="CN59" s="524"/>
      <c r="CO59" s="524"/>
      <c r="CP59" s="524"/>
      <c r="CQ59" s="524"/>
      <c r="CR59" s="524"/>
      <c r="CS59" s="524"/>
    </row>
    <row r="60" spans="1:97" s="532" customFormat="1" ht="15.75" customHeight="1">
      <c r="A60" s="527"/>
      <c r="B60" s="527"/>
      <c r="C60" s="537"/>
      <c r="D60" s="536">
        <v>17.2</v>
      </c>
      <c r="E60" s="535" t="s">
        <v>296</v>
      </c>
      <c r="F60" s="534">
        <v>0.6</v>
      </c>
      <c r="G60" s="533"/>
      <c r="H60" s="524"/>
      <c r="I60" s="524"/>
      <c r="J60" s="524"/>
      <c r="K60" s="524"/>
      <c r="L60" s="524"/>
      <c r="M60" s="524"/>
      <c r="N60" s="524"/>
      <c r="O60" s="524"/>
      <c r="P60" s="524"/>
      <c r="Q60" s="524"/>
      <c r="R60" s="524"/>
      <c r="S60" s="524"/>
      <c r="T60" s="524"/>
      <c r="U60" s="524"/>
      <c r="V60" s="524"/>
      <c r="W60" s="524"/>
      <c r="X60" s="524"/>
      <c r="Y60" s="524"/>
      <c r="Z60" s="524"/>
      <c r="AA60" s="524"/>
      <c r="AB60" s="524"/>
      <c r="AC60" s="524"/>
      <c r="AD60" s="524"/>
      <c r="AE60" s="524"/>
      <c r="AF60" s="524"/>
      <c r="AG60" s="524"/>
      <c r="AH60" s="524"/>
      <c r="AI60" s="524"/>
      <c r="AJ60" s="524"/>
      <c r="AK60" s="524"/>
      <c r="AL60" s="524"/>
      <c r="AM60" s="524"/>
      <c r="AN60" s="524"/>
      <c r="AO60" s="524"/>
      <c r="AP60" s="524"/>
      <c r="AQ60" s="524"/>
      <c r="AR60" s="524"/>
      <c r="AS60" s="524"/>
      <c r="AT60" s="524"/>
      <c r="AU60" s="524"/>
      <c r="AV60" s="524"/>
      <c r="AW60" s="524"/>
      <c r="AX60" s="524"/>
      <c r="AY60" s="524"/>
      <c r="AZ60" s="524"/>
      <c r="BA60" s="524"/>
      <c r="BB60" s="524"/>
      <c r="BC60" s="524"/>
      <c r="BD60" s="524"/>
      <c r="BE60" s="524"/>
      <c r="BF60" s="524"/>
      <c r="BG60" s="524"/>
      <c r="BH60" s="524"/>
      <c r="BI60" s="524"/>
      <c r="BJ60" s="524"/>
      <c r="BK60" s="524"/>
      <c r="BL60" s="524"/>
      <c r="BM60" s="524"/>
      <c r="BN60" s="524"/>
      <c r="BO60" s="524"/>
      <c r="BP60" s="524"/>
      <c r="BQ60" s="524"/>
      <c r="BR60" s="524"/>
      <c r="BS60" s="524"/>
      <c r="BT60" s="524"/>
      <c r="BU60" s="524"/>
      <c r="BV60" s="524"/>
      <c r="BW60" s="524"/>
      <c r="BX60" s="524"/>
      <c r="BY60" s="524"/>
      <c r="BZ60" s="524"/>
      <c r="CA60" s="524"/>
      <c r="CB60" s="524"/>
      <c r="CC60" s="524"/>
      <c r="CD60" s="524"/>
      <c r="CE60" s="524"/>
      <c r="CF60" s="524"/>
      <c r="CG60" s="524"/>
      <c r="CH60" s="524"/>
      <c r="CI60" s="524"/>
      <c r="CJ60" s="524"/>
      <c r="CK60" s="524"/>
      <c r="CL60" s="524"/>
      <c r="CM60" s="524"/>
      <c r="CN60" s="524"/>
      <c r="CO60" s="524"/>
      <c r="CP60" s="524"/>
      <c r="CQ60" s="524"/>
      <c r="CR60" s="524"/>
      <c r="CS60" s="524"/>
    </row>
    <row r="61" spans="1:97" s="532" customFormat="1" ht="15.75" customHeight="1">
      <c r="A61" s="527"/>
      <c r="B61" s="527"/>
      <c r="C61" s="537">
        <v>18</v>
      </c>
      <c r="D61" s="536">
        <f>IF(VLOOKUP(C61,PROPONENTES!$B$19:$E$54,2,FALSE)="","",VLOOKUP(C61,PROPONENTES!$B$19:$E$54,2,FALSE))</f>
        <v>18</v>
      </c>
      <c r="E61" s="535" t="str">
        <f>IF(D61="","",IF(D61-INT(D61)&gt;1,"",VLOOKUP(D61,PROPONENTES!$C$19:$D$54,2,FALSE)))</f>
        <v>JAMES ALBERTO KAMMERER JIMENEZ</v>
      </c>
      <c r="F61" s="534">
        <v>1</v>
      </c>
      <c r="G61" s="533"/>
      <c r="H61" s="524"/>
      <c r="I61" s="524"/>
      <c r="J61" s="524"/>
      <c r="K61" s="524"/>
      <c r="L61" s="524"/>
      <c r="M61" s="524"/>
      <c r="N61" s="524"/>
      <c r="O61" s="524"/>
      <c r="P61" s="524"/>
      <c r="Q61" s="524"/>
      <c r="R61" s="524"/>
      <c r="S61" s="524"/>
      <c r="T61" s="524"/>
      <c r="U61" s="524"/>
      <c r="V61" s="524"/>
      <c r="W61" s="524"/>
      <c r="X61" s="524"/>
      <c r="Y61" s="524"/>
      <c r="Z61" s="524"/>
      <c r="AA61" s="524"/>
      <c r="AB61" s="524"/>
      <c r="AC61" s="524"/>
      <c r="AD61" s="524"/>
      <c r="AE61" s="524"/>
      <c r="AF61" s="524"/>
      <c r="AG61" s="524"/>
      <c r="AH61" s="524"/>
      <c r="AI61" s="524"/>
      <c r="AJ61" s="524"/>
      <c r="AK61" s="524"/>
      <c r="AL61" s="524"/>
      <c r="AM61" s="524"/>
      <c r="AN61" s="524"/>
      <c r="AO61" s="524"/>
      <c r="AP61" s="524"/>
      <c r="AQ61" s="524"/>
      <c r="AR61" s="524"/>
      <c r="AS61" s="524"/>
      <c r="AT61" s="524"/>
      <c r="AU61" s="524"/>
      <c r="AV61" s="524"/>
      <c r="AW61" s="524"/>
      <c r="AX61" s="524"/>
      <c r="AY61" s="524"/>
      <c r="AZ61" s="524"/>
      <c r="BA61" s="524"/>
      <c r="BB61" s="524"/>
      <c r="BC61" s="524"/>
      <c r="BD61" s="524"/>
      <c r="BE61" s="524"/>
      <c r="BF61" s="524"/>
      <c r="BG61" s="524"/>
      <c r="BH61" s="524"/>
      <c r="BI61" s="524"/>
      <c r="BJ61" s="524"/>
      <c r="BK61" s="524"/>
      <c r="BL61" s="524"/>
      <c r="BM61" s="524"/>
      <c r="BN61" s="524"/>
      <c r="BO61" s="524"/>
      <c r="BP61" s="524"/>
      <c r="BQ61" s="524"/>
      <c r="BR61" s="524"/>
      <c r="BS61" s="524"/>
      <c r="BT61" s="524"/>
      <c r="BU61" s="524"/>
      <c r="BV61" s="524"/>
      <c r="BW61" s="524"/>
      <c r="BX61" s="524"/>
      <c r="BY61" s="524"/>
      <c r="BZ61" s="524"/>
      <c r="CA61" s="524"/>
      <c r="CB61" s="524"/>
      <c r="CC61" s="524"/>
      <c r="CD61" s="524"/>
      <c r="CE61" s="524"/>
      <c r="CF61" s="524"/>
      <c r="CG61" s="524"/>
      <c r="CH61" s="524"/>
      <c r="CI61" s="524"/>
      <c r="CJ61" s="524"/>
      <c r="CK61" s="524"/>
      <c r="CL61" s="524"/>
      <c r="CM61" s="524"/>
      <c r="CN61" s="524"/>
      <c r="CO61" s="524"/>
      <c r="CP61" s="524"/>
      <c r="CQ61" s="524"/>
      <c r="CR61" s="524"/>
      <c r="CS61" s="524"/>
    </row>
    <row r="62" spans="1:97" s="532" customFormat="1" ht="15.75" customHeight="1">
      <c r="A62" s="527"/>
      <c r="B62" s="527"/>
      <c r="C62" s="537">
        <v>19</v>
      </c>
      <c r="D62" s="536">
        <f>IF(VLOOKUP(C62,PROPONENTES!$B$19:$E$54,2,FALSE)="","",VLOOKUP(C62,PROPONENTES!$B$19:$E$54,2,FALSE))</f>
        <v>19</v>
      </c>
      <c r="E62" s="535" t="str">
        <f>IF(D62="","",IF(D62-INT(D62)&gt;1,"",VLOOKUP(D62,PROPONENTES!$C$19:$D$54,2,FALSE)))</f>
        <v>CONSORCIO LEOS</v>
      </c>
      <c r="F62" s="534">
        <f>SUM(F63:F64)</f>
        <v>1</v>
      </c>
      <c r="G62" s="533"/>
      <c r="H62" s="524"/>
      <c r="I62" s="524"/>
      <c r="J62" s="524"/>
      <c r="K62" s="524"/>
      <c r="L62" s="524"/>
      <c r="M62" s="524"/>
      <c r="N62" s="524"/>
      <c r="O62" s="524"/>
      <c r="P62" s="524"/>
      <c r="Q62" s="524"/>
      <c r="R62" s="524"/>
      <c r="S62" s="524"/>
      <c r="T62" s="524"/>
      <c r="U62" s="524"/>
      <c r="V62" s="524"/>
      <c r="W62" s="524"/>
      <c r="X62" s="524"/>
      <c r="Y62" s="524"/>
      <c r="Z62" s="524"/>
      <c r="AA62" s="524"/>
      <c r="AB62" s="524"/>
      <c r="AC62" s="524"/>
      <c r="AD62" s="524"/>
      <c r="AE62" s="524"/>
      <c r="AF62" s="524"/>
      <c r="AG62" s="524"/>
      <c r="AH62" s="524"/>
      <c r="AI62" s="524"/>
      <c r="AJ62" s="524"/>
      <c r="AK62" s="524"/>
      <c r="AL62" s="524"/>
      <c r="AM62" s="524"/>
      <c r="AN62" s="524"/>
      <c r="AO62" s="524"/>
      <c r="AP62" s="524"/>
      <c r="AQ62" s="524"/>
      <c r="AR62" s="524"/>
      <c r="AS62" s="524"/>
      <c r="AT62" s="524"/>
      <c r="AU62" s="524"/>
      <c r="AV62" s="524"/>
      <c r="AW62" s="524"/>
      <c r="AX62" s="524"/>
      <c r="AY62" s="524"/>
      <c r="AZ62" s="524"/>
      <c r="BA62" s="524"/>
      <c r="BB62" s="524"/>
      <c r="BC62" s="524"/>
      <c r="BD62" s="524"/>
      <c r="BE62" s="524"/>
      <c r="BF62" s="524"/>
      <c r="BG62" s="524"/>
      <c r="BH62" s="524"/>
      <c r="BI62" s="524"/>
      <c r="BJ62" s="524"/>
      <c r="BK62" s="524"/>
      <c r="BL62" s="524"/>
      <c r="BM62" s="524"/>
      <c r="BN62" s="524"/>
      <c r="BO62" s="524"/>
      <c r="BP62" s="524"/>
      <c r="BQ62" s="524"/>
      <c r="BR62" s="524"/>
      <c r="BS62" s="524"/>
      <c r="BT62" s="524"/>
      <c r="BU62" s="524"/>
      <c r="BV62" s="524"/>
      <c r="BW62" s="524"/>
      <c r="BX62" s="524"/>
      <c r="BY62" s="524"/>
      <c r="BZ62" s="524"/>
      <c r="CA62" s="524"/>
      <c r="CB62" s="524"/>
      <c r="CC62" s="524"/>
      <c r="CD62" s="524"/>
      <c r="CE62" s="524"/>
      <c r="CF62" s="524"/>
      <c r="CG62" s="524"/>
      <c r="CH62" s="524"/>
      <c r="CI62" s="524"/>
      <c r="CJ62" s="524"/>
      <c r="CK62" s="524"/>
      <c r="CL62" s="524"/>
      <c r="CM62" s="524"/>
      <c r="CN62" s="524"/>
      <c r="CO62" s="524"/>
      <c r="CP62" s="524"/>
      <c r="CQ62" s="524"/>
      <c r="CR62" s="524"/>
      <c r="CS62" s="524"/>
    </row>
    <row r="63" spans="1:97" s="532" customFormat="1" ht="15.75" customHeight="1">
      <c r="A63" s="527"/>
      <c r="B63" s="527"/>
      <c r="C63" s="537"/>
      <c r="D63" s="536">
        <v>19.100000000000001</v>
      </c>
      <c r="E63" s="535" t="s">
        <v>310</v>
      </c>
      <c r="F63" s="534">
        <v>0.7</v>
      </c>
      <c r="G63" s="533"/>
      <c r="H63" s="524"/>
      <c r="I63" s="524"/>
      <c r="J63" s="524"/>
      <c r="K63" s="524"/>
      <c r="L63" s="524"/>
      <c r="M63" s="524"/>
      <c r="N63" s="524"/>
      <c r="O63" s="524"/>
      <c r="P63" s="524"/>
      <c r="Q63" s="524"/>
      <c r="R63" s="524"/>
      <c r="S63" s="524"/>
      <c r="T63" s="524"/>
      <c r="U63" s="524"/>
      <c r="V63" s="524"/>
      <c r="W63" s="524"/>
      <c r="X63" s="524"/>
      <c r="Y63" s="524"/>
      <c r="Z63" s="524"/>
      <c r="AA63" s="524"/>
      <c r="AB63" s="524"/>
      <c r="AC63" s="524"/>
      <c r="AD63" s="524"/>
      <c r="AE63" s="524"/>
      <c r="AF63" s="524"/>
      <c r="AG63" s="524"/>
      <c r="AH63" s="524"/>
      <c r="AI63" s="524"/>
      <c r="AJ63" s="524"/>
      <c r="AK63" s="524"/>
      <c r="AL63" s="524"/>
      <c r="AM63" s="524"/>
      <c r="AN63" s="524"/>
      <c r="AO63" s="524"/>
      <c r="AP63" s="524"/>
      <c r="AQ63" s="524"/>
      <c r="AR63" s="524"/>
      <c r="AS63" s="524"/>
      <c r="AT63" s="524"/>
      <c r="AU63" s="524"/>
      <c r="AV63" s="524"/>
      <c r="AW63" s="524"/>
      <c r="AX63" s="524"/>
      <c r="AY63" s="524"/>
      <c r="AZ63" s="524"/>
      <c r="BA63" s="524"/>
      <c r="BB63" s="524"/>
      <c r="BC63" s="524"/>
      <c r="BD63" s="524"/>
      <c r="BE63" s="524"/>
      <c r="BF63" s="524"/>
      <c r="BG63" s="524"/>
      <c r="BH63" s="524"/>
      <c r="BI63" s="524"/>
      <c r="BJ63" s="524"/>
      <c r="BK63" s="524"/>
      <c r="BL63" s="524"/>
      <c r="BM63" s="524"/>
      <c r="BN63" s="524"/>
      <c r="BO63" s="524"/>
      <c r="BP63" s="524"/>
      <c r="BQ63" s="524"/>
      <c r="BR63" s="524"/>
      <c r="BS63" s="524"/>
      <c r="BT63" s="524"/>
      <c r="BU63" s="524"/>
      <c r="BV63" s="524"/>
      <c r="BW63" s="524"/>
      <c r="BX63" s="524"/>
      <c r="BY63" s="524"/>
      <c r="BZ63" s="524"/>
      <c r="CA63" s="524"/>
      <c r="CB63" s="524"/>
      <c r="CC63" s="524"/>
      <c r="CD63" s="524"/>
      <c r="CE63" s="524"/>
      <c r="CF63" s="524"/>
      <c r="CG63" s="524"/>
      <c r="CH63" s="524"/>
      <c r="CI63" s="524"/>
      <c r="CJ63" s="524"/>
      <c r="CK63" s="524"/>
      <c r="CL63" s="524"/>
      <c r="CM63" s="524"/>
      <c r="CN63" s="524"/>
      <c r="CO63" s="524"/>
      <c r="CP63" s="524"/>
      <c r="CQ63" s="524"/>
      <c r="CR63" s="524"/>
      <c r="CS63" s="524"/>
    </row>
    <row r="64" spans="1:97" s="532" customFormat="1" ht="15.75" customHeight="1">
      <c r="A64" s="527"/>
      <c r="B64" s="527"/>
      <c r="C64" s="537"/>
      <c r="D64" s="536">
        <v>19.2</v>
      </c>
      <c r="E64" s="535" t="s">
        <v>311</v>
      </c>
      <c r="F64" s="534">
        <v>0.3</v>
      </c>
      <c r="G64" s="533"/>
      <c r="H64" s="524"/>
      <c r="I64" s="524"/>
      <c r="J64" s="524"/>
      <c r="K64" s="524"/>
      <c r="L64" s="524"/>
      <c r="M64" s="524"/>
      <c r="N64" s="524"/>
      <c r="O64" s="524"/>
      <c r="P64" s="524"/>
      <c r="Q64" s="524"/>
      <c r="R64" s="524"/>
      <c r="S64" s="524"/>
      <c r="T64" s="524"/>
      <c r="U64" s="524"/>
      <c r="V64" s="524"/>
      <c r="W64" s="524"/>
      <c r="X64" s="524"/>
      <c r="Y64" s="524"/>
      <c r="Z64" s="524"/>
      <c r="AA64" s="524"/>
      <c r="AB64" s="524"/>
      <c r="AC64" s="524"/>
      <c r="AD64" s="524"/>
      <c r="AE64" s="524"/>
      <c r="AF64" s="524"/>
      <c r="AG64" s="524"/>
      <c r="AH64" s="524"/>
      <c r="AI64" s="524"/>
      <c r="AJ64" s="524"/>
      <c r="AK64" s="524"/>
      <c r="AL64" s="524"/>
      <c r="AM64" s="524"/>
      <c r="AN64" s="524"/>
      <c r="AO64" s="524"/>
      <c r="AP64" s="524"/>
      <c r="AQ64" s="524"/>
      <c r="AR64" s="524"/>
      <c r="AS64" s="524"/>
      <c r="AT64" s="524"/>
      <c r="AU64" s="524"/>
      <c r="AV64" s="524"/>
      <c r="AW64" s="524"/>
      <c r="AX64" s="524"/>
      <c r="AY64" s="524"/>
      <c r="AZ64" s="524"/>
      <c r="BA64" s="524"/>
      <c r="BB64" s="524"/>
      <c r="BC64" s="524"/>
      <c r="BD64" s="524"/>
      <c r="BE64" s="524"/>
      <c r="BF64" s="524"/>
      <c r="BG64" s="524"/>
      <c r="BH64" s="524"/>
      <c r="BI64" s="524"/>
      <c r="BJ64" s="524"/>
      <c r="BK64" s="524"/>
      <c r="BL64" s="524"/>
      <c r="BM64" s="524"/>
      <c r="BN64" s="524"/>
      <c r="BO64" s="524"/>
      <c r="BP64" s="524"/>
      <c r="BQ64" s="524"/>
      <c r="BR64" s="524"/>
      <c r="BS64" s="524"/>
      <c r="BT64" s="524"/>
      <c r="BU64" s="524"/>
      <c r="BV64" s="524"/>
      <c r="BW64" s="524"/>
      <c r="BX64" s="524"/>
      <c r="BY64" s="524"/>
      <c r="BZ64" s="524"/>
      <c r="CA64" s="524"/>
      <c r="CB64" s="524"/>
      <c r="CC64" s="524"/>
      <c r="CD64" s="524"/>
      <c r="CE64" s="524"/>
      <c r="CF64" s="524"/>
      <c r="CG64" s="524"/>
      <c r="CH64" s="524"/>
      <c r="CI64" s="524"/>
      <c r="CJ64" s="524"/>
      <c r="CK64" s="524"/>
      <c r="CL64" s="524"/>
      <c r="CM64" s="524"/>
      <c r="CN64" s="524"/>
      <c r="CO64" s="524"/>
      <c r="CP64" s="524"/>
      <c r="CQ64" s="524"/>
      <c r="CR64" s="524"/>
      <c r="CS64" s="524"/>
    </row>
    <row r="65" spans="1:97" s="532" customFormat="1" ht="15.75" customHeight="1">
      <c r="A65" s="527"/>
      <c r="B65" s="527"/>
      <c r="C65" s="537">
        <v>20</v>
      </c>
      <c r="D65" s="536">
        <f>IF(VLOOKUP(C65,PROPONENTES!$B$19:$E$54,2,FALSE)="","",VLOOKUP(C65,PROPONENTES!$B$19:$E$54,2,FALSE))</f>
        <v>20</v>
      </c>
      <c r="E65" s="535" t="str">
        <f>IF(D65="","",IF(D65-INT(D65)&gt;1,"",VLOOKUP(D65,PROPONENTES!$C$19:$D$54,2,FALSE)))</f>
        <v>ut admon vial 2019 santander</v>
      </c>
      <c r="F65" s="534">
        <f>SUM(F66:F67)</f>
        <v>1</v>
      </c>
      <c r="G65" s="533"/>
      <c r="H65" s="524"/>
      <c r="I65" s="524"/>
      <c r="J65" s="524"/>
      <c r="K65" s="524"/>
      <c r="L65" s="524"/>
      <c r="M65" s="524"/>
      <c r="N65" s="524"/>
      <c r="O65" s="524"/>
      <c r="P65" s="524"/>
      <c r="Q65" s="524"/>
      <c r="R65" s="524"/>
      <c r="S65" s="524"/>
      <c r="T65" s="524"/>
      <c r="U65" s="524"/>
      <c r="V65" s="524"/>
      <c r="W65" s="524"/>
      <c r="X65" s="524"/>
      <c r="Y65" s="524"/>
      <c r="Z65" s="524"/>
      <c r="AA65" s="524"/>
      <c r="AB65" s="524"/>
      <c r="AC65" s="524"/>
      <c r="AD65" s="524"/>
      <c r="AE65" s="524"/>
      <c r="AF65" s="524"/>
      <c r="AG65" s="524"/>
      <c r="AH65" s="524"/>
      <c r="AI65" s="524"/>
      <c r="AJ65" s="524"/>
      <c r="AK65" s="524"/>
      <c r="AL65" s="524"/>
      <c r="AM65" s="524"/>
      <c r="AN65" s="524"/>
      <c r="AO65" s="524"/>
      <c r="AP65" s="524"/>
      <c r="AQ65" s="524"/>
      <c r="AR65" s="524"/>
      <c r="AS65" s="524"/>
      <c r="AT65" s="524"/>
      <c r="AU65" s="524"/>
      <c r="AV65" s="524"/>
      <c r="AW65" s="524"/>
      <c r="AX65" s="524"/>
      <c r="AY65" s="524"/>
      <c r="AZ65" s="524"/>
      <c r="BA65" s="524"/>
      <c r="BB65" s="524"/>
      <c r="BC65" s="524"/>
      <c r="BD65" s="524"/>
      <c r="BE65" s="524"/>
      <c r="BF65" s="524"/>
      <c r="BG65" s="524"/>
      <c r="BH65" s="524"/>
      <c r="BI65" s="524"/>
      <c r="BJ65" s="524"/>
      <c r="BK65" s="524"/>
      <c r="BL65" s="524"/>
      <c r="BM65" s="524"/>
      <c r="BN65" s="524"/>
      <c r="BO65" s="524"/>
      <c r="BP65" s="524"/>
      <c r="BQ65" s="524"/>
      <c r="BR65" s="524"/>
      <c r="BS65" s="524"/>
      <c r="BT65" s="524"/>
      <c r="BU65" s="524"/>
      <c r="BV65" s="524"/>
      <c r="BW65" s="524"/>
      <c r="BX65" s="524"/>
      <c r="BY65" s="524"/>
      <c r="BZ65" s="524"/>
      <c r="CA65" s="524"/>
      <c r="CB65" s="524"/>
      <c r="CC65" s="524"/>
      <c r="CD65" s="524"/>
      <c r="CE65" s="524"/>
      <c r="CF65" s="524"/>
      <c r="CG65" s="524"/>
      <c r="CH65" s="524"/>
      <c r="CI65" s="524"/>
      <c r="CJ65" s="524"/>
      <c r="CK65" s="524"/>
      <c r="CL65" s="524"/>
      <c r="CM65" s="524"/>
      <c r="CN65" s="524"/>
      <c r="CO65" s="524"/>
      <c r="CP65" s="524"/>
      <c r="CQ65" s="524"/>
      <c r="CR65" s="524"/>
      <c r="CS65" s="524"/>
    </row>
    <row r="66" spans="1:97" s="532" customFormat="1" ht="15.75" customHeight="1">
      <c r="A66" s="527"/>
      <c r="B66" s="527"/>
      <c r="C66" s="537"/>
      <c r="D66" s="536">
        <v>20.100000000000001</v>
      </c>
      <c r="E66" s="535" t="s">
        <v>312</v>
      </c>
      <c r="F66" s="534">
        <v>0.6</v>
      </c>
      <c r="G66" s="533"/>
      <c r="H66" s="524"/>
      <c r="I66" s="524"/>
      <c r="J66" s="524"/>
      <c r="K66" s="524"/>
      <c r="L66" s="524"/>
      <c r="M66" s="524"/>
      <c r="N66" s="524"/>
      <c r="O66" s="524"/>
      <c r="P66" s="524"/>
      <c r="Q66" s="524"/>
      <c r="R66" s="524"/>
      <c r="S66" s="524"/>
      <c r="T66" s="524"/>
      <c r="U66" s="524"/>
      <c r="V66" s="524"/>
      <c r="W66" s="524"/>
      <c r="X66" s="524"/>
      <c r="Y66" s="524"/>
      <c r="Z66" s="524"/>
      <c r="AA66" s="524"/>
      <c r="AB66" s="524"/>
      <c r="AC66" s="524"/>
      <c r="AD66" s="524"/>
      <c r="AE66" s="524"/>
      <c r="AF66" s="524"/>
      <c r="AG66" s="524"/>
      <c r="AH66" s="524"/>
      <c r="AI66" s="524"/>
      <c r="AJ66" s="524"/>
      <c r="AK66" s="524"/>
      <c r="AL66" s="524"/>
      <c r="AM66" s="524"/>
      <c r="AN66" s="524"/>
      <c r="AO66" s="524"/>
      <c r="AP66" s="524"/>
      <c r="AQ66" s="524"/>
      <c r="AR66" s="524"/>
      <c r="AS66" s="524"/>
      <c r="AT66" s="524"/>
      <c r="AU66" s="524"/>
      <c r="AV66" s="524"/>
      <c r="AW66" s="524"/>
      <c r="AX66" s="524"/>
      <c r="AY66" s="524"/>
      <c r="AZ66" s="524"/>
      <c r="BA66" s="524"/>
      <c r="BB66" s="524"/>
      <c r="BC66" s="524"/>
      <c r="BD66" s="524"/>
      <c r="BE66" s="524"/>
      <c r="BF66" s="524"/>
      <c r="BG66" s="524"/>
      <c r="BH66" s="524"/>
      <c r="BI66" s="524"/>
      <c r="BJ66" s="524"/>
      <c r="BK66" s="524"/>
      <c r="BL66" s="524"/>
      <c r="BM66" s="524"/>
      <c r="BN66" s="524"/>
      <c r="BO66" s="524"/>
      <c r="BP66" s="524"/>
      <c r="BQ66" s="524"/>
      <c r="BR66" s="524"/>
      <c r="BS66" s="524"/>
      <c r="BT66" s="524"/>
      <c r="BU66" s="524"/>
      <c r="BV66" s="524"/>
      <c r="BW66" s="524"/>
      <c r="BX66" s="524"/>
      <c r="BY66" s="524"/>
      <c r="BZ66" s="524"/>
      <c r="CA66" s="524"/>
      <c r="CB66" s="524"/>
      <c r="CC66" s="524"/>
      <c r="CD66" s="524"/>
      <c r="CE66" s="524"/>
      <c r="CF66" s="524"/>
      <c r="CG66" s="524"/>
      <c r="CH66" s="524"/>
      <c r="CI66" s="524"/>
      <c r="CJ66" s="524"/>
      <c r="CK66" s="524"/>
      <c r="CL66" s="524"/>
      <c r="CM66" s="524"/>
      <c r="CN66" s="524"/>
      <c r="CO66" s="524"/>
      <c r="CP66" s="524"/>
      <c r="CQ66" s="524"/>
      <c r="CR66" s="524"/>
      <c r="CS66" s="524"/>
    </row>
    <row r="67" spans="1:97" s="532" customFormat="1" ht="15.75" customHeight="1">
      <c r="A67" s="527"/>
      <c r="B67" s="527"/>
      <c r="C67" s="537"/>
      <c r="D67" s="536">
        <v>20.2</v>
      </c>
      <c r="E67" s="535" t="s">
        <v>313</v>
      </c>
      <c r="F67" s="534">
        <v>0.4</v>
      </c>
      <c r="G67" s="533"/>
      <c r="H67" s="524"/>
      <c r="I67" s="524"/>
      <c r="J67" s="524"/>
      <c r="K67" s="524"/>
      <c r="L67" s="524"/>
      <c r="M67" s="524"/>
      <c r="N67" s="524"/>
      <c r="O67" s="524"/>
      <c r="P67" s="524"/>
      <c r="Q67" s="524"/>
      <c r="R67" s="524"/>
      <c r="S67" s="524"/>
      <c r="T67" s="524"/>
      <c r="U67" s="524"/>
      <c r="V67" s="524"/>
      <c r="W67" s="524"/>
      <c r="X67" s="524"/>
      <c r="Y67" s="524"/>
      <c r="Z67" s="524"/>
      <c r="AA67" s="524"/>
      <c r="AB67" s="524"/>
      <c r="AC67" s="524"/>
      <c r="AD67" s="524"/>
      <c r="AE67" s="524"/>
      <c r="AF67" s="524"/>
      <c r="AG67" s="524"/>
      <c r="AH67" s="524"/>
      <c r="AI67" s="524"/>
      <c r="AJ67" s="524"/>
      <c r="AK67" s="524"/>
      <c r="AL67" s="524"/>
      <c r="AM67" s="524"/>
      <c r="AN67" s="524"/>
      <c r="AO67" s="524"/>
      <c r="AP67" s="524"/>
      <c r="AQ67" s="524"/>
      <c r="AR67" s="524"/>
      <c r="AS67" s="524"/>
      <c r="AT67" s="524"/>
      <c r="AU67" s="524"/>
      <c r="AV67" s="524"/>
      <c r="AW67" s="524"/>
      <c r="AX67" s="524"/>
      <c r="AY67" s="524"/>
      <c r="AZ67" s="524"/>
      <c r="BA67" s="524"/>
      <c r="BB67" s="524"/>
      <c r="BC67" s="524"/>
      <c r="BD67" s="524"/>
      <c r="BE67" s="524"/>
      <c r="BF67" s="524"/>
      <c r="BG67" s="524"/>
      <c r="BH67" s="524"/>
      <c r="BI67" s="524"/>
      <c r="BJ67" s="524"/>
      <c r="BK67" s="524"/>
      <c r="BL67" s="524"/>
      <c r="BM67" s="524"/>
      <c r="BN67" s="524"/>
      <c r="BO67" s="524"/>
      <c r="BP67" s="524"/>
      <c r="BQ67" s="524"/>
      <c r="BR67" s="524"/>
      <c r="BS67" s="524"/>
      <c r="BT67" s="524"/>
      <c r="BU67" s="524"/>
      <c r="BV67" s="524"/>
      <c r="BW67" s="524"/>
      <c r="BX67" s="524"/>
      <c r="BY67" s="524"/>
      <c r="BZ67" s="524"/>
      <c r="CA67" s="524"/>
      <c r="CB67" s="524"/>
      <c r="CC67" s="524"/>
      <c r="CD67" s="524"/>
      <c r="CE67" s="524"/>
      <c r="CF67" s="524"/>
      <c r="CG67" s="524"/>
      <c r="CH67" s="524"/>
      <c r="CI67" s="524"/>
      <c r="CJ67" s="524"/>
      <c r="CK67" s="524"/>
      <c r="CL67" s="524"/>
      <c r="CM67" s="524"/>
      <c r="CN67" s="524"/>
      <c r="CO67" s="524"/>
      <c r="CP67" s="524"/>
      <c r="CQ67" s="524"/>
      <c r="CR67" s="524"/>
      <c r="CS67" s="524"/>
    </row>
    <row r="68" spans="1:97" s="532" customFormat="1" ht="15.75" customHeight="1">
      <c r="A68" s="527"/>
      <c r="B68" s="527"/>
      <c r="C68" s="537">
        <v>21</v>
      </c>
      <c r="D68" s="536">
        <f>IF(VLOOKUP(C68,PROPONENTES!$B$19:$E$54,2,FALSE)="","",VLOOKUP(C68,PROPONENTES!$B$19:$E$54,2,FALSE))</f>
        <v>21</v>
      </c>
      <c r="E68" s="535" t="str">
        <f>IF(D68="","",IF(D68-INT(D68)&gt;1,"",VLOOKUP(D68,PROPONENTES!$C$19:$D$54,2,FALSE)))</f>
        <v>CONSORCIO ADMINISTRACION OPS</v>
      </c>
      <c r="F68" s="534">
        <f>SUM(F69:F70)</f>
        <v>1</v>
      </c>
      <c r="G68" s="533"/>
      <c r="H68" s="524"/>
      <c r="I68" s="524"/>
      <c r="J68" s="524"/>
      <c r="K68" s="524"/>
      <c r="L68" s="524"/>
      <c r="M68" s="524"/>
      <c r="N68" s="524"/>
      <c r="O68" s="524"/>
      <c r="P68" s="524"/>
      <c r="Q68" s="524"/>
      <c r="R68" s="524"/>
      <c r="S68" s="524"/>
      <c r="T68" s="524"/>
      <c r="U68" s="524"/>
      <c r="V68" s="524"/>
      <c r="W68" s="524"/>
      <c r="X68" s="524"/>
      <c r="Y68" s="524"/>
      <c r="Z68" s="524"/>
      <c r="AA68" s="524"/>
      <c r="AB68" s="524"/>
      <c r="AC68" s="524"/>
      <c r="AD68" s="524"/>
      <c r="AE68" s="524"/>
      <c r="AF68" s="524"/>
      <c r="AG68" s="524"/>
      <c r="AH68" s="524"/>
      <c r="AI68" s="524"/>
      <c r="AJ68" s="524"/>
      <c r="AK68" s="524"/>
      <c r="AL68" s="524"/>
      <c r="AM68" s="524"/>
      <c r="AN68" s="524"/>
      <c r="AO68" s="524"/>
      <c r="AP68" s="524"/>
      <c r="AQ68" s="524"/>
      <c r="AR68" s="524"/>
      <c r="AS68" s="524"/>
      <c r="AT68" s="524"/>
      <c r="AU68" s="524"/>
      <c r="AV68" s="524"/>
      <c r="AW68" s="524"/>
      <c r="AX68" s="524"/>
      <c r="AY68" s="524"/>
      <c r="AZ68" s="524"/>
      <c r="BA68" s="524"/>
      <c r="BB68" s="524"/>
      <c r="BC68" s="524"/>
      <c r="BD68" s="524"/>
      <c r="BE68" s="524"/>
      <c r="BF68" s="524"/>
      <c r="BG68" s="524"/>
      <c r="BH68" s="524"/>
      <c r="BI68" s="524"/>
      <c r="BJ68" s="524"/>
      <c r="BK68" s="524"/>
      <c r="BL68" s="524"/>
      <c r="BM68" s="524"/>
      <c r="BN68" s="524"/>
      <c r="BO68" s="524"/>
      <c r="BP68" s="524"/>
      <c r="BQ68" s="524"/>
      <c r="BR68" s="524"/>
      <c r="BS68" s="524"/>
      <c r="BT68" s="524"/>
      <c r="BU68" s="524"/>
      <c r="BV68" s="524"/>
      <c r="BW68" s="524"/>
      <c r="BX68" s="524"/>
      <c r="BY68" s="524"/>
      <c r="BZ68" s="524"/>
      <c r="CA68" s="524"/>
      <c r="CB68" s="524"/>
      <c r="CC68" s="524"/>
      <c r="CD68" s="524"/>
      <c r="CE68" s="524"/>
      <c r="CF68" s="524"/>
      <c r="CG68" s="524"/>
      <c r="CH68" s="524"/>
      <c r="CI68" s="524"/>
      <c r="CJ68" s="524"/>
      <c r="CK68" s="524"/>
      <c r="CL68" s="524"/>
      <c r="CM68" s="524"/>
      <c r="CN68" s="524"/>
      <c r="CO68" s="524"/>
      <c r="CP68" s="524"/>
      <c r="CQ68" s="524"/>
      <c r="CR68" s="524"/>
      <c r="CS68" s="524"/>
    </row>
    <row r="69" spans="1:97" s="532" customFormat="1" ht="15.75" customHeight="1">
      <c r="A69" s="527"/>
      <c r="B69" s="527"/>
      <c r="C69" s="537"/>
      <c r="D69" s="536">
        <v>21.1</v>
      </c>
      <c r="E69" s="535" t="s">
        <v>314</v>
      </c>
      <c r="F69" s="534">
        <v>0.6</v>
      </c>
      <c r="G69" s="533"/>
      <c r="H69" s="524"/>
      <c r="I69" s="524"/>
      <c r="J69" s="524"/>
      <c r="K69" s="524"/>
      <c r="L69" s="524"/>
      <c r="M69" s="524"/>
      <c r="N69" s="524"/>
      <c r="O69" s="524"/>
      <c r="P69" s="524"/>
      <c r="Q69" s="524"/>
      <c r="R69" s="524"/>
      <c r="S69" s="524"/>
      <c r="T69" s="524"/>
      <c r="U69" s="524"/>
      <c r="V69" s="524"/>
      <c r="W69" s="524"/>
      <c r="X69" s="524"/>
      <c r="Y69" s="524"/>
      <c r="Z69" s="524"/>
      <c r="AA69" s="524"/>
      <c r="AB69" s="524"/>
      <c r="AC69" s="524"/>
      <c r="AD69" s="524"/>
      <c r="AE69" s="524"/>
      <c r="AF69" s="524"/>
      <c r="AG69" s="524"/>
      <c r="AH69" s="524"/>
      <c r="AI69" s="524"/>
      <c r="AJ69" s="524"/>
      <c r="AK69" s="524"/>
      <c r="AL69" s="524"/>
      <c r="AM69" s="524"/>
      <c r="AN69" s="524"/>
      <c r="AO69" s="524"/>
      <c r="AP69" s="524"/>
      <c r="AQ69" s="524"/>
      <c r="AR69" s="524"/>
      <c r="AS69" s="524"/>
      <c r="AT69" s="524"/>
      <c r="AU69" s="524"/>
      <c r="AV69" s="524"/>
      <c r="AW69" s="524"/>
      <c r="AX69" s="524"/>
      <c r="AY69" s="524"/>
      <c r="AZ69" s="524"/>
      <c r="BA69" s="524"/>
      <c r="BB69" s="524"/>
      <c r="BC69" s="524"/>
      <c r="BD69" s="524"/>
      <c r="BE69" s="524"/>
      <c r="BF69" s="524"/>
      <c r="BG69" s="524"/>
      <c r="BH69" s="524"/>
      <c r="BI69" s="524"/>
      <c r="BJ69" s="524"/>
      <c r="BK69" s="524"/>
      <c r="BL69" s="524"/>
      <c r="BM69" s="524"/>
      <c r="BN69" s="524"/>
      <c r="BO69" s="524"/>
      <c r="BP69" s="524"/>
      <c r="BQ69" s="524"/>
      <c r="BR69" s="524"/>
      <c r="BS69" s="524"/>
      <c r="BT69" s="524"/>
      <c r="BU69" s="524"/>
      <c r="BV69" s="524"/>
      <c r="BW69" s="524"/>
      <c r="BX69" s="524"/>
      <c r="BY69" s="524"/>
      <c r="BZ69" s="524"/>
      <c r="CA69" s="524"/>
      <c r="CB69" s="524"/>
      <c r="CC69" s="524"/>
      <c r="CD69" s="524"/>
      <c r="CE69" s="524"/>
      <c r="CF69" s="524"/>
      <c r="CG69" s="524"/>
      <c r="CH69" s="524"/>
      <c r="CI69" s="524"/>
      <c r="CJ69" s="524"/>
      <c r="CK69" s="524"/>
      <c r="CL69" s="524"/>
      <c r="CM69" s="524"/>
      <c r="CN69" s="524"/>
      <c r="CO69" s="524"/>
      <c r="CP69" s="524"/>
      <c r="CQ69" s="524"/>
      <c r="CR69" s="524"/>
      <c r="CS69" s="524"/>
    </row>
    <row r="70" spans="1:97" s="532" customFormat="1" ht="15.75" customHeight="1">
      <c r="A70" s="527"/>
      <c r="B70" s="527"/>
      <c r="C70" s="537"/>
      <c r="D70" s="536">
        <v>21.2</v>
      </c>
      <c r="E70" s="535" t="s">
        <v>315</v>
      </c>
      <c r="F70" s="534">
        <v>0.4</v>
      </c>
      <c r="G70" s="533"/>
      <c r="H70" s="524"/>
      <c r="I70" s="524"/>
      <c r="J70" s="524"/>
      <c r="K70" s="524"/>
      <c r="L70" s="524"/>
      <c r="M70" s="524"/>
      <c r="N70" s="524"/>
      <c r="O70" s="524"/>
      <c r="P70" s="524"/>
      <c r="Q70" s="524"/>
      <c r="R70" s="524"/>
      <c r="S70" s="524"/>
      <c r="T70" s="524"/>
      <c r="U70" s="524"/>
      <c r="V70" s="524"/>
      <c r="W70" s="524"/>
      <c r="X70" s="524"/>
      <c r="Y70" s="524"/>
      <c r="Z70" s="524"/>
      <c r="AA70" s="524"/>
      <c r="AB70" s="524"/>
      <c r="AC70" s="524"/>
      <c r="AD70" s="524"/>
      <c r="AE70" s="524"/>
      <c r="AF70" s="524"/>
      <c r="AG70" s="524"/>
      <c r="AH70" s="524"/>
      <c r="AI70" s="524"/>
      <c r="AJ70" s="524"/>
      <c r="AK70" s="524"/>
      <c r="AL70" s="524"/>
      <c r="AM70" s="524"/>
      <c r="AN70" s="524"/>
      <c r="AO70" s="524"/>
      <c r="AP70" s="524"/>
      <c r="AQ70" s="524"/>
      <c r="AR70" s="524"/>
      <c r="AS70" s="524"/>
      <c r="AT70" s="524"/>
      <c r="AU70" s="524"/>
      <c r="AV70" s="524"/>
      <c r="AW70" s="524"/>
      <c r="AX70" s="524"/>
      <c r="AY70" s="524"/>
      <c r="AZ70" s="524"/>
      <c r="BA70" s="524"/>
      <c r="BB70" s="524"/>
      <c r="BC70" s="524"/>
      <c r="BD70" s="524"/>
      <c r="BE70" s="524"/>
      <c r="BF70" s="524"/>
      <c r="BG70" s="524"/>
      <c r="BH70" s="524"/>
      <c r="BI70" s="524"/>
      <c r="BJ70" s="524"/>
      <c r="BK70" s="524"/>
      <c r="BL70" s="524"/>
      <c r="BM70" s="524"/>
      <c r="BN70" s="524"/>
      <c r="BO70" s="524"/>
      <c r="BP70" s="524"/>
      <c r="BQ70" s="524"/>
      <c r="BR70" s="524"/>
      <c r="BS70" s="524"/>
      <c r="BT70" s="524"/>
      <c r="BU70" s="524"/>
      <c r="BV70" s="524"/>
      <c r="BW70" s="524"/>
      <c r="BX70" s="524"/>
      <c r="BY70" s="524"/>
      <c r="BZ70" s="524"/>
      <c r="CA70" s="524"/>
      <c r="CB70" s="524"/>
      <c r="CC70" s="524"/>
      <c r="CD70" s="524"/>
      <c r="CE70" s="524"/>
      <c r="CF70" s="524"/>
      <c r="CG70" s="524"/>
      <c r="CH70" s="524"/>
      <c r="CI70" s="524"/>
      <c r="CJ70" s="524"/>
      <c r="CK70" s="524"/>
      <c r="CL70" s="524"/>
      <c r="CM70" s="524"/>
      <c r="CN70" s="524"/>
      <c r="CO70" s="524"/>
      <c r="CP70" s="524"/>
      <c r="CQ70" s="524"/>
      <c r="CR70" s="524"/>
      <c r="CS70" s="524"/>
    </row>
    <row r="71" spans="1:97" s="532" customFormat="1" ht="15.75" customHeight="1">
      <c r="A71" s="527"/>
      <c r="B71" s="527"/>
      <c r="C71" s="537">
        <v>22</v>
      </c>
      <c r="D71" s="536">
        <f>IF(VLOOKUP(C71,PROPONENTES!$B$19:$E$54,2,FALSE)="","",VLOOKUP(C71,PROPONENTES!$B$19:$E$54,2,FALSE))</f>
        <v>22</v>
      </c>
      <c r="E71" s="535" t="str">
        <f>IF(D71="","",IF(D71-INT(D71)&gt;1,"",VLOOKUP(D71,PROPONENTES!$C$19:$D$54,2,FALSE)))</f>
        <v>CONSORCIO C&amp;C</v>
      </c>
      <c r="F71" s="534">
        <f>SUM(F72:F73)</f>
        <v>1</v>
      </c>
      <c r="G71" s="533"/>
      <c r="H71" s="524"/>
      <c r="I71" s="524"/>
      <c r="J71" s="524"/>
      <c r="K71" s="524"/>
      <c r="L71" s="524"/>
      <c r="M71" s="524"/>
      <c r="N71" s="524"/>
      <c r="O71" s="524"/>
      <c r="P71" s="524"/>
      <c r="Q71" s="524"/>
      <c r="R71" s="524"/>
      <c r="S71" s="524"/>
      <c r="T71" s="524"/>
      <c r="U71" s="524"/>
      <c r="V71" s="524"/>
      <c r="W71" s="524"/>
      <c r="X71" s="524"/>
      <c r="Y71" s="524"/>
      <c r="Z71" s="524"/>
      <c r="AA71" s="524"/>
      <c r="AB71" s="524"/>
      <c r="AC71" s="524"/>
      <c r="AD71" s="524"/>
      <c r="AE71" s="524"/>
      <c r="AF71" s="524"/>
      <c r="AG71" s="524"/>
      <c r="AH71" s="524"/>
      <c r="AI71" s="524"/>
      <c r="AJ71" s="524"/>
      <c r="AK71" s="524"/>
      <c r="AL71" s="524"/>
      <c r="AM71" s="524"/>
      <c r="AN71" s="524"/>
      <c r="AO71" s="524"/>
      <c r="AP71" s="524"/>
      <c r="AQ71" s="524"/>
      <c r="AR71" s="524"/>
      <c r="AS71" s="524"/>
      <c r="AT71" s="524"/>
      <c r="AU71" s="524"/>
      <c r="AV71" s="524"/>
      <c r="AW71" s="524"/>
      <c r="AX71" s="524"/>
      <c r="AY71" s="524"/>
      <c r="AZ71" s="524"/>
      <c r="BA71" s="524"/>
      <c r="BB71" s="524"/>
      <c r="BC71" s="524"/>
      <c r="BD71" s="524"/>
      <c r="BE71" s="524"/>
      <c r="BF71" s="524"/>
      <c r="BG71" s="524"/>
      <c r="BH71" s="524"/>
      <c r="BI71" s="524"/>
      <c r="BJ71" s="524"/>
      <c r="BK71" s="524"/>
      <c r="BL71" s="524"/>
      <c r="BM71" s="524"/>
      <c r="BN71" s="524"/>
      <c r="BO71" s="524"/>
      <c r="BP71" s="524"/>
      <c r="BQ71" s="524"/>
      <c r="BR71" s="524"/>
      <c r="BS71" s="524"/>
      <c r="BT71" s="524"/>
      <c r="BU71" s="524"/>
      <c r="BV71" s="524"/>
      <c r="BW71" s="524"/>
      <c r="BX71" s="524"/>
      <c r="BY71" s="524"/>
      <c r="BZ71" s="524"/>
      <c r="CA71" s="524"/>
      <c r="CB71" s="524"/>
      <c r="CC71" s="524"/>
      <c r="CD71" s="524"/>
      <c r="CE71" s="524"/>
      <c r="CF71" s="524"/>
      <c r="CG71" s="524"/>
      <c r="CH71" s="524"/>
      <c r="CI71" s="524"/>
      <c r="CJ71" s="524"/>
      <c r="CK71" s="524"/>
      <c r="CL71" s="524"/>
      <c r="CM71" s="524"/>
      <c r="CN71" s="524"/>
      <c r="CO71" s="524"/>
      <c r="CP71" s="524"/>
      <c r="CQ71" s="524"/>
      <c r="CR71" s="524"/>
      <c r="CS71" s="524"/>
    </row>
    <row r="72" spans="1:97" s="532" customFormat="1" ht="15.75" customHeight="1">
      <c r="A72" s="527"/>
      <c r="B72" s="527"/>
      <c r="C72" s="537"/>
      <c r="D72" s="536">
        <v>22.1</v>
      </c>
      <c r="E72" s="535" t="s">
        <v>316</v>
      </c>
      <c r="F72" s="534">
        <v>0.7</v>
      </c>
      <c r="G72" s="533"/>
      <c r="H72" s="524"/>
      <c r="I72" s="524"/>
      <c r="J72" s="524"/>
      <c r="K72" s="524"/>
      <c r="L72" s="524"/>
      <c r="M72" s="524"/>
      <c r="N72" s="524"/>
      <c r="O72" s="524"/>
      <c r="P72" s="524"/>
      <c r="Q72" s="524"/>
      <c r="R72" s="524"/>
      <c r="S72" s="524"/>
      <c r="T72" s="524"/>
      <c r="U72" s="524"/>
      <c r="V72" s="524"/>
      <c r="W72" s="524"/>
      <c r="X72" s="524"/>
      <c r="Y72" s="524"/>
      <c r="Z72" s="524"/>
      <c r="AA72" s="524"/>
      <c r="AB72" s="524"/>
      <c r="AC72" s="524"/>
      <c r="AD72" s="524"/>
      <c r="AE72" s="524"/>
      <c r="AF72" s="524"/>
      <c r="AG72" s="524"/>
      <c r="AH72" s="524"/>
      <c r="AI72" s="524"/>
      <c r="AJ72" s="524"/>
      <c r="AK72" s="524"/>
      <c r="AL72" s="524"/>
      <c r="AM72" s="524"/>
      <c r="AN72" s="524"/>
      <c r="AO72" s="524"/>
      <c r="AP72" s="524"/>
      <c r="AQ72" s="524"/>
      <c r="AR72" s="524"/>
      <c r="AS72" s="524"/>
      <c r="AT72" s="524"/>
      <c r="AU72" s="524"/>
      <c r="AV72" s="524"/>
      <c r="AW72" s="524"/>
      <c r="AX72" s="524"/>
      <c r="AY72" s="524"/>
      <c r="AZ72" s="524"/>
      <c r="BA72" s="524"/>
      <c r="BB72" s="524"/>
      <c r="BC72" s="524"/>
      <c r="BD72" s="524"/>
      <c r="BE72" s="524"/>
      <c r="BF72" s="524"/>
      <c r="BG72" s="524"/>
      <c r="BH72" s="524"/>
      <c r="BI72" s="524"/>
      <c r="BJ72" s="524"/>
      <c r="BK72" s="524"/>
      <c r="BL72" s="524"/>
      <c r="BM72" s="524"/>
      <c r="BN72" s="524"/>
      <c r="BO72" s="524"/>
      <c r="BP72" s="524"/>
      <c r="BQ72" s="524"/>
      <c r="BR72" s="524"/>
      <c r="BS72" s="524"/>
      <c r="BT72" s="524"/>
      <c r="BU72" s="524"/>
      <c r="BV72" s="524"/>
      <c r="BW72" s="524"/>
      <c r="BX72" s="524"/>
      <c r="BY72" s="524"/>
      <c r="BZ72" s="524"/>
      <c r="CA72" s="524"/>
      <c r="CB72" s="524"/>
      <c r="CC72" s="524"/>
      <c r="CD72" s="524"/>
      <c r="CE72" s="524"/>
      <c r="CF72" s="524"/>
      <c r="CG72" s="524"/>
      <c r="CH72" s="524"/>
      <c r="CI72" s="524"/>
      <c r="CJ72" s="524"/>
      <c r="CK72" s="524"/>
      <c r="CL72" s="524"/>
      <c r="CM72" s="524"/>
      <c r="CN72" s="524"/>
      <c r="CO72" s="524"/>
      <c r="CP72" s="524"/>
      <c r="CQ72" s="524"/>
      <c r="CR72" s="524"/>
      <c r="CS72" s="524"/>
    </row>
    <row r="73" spans="1:97" s="532" customFormat="1" ht="13.5" customHeight="1">
      <c r="A73" s="527"/>
      <c r="B73" s="527"/>
      <c r="C73" s="537"/>
      <c r="D73" s="536">
        <v>22.2</v>
      </c>
      <c r="E73" s="535" t="s">
        <v>317</v>
      </c>
      <c r="F73" s="534">
        <v>0.3</v>
      </c>
      <c r="G73" s="533"/>
      <c r="H73" s="524"/>
      <c r="I73" s="524"/>
      <c r="J73" s="524"/>
      <c r="K73" s="524"/>
      <c r="L73" s="524"/>
      <c r="M73" s="524"/>
      <c r="N73" s="524"/>
      <c r="O73" s="524"/>
      <c r="P73" s="524"/>
      <c r="Q73" s="524"/>
      <c r="R73" s="524"/>
      <c r="S73" s="524"/>
      <c r="T73" s="524"/>
      <c r="U73" s="524"/>
      <c r="V73" s="524"/>
      <c r="W73" s="524"/>
      <c r="X73" s="524"/>
      <c r="Y73" s="524"/>
      <c r="Z73" s="524"/>
      <c r="AA73" s="524"/>
      <c r="AB73" s="524"/>
      <c r="AC73" s="524"/>
      <c r="AD73" s="524"/>
      <c r="AE73" s="524"/>
      <c r="AF73" s="524"/>
      <c r="AG73" s="524"/>
      <c r="AH73" s="524"/>
      <c r="AI73" s="524"/>
      <c r="AJ73" s="524"/>
      <c r="AK73" s="524"/>
      <c r="AL73" s="524"/>
      <c r="AM73" s="524"/>
      <c r="AN73" s="524"/>
      <c r="AO73" s="524"/>
      <c r="AP73" s="524"/>
      <c r="AQ73" s="524"/>
      <c r="AR73" s="524"/>
      <c r="AS73" s="524"/>
      <c r="AT73" s="524"/>
      <c r="AU73" s="524"/>
      <c r="AV73" s="524"/>
      <c r="AW73" s="524"/>
      <c r="AX73" s="524"/>
      <c r="AY73" s="524"/>
      <c r="AZ73" s="524"/>
      <c r="BA73" s="524"/>
      <c r="BB73" s="524"/>
      <c r="BC73" s="524"/>
      <c r="BD73" s="524"/>
      <c r="BE73" s="524"/>
      <c r="BF73" s="524"/>
      <c r="BG73" s="524"/>
      <c r="BH73" s="524"/>
      <c r="BI73" s="524"/>
      <c r="BJ73" s="524"/>
      <c r="BK73" s="524"/>
      <c r="BL73" s="524"/>
      <c r="BM73" s="524"/>
      <c r="BN73" s="524"/>
      <c r="BO73" s="524"/>
      <c r="BP73" s="524"/>
      <c r="BQ73" s="524"/>
      <c r="BR73" s="524"/>
      <c r="BS73" s="524"/>
      <c r="BT73" s="524"/>
      <c r="BU73" s="524"/>
      <c r="BV73" s="524"/>
      <c r="BW73" s="524"/>
      <c r="BX73" s="524"/>
      <c r="BY73" s="524"/>
      <c r="BZ73" s="524"/>
      <c r="CA73" s="524"/>
      <c r="CB73" s="524"/>
      <c r="CC73" s="524"/>
      <c r="CD73" s="524"/>
      <c r="CE73" s="524"/>
      <c r="CF73" s="524"/>
      <c r="CG73" s="524"/>
      <c r="CH73" s="524"/>
      <c r="CI73" s="524"/>
      <c r="CJ73" s="524"/>
      <c r="CK73" s="524"/>
      <c r="CL73" s="524"/>
      <c r="CM73" s="524"/>
      <c r="CN73" s="524"/>
      <c r="CO73" s="524"/>
      <c r="CP73" s="524"/>
      <c r="CQ73" s="524"/>
      <c r="CR73" s="524"/>
      <c r="CS73" s="524"/>
    </row>
    <row r="74" spans="1:97" s="532" customFormat="1" ht="15.75" customHeight="1">
      <c r="A74" s="527"/>
      <c r="B74" s="527"/>
      <c r="C74" s="537">
        <v>23</v>
      </c>
      <c r="D74" s="536">
        <f>IF(VLOOKUP(C74,PROPONENTES!$B$19:$E$54,2,FALSE)="","",VLOOKUP(C74,PROPONENTES!$B$19:$E$54,2,FALSE))</f>
        <v>23</v>
      </c>
      <c r="E74" s="535" t="str">
        <f>IF(D74="","",IF(D74-INT(D74)&gt;1,"",VLOOKUP(D74,PROPONENTES!$C$19:$D$54,2,FALSE)))</f>
        <v>NELSON FREDY ARDILA GELVEZ</v>
      </c>
      <c r="F74" s="534">
        <v>1</v>
      </c>
      <c r="G74" s="533"/>
      <c r="H74" s="524"/>
      <c r="I74" s="524"/>
      <c r="J74" s="524"/>
      <c r="K74" s="524"/>
      <c r="L74" s="524"/>
      <c r="M74" s="524"/>
      <c r="N74" s="524"/>
      <c r="O74" s="524"/>
      <c r="P74" s="524"/>
      <c r="Q74" s="524"/>
      <c r="R74" s="524"/>
      <c r="S74" s="524"/>
      <c r="T74" s="524"/>
      <c r="U74" s="524"/>
      <c r="V74" s="524"/>
      <c r="W74" s="524"/>
      <c r="X74" s="524"/>
      <c r="Y74" s="524"/>
      <c r="Z74" s="524"/>
      <c r="AA74" s="524"/>
      <c r="AB74" s="524"/>
      <c r="AC74" s="524"/>
      <c r="AD74" s="524"/>
      <c r="AE74" s="524"/>
      <c r="AF74" s="524"/>
      <c r="AG74" s="524"/>
      <c r="AH74" s="524"/>
      <c r="AI74" s="524"/>
      <c r="AJ74" s="524"/>
      <c r="AK74" s="524"/>
      <c r="AL74" s="524"/>
      <c r="AM74" s="524"/>
      <c r="AN74" s="524"/>
      <c r="AO74" s="524"/>
      <c r="AP74" s="524"/>
      <c r="AQ74" s="524"/>
      <c r="AR74" s="524"/>
      <c r="AS74" s="524"/>
      <c r="AT74" s="524"/>
      <c r="AU74" s="524"/>
      <c r="AV74" s="524"/>
      <c r="AW74" s="524"/>
      <c r="AX74" s="524"/>
      <c r="AY74" s="524"/>
      <c r="AZ74" s="524"/>
      <c r="BA74" s="524"/>
      <c r="BB74" s="524"/>
      <c r="BC74" s="524"/>
      <c r="BD74" s="524"/>
      <c r="BE74" s="524"/>
      <c r="BF74" s="524"/>
      <c r="BG74" s="524"/>
      <c r="BH74" s="524"/>
      <c r="BI74" s="524"/>
      <c r="BJ74" s="524"/>
      <c r="BK74" s="524"/>
      <c r="BL74" s="524"/>
      <c r="BM74" s="524"/>
      <c r="BN74" s="524"/>
      <c r="BO74" s="524"/>
      <c r="BP74" s="524"/>
      <c r="BQ74" s="524"/>
      <c r="BR74" s="524"/>
      <c r="BS74" s="524"/>
      <c r="BT74" s="524"/>
      <c r="BU74" s="524"/>
      <c r="BV74" s="524"/>
      <c r="BW74" s="524"/>
      <c r="BX74" s="524"/>
      <c r="BY74" s="524"/>
      <c r="BZ74" s="524"/>
      <c r="CA74" s="524"/>
      <c r="CB74" s="524"/>
      <c r="CC74" s="524"/>
      <c r="CD74" s="524"/>
      <c r="CE74" s="524"/>
      <c r="CF74" s="524"/>
      <c r="CG74" s="524"/>
      <c r="CH74" s="524"/>
      <c r="CI74" s="524"/>
      <c r="CJ74" s="524"/>
      <c r="CK74" s="524"/>
      <c r="CL74" s="524"/>
      <c r="CM74" s="524"/>
      <c r="CN74" s="524"/>
      <c r="CO74" s="524"/>
      <c r="CP74" s="524"/>
      <c r="CQ74" s="524"/>
      <c r="CR74" s="524"/>
      <c r="CS74" s="524"/>
    </row>
    <row r="75" spans="1:97" s="532" customFormat="1" ht="15.75" customHeight="1">
      <c r="A75" s="527"/>
      <c r="B75" s="527"/>
      <c r="C75" s="537">
        <v>24</v>
      </c>
      <c r="D75" s="536">
        <f>IF(VLOOKUP(C75,PROPONENTES!$B$19:$E$54,2,FALSE)="","",VLOOKUP(C75,PROPONENTES!$B$19:$E$54,2,FALSE))</f>
        <v>24</v>
      </c>
      <c r="E75" s="535" t="str">
        <f>IF(D75="","",IF(D75-INT(D75)&gt;1,"",VLOOKUP(D75,PROPONENTES!$C$19:$D$54,2,FALSE)))</f>
        <v>CONSORCIO TERRA 100</v>
      </c>
      <c r="F75" s="534">
        <f>SUM(F76:F77)</f>
        <v>1</v>
      </c>
      <c r="G75" s="533"/>
      <c r="H75" s="524"/>
      <c r="I75" s="524"/>
      <c r="J75" s="524"/>
      <c r="K75" s="524"/>
      <c r="L75" s="524"/>
      <c r="M75" s="524"/>
      <c r="N75" s="524"/>
      <c r="O75" s="524"/>
      <c r="P75" s="524"/>
      <c r="Q75" s="524"/>
      <c r="R75" s="524"/>
      <c r="S75" s="524"/>
      <c r="T75" s="524"/>
      <c r="U75" s="524"/>
      <c r="V75" s="524"/>
      <c r="W75" s="524"/>
      <c r="X75" s="524"/>
      <c r="Y75" s="524"/>
      <c r="Z75" s="524"/>
      <c r="AA75" s="524"/>
      <c r="AB75" s="524"/>
      <c r="AC75" s="524"/>
      <c r="AD75" s="524"/>
      <c r="AE75" s="524"/>
      <c r="AF75" s="524"/>
      <c r="AG75" s="524"/>
      <c r="AH75" s="524"/>
      <c r="AI75" s="524"/>
      <c r="AJ75" s="524"/>
      <c r="AK75" s="524"/>
      <c r="AL75" s="524"/>
      <c r="AM75" s="524"/>
      <c r="AN75" s="524"/>
      <c r="AO75" s="524"/>
      <c r="AP75" s="524"/>
      <c r="AQ75" s="524"/>
      <c r="AR75" s="524"/>
      <c r="AS75" s="524"/>
      <c r="AT75" s="524"/>
      <c r="AU75" s="524"/>
      <c r="AV75" s="524"/>
      <c r="AW75" s="524"/>
      <c r="AX75" s="524"/>
      <c r="AY75" s="524"/>
      <c r="AZ75" s="524"/>
      <c r="BA75" s="524"/>
      <c r="BB75" s="524"/>
      <c r="BC75" s="524"/>
      <c r="BD75" s="524"/>
      <c r="BE75" s="524"/>
      <c r="BF75" s="524"/>
      <c r="BG75" s="524"/>
      <c r="BH75" s="524"/>
      <c r="BI75" s="524"/>
      <c r="BJ75" s="524"/>
      <c r="BK75" s="524"/>
      <c r="BL75" s="524"/>
      <c r="BM75" s="524"/>
      <c r="BN75" s="524"/>
      <c r="BO75" s="524"/>
      <c r="BP75" s="524"/>
      <c r="BQ75" s="524"/>
      <c r="BR75" s="524"/>
      <c r="BS75" s="524"/>
      <c r="BT75" s="524"/>
      <c r="BU75" s="524"/>
      <c r="BV75" s="524"/>
      <c r="BW75" s="524"/>
      <c r="BX75" s="524"/>
      <c r="BY75" s="524"/>
      <c r="BZ75" s="524"/>
      <c r="CA75" s="524"/>
      <c r="CB75" s="524"/>
      <c r="CC75" s="524"/>
      <c r="CD75" s="524"/>
      <c r="CE75" s="524"/>
      <c r="CF75" s="524"/>
      <c r="CG75" s="524"/>
      <c r="CH75" s="524"/>
      <c r="CI75" s="524"/>
      <c r="CJ75" s="524"/>
      <c r="CK75" s="524"/>
      <c r="CL75" s="524"/>
      <c r="CM75" s="524"/>
      <c r="CN75" s="524"/>
      <c r="CO75" s="524"/>
      <c r="CP75" s="524"/>
      <c r="CQ75" s="524"/>
      <c r="CR75" s="524"/>
      <c r="CS75" s="524"/>
    </row>
    <row r="76" spans="1:97" s="532" customFormat="1" ht="15.75" customHeight="1">
      <c r="A76" s="527"/>
      <c r="B76" s="527"/>
      <c r="C76" s="537"/>
      <c r="D76" s="536">
        <v>24.1</v>
      </c>
      <c r="E76" s="535" t="s">
        <v>326</v>
      </c>
      <c r="F76" s="534">
        <v>0.9</v>
      </c>
      <c r="G76" s="533"/>
      <c r="H76" s="524"/>
      <c r="I76" s="524"/>
      <c r="J76" s="524"/>
      <c r="K76" s="524"/>
      <c r="L76" s="524"/>
      <c r="M76" s="524"/>
      <c r="N76" s="524"/>
      <c r="O76" s="524"/>
      <c r="P76" s="524"/>
      <c r="Q76" s="524"/>
      <c r="R76" s="524"/>
      <c r="S76" s="524"/>
      <c r="T76" s="524"/>
      <c r="U76" s="524"/>
      <c r="V76" s="524"/>
      <c r="W76" s="524"/>
      <c r="X76" s="524"/>
      <c r="Y76" s="524"/>
      <c r="Z76" s="524"/>
      <c r="AA76" s="524"/>
      <c r="AB76" s="524"/>
      <c r="AC76" s="524"/>
      <c r="AD76" s="524"/>
      <c r="AE76" s="524"/>
      <c r="AF76" s="524"/>
      <c r="AG76" s="524"/>
      <c r="AH76" s="524"/>
      <c r="AI76" s="524"/>
      <c r="AJ76" s="524"/>
      <c r="AK76" s="524"/>
      <c r="AL76" s="524"/>
      <c r="AM76" s="524"/>
      <c r="AN76" s="524"/>
      <c r="AO76" s="524"/>
      <c r="AP76" s="524"/>
      <c r="AQ76" s="524"/>
      <c r="AR76" s="524"/>
      <c r="AS76" s="524"/>
      <c r="AT76" s="524"/>
      <c r="AU76" s="524"/>
      <c r="AV76" s="524"/>
      <c r="AW76" s="524"/>
      <c r="AX76" s="524"/>
      <c r="AY76" s="524"/>
      <c r="AZ76" s="524"/>
      <c r="BA76" s="524"/>
      <c r="BB76" s="524"/>
      <c r="BC76" s="524"/>
      <c r="BD76" s="524"/>
      <c r="BE76" s="524"/>
      <c r="BF76" s="524"/>
      <c r="BG76" s="524"/>
      <c r="BH76" s="524"/>
      <c r="BI76" s="524"/>
      <c r="BJ76" s="524"/>
      <c r="BK76" s="524"/>
      <c r="BL76" s="524"/>
      <c r="BM76" s="524"/>
      <c r="BN76" s="524"/>
      <c r="BO76" s="524"/>
      <c r="BP76" s="524"/>
      <c r="BQ76" s="524"/>
      <c r="BR76" s="524"/>
      <c r="BS76" s="524"/>
      <c r="BT76" s="524"/>
      <c r="BU76" s="524"/>
      <c r="BV76" s="524"/>
      <c r="BW76" s="524"/>
      <c r="BX76" s="524"/>
      <c r="BY76" s="524"/>
      <c r="BZ76" s="524"/>
      <c r="CA76" s="524"/>
      <c r="CB76" s="524"/>
      <c r="CC76" s="524"/>
      <c r="CD76" s="524"/>
      <c r="CE76" s="524"/>
      <c r="CF76" s="524"/>
      <c r="CG76" s="524"/>
      <c r="CH76" s="524"/>
      <c r="CI76" s="524"/>
      <c r="CJ76" s="524"/>
      <c r="CK76" s="524"/>
      <c r="CL76" s="524"/>
      <c r="CM76" s="524"/>
      <c r="CN76" s="524"/>
      <c r="CO76" s="524"/>
      <c r="CP76" s="524"/>
      <c r="CQ76" s="524"/>
      <c r="CR76" s="524"/>
      <c r="CS76" s="524"/>
    </row>
    <row r="77" spans="1:97" s="532" customFormat="1" ht="15.75" customHeight="1">
      <c r="A77" s="527"/>
      <c r="B77" s="527"/>
      <c r="C77" s="537"/>
      <c r="D77" s="536">
        <v>24.2</v>
      </c>
      <c r="E77" s="535" t="s">
        <v>327</v>
      </c>
      <c r="F77" s="534">
        <v>0.1</v>
      </c>
      <c r="G77" s="533"/>
      <c r="H77" s="524"/>
      <c r="I77" s="524"/>
      <c r="J77" s="524"/>
      <c r="K77" s="524"/>
      <c r="L77" s="524"/>
      <c r="M77" s="524"/>
      <c r="N77" s="524"/>
      <c r="O77" s="524"/>
      <c r="P77" s="524"/>
      <c r="Q77" s="524"/>
      <c r="R77" s="524"/>
      <c r="S77" s="524"/>
      <c r="T77" s="524"/>
      <c r="U77" s="524"/>
      <c r="V77" s="524"/>
      <c r="W77" s="524"/>
      <c r="X77" s="524"/>
      <c r="Y77" s="524"/>
      <c r="Z77" s="524"/>
      <c r="AA77" s="524"/>
      <c r="AB77" s="524"/>
      <c r="AC77" s="524"/>
      <c r="AD77" s="524"/>
      <c r="AE77" s="524"/>
      <c r="AF77" s="524"/>
      <c r="AG77" s="524"/>
      <c r="AH77" s="524"/>
      <c r="AI77" s="524"/>
      <c r="AJ77" s="524"/>
      <c r="AK77" s="524"/>
      <c r="AL77" s="524"/>
      <c r="AM77" s="524"/>
      <c r="AN77" s="524"/>
      <c r="AO77" s="524"/>
      <c r="AP77" s="524"/>
      <c r="AQ77" s="524"/>
      <c r="AR77" s="524"/>
      <c r="AS77" s="524"/>
      <c r="AT77" s="524"/>
      <c r="AU77" s="524"/>
      <c r="AV77" s="524"/>
      <c r="AW77" s="524"/>
      <c r="AX77" s="524"/>
      <c r="AY77" s="524"/>
      <c r="AZ77" s="524"/>
      <c r="BA77" s="524"/>
      <c r="BB77" s="524"/>
      <c r="BC77" s="524"/>
      <c r="BD77" s="524"/>
      <c r="BE77" s="524"/>
      <c r="BF77" s="524"/>
      <c r="BG77" s="524"/>
      <c r="BH77" s="524"/>
      <c r="BI77" s="524"/>
      <c r="BJ77" s="524"/>
      <c r="BK77" s="524"/>
      <c r="BL77" s="524"/>
      <c r="BM77" s="524"/>
      <c r="BN77" s="524"/>
      <c r="BO77" s="524"/>
      <c r="BP77" s="524"/>
      <c r="BQ77" s="524"/>
      <c r="BR77" s="524"/>
      <c r="BS77" s="524"/>
      <c r="BT77" s="524"/>
      <c r="BU77" s="524"/>
      <c r="BV77" s="524"/>
      <c r="BW77" s="524"/>
      <c r="BX77" s="524"/>
      <c r="BY77" s="524"/>
      <c r="BZ77" s="524"/>
      <c r="CA77" s="524"/>
      <c r="CB77" s="524"/>
      <c r="CC77" s="524"/>
      <c r="CD77" s="524"/>
      <c r="CE77" s="524"/>
      <c r="CF77" s="524"/>
      <c r="CG77" s="524"/>
      <c r="CH77" s="524"/>
      <c r="CI77" s="524"/>
      <c r="CJ77" s="524"/>
      <c r="CK77" s="524"/>
      <c r="CL77" s="524"/>
      <c r="CM77" s="524"/>
      <c r="CN77" s="524"/>
      <c r="CO77" s="524"/>
      <c r="CP77" s="524"/>
      <c r="CQ77" s="524"/>
      <c r="CR77" s="524"/>
      <c r="CS77" s="524"/>
    </row>
    <row r="78" spans="1:97" s="532" customFormat="1" ht="15.75" customHeight="1">
      <c r="A78" s="527"/>
      <c r="B78" s="527"/>
      <c r="C78" s="537">
        <v>25</v>
      </c>
      <c r="D78" s="536">
        <f>IF(VLOOKUP(C78,PROPONENTES!$B$19:$E$54,2,FALSE)="","",VLOOKUP(C78,PROPONENTES!$B$19:$E$54,2,FALSE))</f>
        <v>25</v>
      </c>
      <c r="E78" s="535" t="str">
        <f>IF(D78="","",IF(D78-INT(D78)&gt;1,"",VLOOKUP(D78,PROPONENTES!$C$19:$D$54,2,FALSE)))</f>
        <v>CONSORCIO ROCA</v>
      </c>
      <c r="F78" s="534">
        <f>SUM(F79:F80)</f>
        <v>1</v>
      </c>
      <c r="G78" s="533"/>
      <c r="H78" s="524"/>
      <c r="I78" s="524"/>
      <c r="J78" s="524"/>
      <c r="K78" s="524"/>
      <c r="L78" s="524"/>
      <c r="M78" s="524"/>
      <c r="N78" s="524"/>
      <c r="O78" s="524"/>
      <c r="P78" s="524"/>
      <c r="Q78" s="524"/>
      <c r="R78" s="524"/>
      <c r="S78" s="524"/>
      <c r="T78" s="524"/>
      <c r="U78" s="524"/>
      <c r="V78" s="524"/>
      <c r="W78" s="524"/>
      <c r="X78" s="524"/>
      <c r="Y78" s="524"/>
      <c r="Z78" s="524"/>
      <c r="AA78" s="524"/>
      <c r="AB78" s="524"/>
      <c r="AC78" s="524"/>
      <c r="AD78" s="524"/>
      <c r="AE78" s="524"/>
      <c r="AF78" s="524"/>
      <c r="AG78" s="524"/>
      <c r="AH78" s="524"/>
      <c r="AI78" s="524"/>
      <c r="AJ78" s="524"/>
      <c r="AK78" s="524"/>
      <c r="AL78" s="524"/>
      <c r="AM78" s="524"/>
      <c r="AN78" s="524"/>
      <c r="AO78" s="524"/>
      <c r="AP78" s="524"/>
      <c r="AQ78" s="524"/>
      <c r="AR78" s="524"/>
      <c r="AS78" s="524"/>
      <c r="AT78" s="524"/>
      <c r="AU78" s="524"/>
      <c r="AV78" s="524"/>
      <c r="AW78" s="524"/>
      <c r="AX78" s="524"/>
      <c r="AY78" s="524"/>
      <c r="AZ78" s="524"/>
      <c r="BA78" s="524"/>
      <c r="BB78" s="524"/>
      <c r="BC78" s="524"/>
      <c r="BD78" s="524"/>
      <c r="BE78" s="524"/>
      <c r="BF78" s="524"/>
      <c r="BG78" s="524"/>
      <c r="BH78" s="524"/>
      <c r="BI78" s="524"/>
      <c r="BJ78" s="524"/>
      <c r="BK78" s="524"/>
      <c r="BL78" s="524"/>
      <c r="BM78" s="524"/>
      <c r="BN78" s="524"/>
      <c r="BO78" s="524"/>
      <c r="BP78" s="524"/>
      <c r="BQ78" s="524"/>
      <c r="BR78" s="524"/>
      <c r="BS78" s="524"/>
      <c r="BT78" s="524"/>
      <c r="BU78" s="524"/>
      <c r="BV78" s="524"/>
      <c r="BW78" s="524"/>
      <c r="BX78" s="524"/>
      <c r="BY78" s="524"/>
      <c r="BZ78" s="524"/>
      <c r="CA78" s="524"/>
      <c r="CB78" s="524"/>
      <c r="CC78" s="524"/>
      <c r="CD78" s="524"/>
      <c r="CE78" s="524"/>
      <c r="CF78" s="524"/>
      <c r="CG78" s="524"/>
      <c r="CH78" s="524"/>
      <c r="CI78" s="524"/>
      <c r="CJ78" s="524"/>
      <c r="CK78" s="524"/>
      <c r="CL78" s="524"/>
      <c r="CM78" s="524"/>
      <c r="CN78" s="524"/>
      <c r="CO78" s="524"/>
      <c r="CP78" s="524"/>
      <c r="CQ78" s="524"/>
      <c r="CR78" s="524"/>
      <c r="CS78" s="524"/>
    </row>
    <row r="79" spans="1:97" s="532" customFormat="1" ht="15.75" customHeight="1">
      <c r="A79" s="527"/>
      <c r="B79" s="527"/>
      <c r="C79" s="537"/>
      <c r="D79" s="536">
        <v>25.1</v>
      </c>
      <c r="E79" s="535" t="s">
        <v>328</v>
      </c>
      <c r="F79" s="534">
        <v>0.6</v>
      </c>
      <c r="G79" s="533"/>
      <c r="H79" s="524"/>
      <c r="I79" s="524"/>
      <c r="J79" s="524"/>
      <c r="K79" s="524"/>
      <c r="L79" s="524"/>
      <c r="M79" s="524"/>
      <c r="N79" s="524"/>
      <c r="O79" s="524"/>
      <c r="P79" s="524"/>
      <c r="Q79" s="524"/>
      <c r="R79" s="524"/>
      <c r="S79" s="524"/>
      <c r="T79" s="524"/>
      <c r="U79" s="524"/>
      <c r="V79" s="524"/>
      <c r="W79" s="524"/>
      <c r="X79" s="524"/>
      <c r="Y79" s="524"/>
      <c r="Z79" s="524"/>
      <c r="AA79" s="524"/>
      <c r="AB79" s="524"/>
      <c r="AC79" s="524"/>
      <c r="AD79" s="524"/>
      <c r="AE79" s="524"/>
      <c r="AF79" s="524"/>
      <c r="AG79" s="524"/>
      <c r="AH79" s="524"/>
      <c r="AI79" s="524"/>
      <c r="AJ79" s="524"/>
      <c r="AK79" s="524"/>
      <c r="AL79" s="524"/>
      <c r="AM79" s="524"/>
      <c r="AN79" s="524"/>
      <c r="AO79" s="524"/>
      <c r="AP79" s="524"/>
      <c r="AQ79" s="524"/>
      <c r="AR79" s="524"/>
      <c r="AS79" s="524"/>
      <c r="AT79" s="524"/>
      <c r="AU79" s="524"/>
      <c r="AV79" s="524"/>
      <c r="AW79" s="524"/>
      <c r="AX79" s="524"/>
      <c r="AY79" s="524"/>
      <c r="AZ79" s="524"/>
      <c r="BA79" s="524"/>
      <c r="BB79" s="524"/>
      <c r="BC79" s="524"/>
      <c r="BD79" s="524"/>
      <c r="BE79" s="524"/>
      <c r="BF79" s="524"/>
      <c r="BG79" s="524"/>
      <c r="BH79" s="524"/>
      <c r="BI79" s="524"/>
      <c r="BJ79" s="524"/>
      <c r="BK79" s="524"/>
      <c r="BL79" s="524"/>
      <c r="BM79" s="524"/>
      <c r="BN79" s="524"/>
      <c r="BO79" s="524"/>
      <c r="BP79" s="524"/>
      <c r="BQ79" s="524"/>
      <c r="BR79" s="524"/>
      <c r="BS79" s="524"/>
      <c r="BT79" s="524"/>
      <c r="BU79" s="524"/>
      <c r="BV79" s="524"/>
      <c r="BW79" s="524"/>
      <c r="BX79" s="524"/>
      <c r="BY79" s="524"/>
      <c r="BZ79" s="524"/>
      <c r="CA79" s="524"/>
      <c r="CB79" s="524"/>
      <c r="CC79" s="524"/>
      <c r="CD79" s="524"/>
      <c r="CE79" s="524"/>
      <c r="CF79" s="524"/>
      <c r="CG79" s="524"/>
      <c r="CH79" s="524"/>
      <c r="CI79" s="524"/>
      <c r="CJ79" s="524"/>
      <c r="CK79" s="524"/>
      <c r="CL79" s="524"/>
      <c r="CM79" s="524"/>
      <c r="CN79" s="524"/>
      <c r="CO79" s="524"/>
      <c r="CP79" s="524"/>
      <c r="CQ79" s="524"/>
      <c r="CR79" s="524"/>
      <c r="CS79" s="524"/>
    </row>
    <row r="80" spans="1:97" s="532" customFormat="1" ht="15.75" customHeight="1">
      <c r="A80" s="527"/>
      <c r="B80" s="527"/>
      <c r="C80" s="537"/>
      <c r="D80" s="536">
        <v>25.2</v>
      </c>
      <c r="E80" s="535" t="s">
        <v>329</v>
      </c>
      <c r="F80" s="534">
        <v>0.4</v>
      </c>
      <c r="G80" s="533"/>
      <c r="H80" s="524"/>
      <c r="I80" s="524"/>
      <c r="J80" s="524"/>
      <c r="K80" s="524"/>
      <c r="L80" s="524"/>
      <c r="M80" s="524"/>
      <c r="N80" s="524"/>
      <c r="O80" s="524"/>
      <c r="P80" s="524"/>
      <c r="Q80" s="524"/>
      <c r="R80" s="524"/>
      <c r="S80" s="524"/>
      <c r="T80" s="524"/>
      <c r="U80" s="524"/>
      <c r="V80" s="524"/>
      <c r="W80" s="524"/>
      <c r="X80" s="524"/>
      <c r="Y80" s="524"/>
      <c r="Z80" s="524"/>
      <c r="AA80" s="524"/>
      <c r="AB80" s="524"/>
      <c r="AC80" s="524"/>
      <c r="AD80" s="524"/>
      <c r="AE80" s="524"/>
      <c r="AF80" s="524"/>
      <c r="AG80" s="524"/>
      <c r="AH80" s="524"/>
      <c r="AI80" s="524"/>
      <c r="AJ80" s="524"/>
      <c r="AK80" s="524"/>
      <c r="AL80" s="524"/>
      <c r="AM80" s="524"/>
      <c r="AN80" s="524"/>
      <c r="AO80" s="524"/>
      <c r="AP80" s="524"/>
      <c r="AQ80" s="524"/>
      <c r="AR80" s="524"/>
      <c r="AS80" s="524"/>
      <c r="AT80" s="524"/>
      <c r="AU80" s="524"/>
      <c r="AV80" s="524"/>
      <c r="AW80" s="524"/>
      <c r="AX80" s="524"/>
      <c r="AY80" s="524"/>
      <c r="AZ80" s="524"/>
      <c r="BA80" s="524"/>
      <c r="BB80" s="524"/>
      <c r="BC80" s="524"/>
      <c r="BD80" s="524"/>
      <c r="BE80" s="524"/>
      <c r="BF80" s="524"/>
      <c r="BG80" s="524"/>
      <c r="BH80" s="524"/>
      <c r="BI80" s="524"/>
      <c r="BJ80" s="524"/>
      <c r="BK80" s="524"/>
      <c r="BL80" s="524"/>
      <c r="BM80" s="524"/>
      <c r="BN80" s="524"/>
      <c r="BO80" s="524"/>
      <c r="BP80" s="524"/>
      <c r="BQ80" s="524"/>
      <c r="BR80" s="524"/>
      <c r="BS80" s="524"/>
      <c r="BT80" s="524"/>
      <c r="BU80" s="524"/>
      <c r="BV80" s="524"/>
      <c r="BW80" s="524"/>
      <c r="BX80" s="524"/>
      <c r="BY80" s="524"/>
      <c r="BZ80" s="524"/>
      <c r="CA80" s="524"/>
      <c r="CB80" s="524"/>
      <c r="CC80" s="524"/>
      <c r="CD80" s="524"/>
      <c r="CE80" s="524"/>
      <c r="CF80" s="524"/>
      <c r="CG80" s="524"/>
      <c r="CH80" s="524"/>
      <c r="CI80" s="524"/>
      <c r="CJ80" s="524"/>
      <c r="CK80" s="524"/>
      <c r="CL80" s="524"/>
      <c r="CM80" s="524"/>
      <c r="CN80" s="524"/>
      <c r="CO80" s="524"/>
      <c r="CP80" s="524"/>
      <c r="CQ80" s="524"/>
      <c r="CR80" s="524"/>
      <c r="CS80" s="524"/>
    </row>
    <row r="81" spans="1:97" s="532" customFormat="1" ht="15.75" customHeight="1">
      <c r="A81" s="527"/>
      <c r="B81" s="527"/>
      <c r="C81" s="537">
        <v>26</v>
      </c>
      <c r="D81" s="536">
        <f>IF(VLOOKUP(C81,PROPONENTES!$B$19:$E$54,2,FALSE)="","",VLOOKUP(C81,PROPONENTES!$B$19:$E$54,2,FALSE))</f>
        <v>26</v>
      </c>
      <c r="E81" s="535" t="str">
        <f>IF(D81="","",IF(D81-INT(D81)&gt;1,"",VLOOKUP(D81,PROPONENTES!$C$19:$D$54,2,FALSE)))</f>
        <v> CONSORCIO INTERADMIVIAL - SANTANDER</v>
      </c>
      <c r="F81" s="534">
        <f>SUM(F82:F83)</f>
        <v>1</v>
      </c>
      <c r="G81" s="533"/>
      <c r="H81" s="524"/>
      <c r="I81" s="524"/>
      <c r="J81" s="524"/>
      <c r="K81" s="524"/>
      <c r="L81" s="524"/>
      <c r="M81" s="524"/>
      <c r="N81" s="524"/>
      <c r="O81" s="524"/>
      <c r="P81" s="524"/>
      <c r="Q81" s="524"/>
      <c r="R81" s="524"/>
      <c r="S81" s="524"/>
      <c r="T81" s="524"/>
      <c r="U81" s="524"/>
      <c r="V81" s="524"/>
      <c r="W81" s="524"/>
      <c r="X81" s="524"/>
      <c r="Y81" s="524"/>
      <c r="Z81" s="524"/>
      <c r="AA81" s="524"/>
      <c r="AB81" s="524"/>
      <c r="AC81" s="524"/>
      <c r="AD81" s="524"/>
      <c r="AE81" s="524"/>
      <c r="AF81" s="524"/>
      <c r="AG81" s="524"/>
      <c r="AH81" s="524"/>
      <c r="AI81" s="524"/>
      <c r="AJ81" s="524"/>
      <c r="AK81" s="524"/>
      <c r="AL81" s="524"/>
      <c r="AM81" s="524"/>
      <c r="AN81" s="524"/>
      <c r="AO81" s="524"/>
      <c r="AP81" s="524"/>
      <c r="AQ81" s="524"/>
      <c r="AR81" s="524"/>
      <c r="AS81" s="524"/>
      <c r="AT81" s="524"/>
      <c r="AU81" s="524"/>
      <c r="AV81" s="524"/>
      <c r="AW81" s="524"/>
      <c r="AX81" s="524"/>
      <c r="AY81" s="524"/>
      <c r="AZ81" s="524"/>
      <c r="BA81" s="524"/>
      <c r="BB81" s="524"/>
      <c r="BC81" s="524"/>
      <c r="BD81" s="524"/>
      <c r="BE81" s="524"/>
      <c r="BF81" s="524"/>
      <c r="BG81" s="524"/>
      <c r="BH81" s="524"/>
      <c r="BI81" s="524"/>
      <c r="BJ81" s="524"/>
      <c r="BK81" s="524"/>
      <c r="BL81" s="524"/>
      <c r="BM81" s="524"/>
      <c r="BN81" s="524"/>
      <c r="BO81" s="524"/>
      <c r="BP81" s="524"/>
      <c r="BQ81" s="524"/>
      <c r="BR81" s="524"/>
      <c r="BS81" s="524"/>
      <c r="BT81" s="524"/>
      <c r="BU81" s="524"/>
      <c r="BV81" s="524"/>
      <c r="BW81" s="524"/>
      <c r="BX81" s="524"/>
      <c r="BY81" s="524"/>
      <c r="BZ81" s="524"/>
      <c r="CA81" s="524"/>
      <c r="CB81" s="524"/>
      <c r="CC81" s="524"/>
      <c r="CD81" s="524"/>
      <c r="CE81" s="524"/>
      <c r="CF81" s="524"/>
      <c r="CG81" s="524"/>
      <c r="CH81" s="524"/>
      <c r="CI81" s="524"/>
      <c r="CJ81" s="524"/>
      <c r="CK81" s="524"/>
      <c r="CL81" s="524"/>
      <c r="CM81" s="524"/>
      <c r="CN81" s="524"/>
      <c r="CO81" s="524"/>
      <c r="CP81" s="524"/>
      <c r="CQ81" s="524"/>
      <c r="CR81" s="524"/>
      <c r="CS81" s="524"/>
    </row>
    <row r="82" spans="1:97" s="532" customFormat="1" ht="15.75" customHeight="1">
      <c r="A82" s="527"/>
      <c r="B82" s="527"/>
      <c r="C82" s="537"/>
      <c r="D82" s="536">
        <v>26.1</v>
      </c>
      <c r="E82" s="535" t="s">
        <v>330</v>
      </c>
      <c r="F82" s="534">
        <v>0.1</v>
      </c>
      <c r="G82" s="533"/>
      <c r="H82" s="524"/>
      <c r="I82" s="524"/>
      <c r="J82" s="524"/>
      <c r="K82" s="524"/>
      <c r="L82" s="524"/>
      <c r="M82" s="524"/>
      <c r="N82" s="524"/>
      <c r="O82" s="524"/>
      <c r="P82" s="524"/>
      <c r="Q82" s="524"/>
      <c r="R82" s="524"/>
      <c r="S82" s="524"/>
      <c r="T82" s="524"/>
      <c r="U82" s="524"/>
      <c r="V82" s="524"/>
      <c r="W82" s="524"/>
      <c r="X82" s="524"/>
      <c r="Y82" s="524"/>
      <c r="Z82" s="524"/>
      <c r="AA82" s="524"/>
      <c r="AB82" s="524"/>
      <c r="AC82" s="524"/>
      <c r="AD82" s="524"/>
      <c r="AE82" s="524"/>
      <c r="AF82" s="524"/>
      <c r="AG82" s="524"/>
      <c r="AH82" s="524"/>
      <c r="AI82" s="524"/>
      <c r="AJ82" s="524"/>
      <c r="AK82" s="524"/>
      <c r="AL82" s="524"/>
      <c r="AM82" s="524"/>
      <c r="AN82" s="524"/>
      <c r="AO82" s="524"/>
      <c r="AP82" s="524"/>
      <c r="AQ82" s="524"/>
      <c r="AR82" s="524"/>
      <c r="AS82" s="524"/>
      <c r="AT82" s="524"/>
      <c r="AU82" s="524"/>
      <c r="AV82" s="524"/>
      <c r="AW82" s="524"/>
      <c r="AX82" s="524"/>
      <c r="AY82" s="524"/>
      <c r="AZ82" s="524"/>
      <c r="BA82" s="524"/>
      <c r="BB82" s="524"/>
      <c r="BC82" s="524"/>
      <c r="BD82" s="524"/>
      <c r="BE82" s="524"/>
      <c r="BF82" s="524"/>
      <c r="BG82" s="524"/>
      <c r="BH82" s="524"/>
      <c r="BI82" s="524"/>
      <c r="BJ82" s="524"/>
      <c r="BK82" s="524"/>
      <c r="BL82" s="524"/>
      <c r="BM82" s="524"/>
      <c r="BN82" s="524"/>
      <c r="BO82" s="524"/>
      <c r="BP82" s="524"/>
      <c r="BQ82" s="524"/>
      <c r="BR82" s="524"/>
      <c r="BS82" s="524"/>
      <c r="BT82" s="524"/>
      <c r="BU82" s="524"/>
      <c r="BV82" s="524"/>
      <c r="BW82" s="524"/>
      <c r="BX82" s="524"/>
      <c r="BY82" s="524"/>
      <c r="BZ82" s="524"/>
      <c r="CA82" s="524"/>
      <c r="CB82" s="524"/>
      <c r="CC82" s="524"/>
      <c r="CD82" s="524"/>
      <c r="CE82" s="524"/>
      <c r="CF82" s="524"/>
      <c r="CG82" s="524"/>
      <c r="CH82" s="524"/>
      <c r="CI82" s="524"/>
      <c r="CJ82" s="524"/>
      <c r="CK82" s="524"/>
      <c r="CL82" s="524"/>
      <c r="CM82" s="524"/>
      <c r="CN82" s="524"/>
      <c r="CO82" s="524"/>
      <c r="CP82" s="524"/>
      <c r="CQ82" s="524"/>
      <c r="CR82" s="524"/>
      <c r="CS82" s="524"/>
    </row>
    <row r="83" spans="1:97" s="532" customFormat="1" ht="15.75" customHeight="1">
      <c r="A83" s="527"/>
      <c r="B83" s="527"/>
      <c r="C83" s="537"/>
      <c r="D83" s="536">
        <v>26.2</v>
      </c>
      <c r="E83" s="535" t="s">
        <v>331</v>
      </c>
      <c r="F83" s="534">
        <v>0.9</v>
      </c>
      <c r="G83" s="533"/>
      <c r="H83" s="524"/>
      <c r="I83" s="524"/>
      <c r="J83" s="524"/>
      <c r="K83" s="524"/>
      <c r="L83" s="524"/>
      <c r="M83" s="524"/>
      <c r="N83" s="524"/>
      <c r="O83" s="524"/>
      <c r="P83" s="524"/>
      <c r="Q83" s="524"/>
      <c r="R83" s="524"/>
      <c r="S83" s="524"/>
      <c r="T83" s="524"/>
      <c r="U83" s="524"/>
      <c r="V83" s="524"/>
      <c r="W83" s="524"/>
      <c r="X83" s="524"/>
      <c r="Y83" s="524"/>
      <c r="Z83" s="524"/>
      <c r="AA83" s="524"/>
      <c r="AB83" s="524"/>
      <c r="AC83" s="524"/>
      <c r="AD83" s="524"/>
      <c r="AE83" s="524"/>
      <c r="AF83" s="524"/>
      <c r="AG83" s="524"/>
      <c r="AH83" s="524"/>
      <c r="AI83" s="524"/>
      <c r="AJ83" s="524"/>
      <c r="AK83" s="524"/>
      <c r="AL83" s="524"/>
      <c r="AM83" s="524"/>
      <c r="AN83" s="524"/>
      <c r="AO83" s="524"/>
      <c r="AP83" s="524"/>
      <c r="AQ83" s="524"/>
      <c r="AR83" s="524"/>
      <c r="AS83" s="524"/>
      <c r="AT83" s="524"/>
      <c r="AU83" s="524"/>
      <c r="AV83" s="524"/>
      <c r="AW83" s="524"/>
      <c r="AX83" s="524"/>
      <c r="AY83" s="524"/>
      <c r="AZ83" s="524"/>
      <c r="BA83" s="524"/>
      <c r="BB83" s="524"/>
      <c r="BC83" s="524"/>
      <c r="BD83" s="524"/>
      <c r="BE83" s="524"/>
      <c r="BF83" s="524"/>
      <c r="BG83" s="524"/>
      <c r="BH83" s="524"/>
      <c r="BI83" s="524"/>
      <c r="BJ83" s="524"/>
      <c r="BK83" s="524"/>
      <c r="BL83" s="524"/>
      <c r="BM83" s="524"/>
      <c r="BN83" s="524"/>
      <c r="BO83" s="524"/>
      <c r="BP83" s="524"/>
      <c r="BQ83" s="524"/>
      <c r="BR83" s="524"/>
      <c r="BS83" s="524"/>
      <c r="BT83" s="524"/>
      <c r="BU83" s="524"/>
      <c r="BV83" s="524"/>
      <c r="BW83" s="524"/>
      <c r="BX83" s="524"/>
      <c r="BY83" s="524"/>
      <c r="BZ83" s="524"/>
      <c r="CA83" s="524"/>
      <c r="CB83" s="524"/>
      <c r="CC83" s="524"/>
      <c r="CD83" s="524"/>
      <c r="CE83" s="524"/>
      <c r="CF83" s="524"/>
      <c r="CG83" s="524"/>
      <c r="CH83" s="524"/>
      <c r="CI83" s="524"/>
      <c r="CJ83" s="524"/>
      <c r="CK83" s="524"/>
      <c r="CL83" s="524"/>
      <c r="CM83" s="524"/>
      <c r="CN83" s="524"/>
      <c r="CO83" s="524"/>
      <c r="CP83" s="524"/>
      <c r="CQ83" s="524"/>
      <c r="CR83" s="524"/>
      <c r="CS83" s="524"/>
    </row>
    <row r="84" spans="1:97" s="532" customFormat="1" ht="15.75" customHeight="1">
      <c r="A84" s="527"/>
      <c r="B84" s="527"/>
      <c r="C84" s="537">
        <v>27</v>
      </c>
      <c r="D84" s="536">
        <f>IF(VLOOKUP(C84,PROPONENTES!$B$19:$E$54,2,FALSE)="","",VLOOKUP(C84,PROPONENTES!$B$19:$E$54,2,FALSE))</f>
        <v>27</v>
      </c>
      <c r="E84" s="535" t="str">
        <f>IF(D84="","",IF(D84-INT(D84)&gt;1,"",VLOOKUP(D84,PROPONENTES!$C$19:$D$54,2,FALSE)))</f>
        <v>CONSORCIO CAR-JASB</v>
      </c>
      <c r="F84" s="534">
        <f>SUM(F85:F86)</f>
        <v>1</v>
      </c>
      <c r="G84" s="533"/>
      <c r="H84" s="524"/>
      <c r="I84" s="524"/>
      <c r="J84" s="524"/>
      <c r="K84" s="524"/>
      <c r="L84" s="524"/>
      <c r="M84" s="524"/>
      <c r="N84" s="524"/>
      <c r="O84" s="524"/>
      <c r="P84" s="524"/>
      <c r="Q84" s="524"/>
      <c r="R84" s="524"/>
      <c r="S84" s="524"/>
      <c r="T84" s="524"/>
      <c r="U84" s="524"/>
      <c r="V84" s="524"/>
      <c r="W84" s="524"/>
      <c r="X84" s="524"/>
      <c r="Y84" s="524"/>
      <c r="Z84" s="524"/>
      <c r="AA84" s="524"/>
      <c r="AB84" s="524"/>
      <c r="AC84" s="524"/>
      <c r="AD84" s="524"/>
      <c r="AE84" s="524"/>
      <c r="AF84" s="524"/>
      <c r="AG84" s="524"/>
      <c r="AH84" s="524"/>
      <c r="AI84" s="524"/>
      <c r="AJ84" s="524"/>
      <c r="AK84" s="524"/>
      <c r="AL84" s="524"/>
      <c r="AM84" s="524"/>
      <c r="AN84" s="524"/>
      <c r="AO84" s="524"/>
      <c r="AP84" s="524"/>
      <c r="AQ84" s="524"/>
      <c r="AR84" s="524"/>
      <c r="AS84" s="524"/>
      <c r="AT84" s="524"/>
      <c r="AU84" s="524"/>
      <c r="AV84" s="524"/>
      <c r="AW84" s="524"/>
      <c r="AX84" s="524"/>
      <c r="AY84" s="524"/>
      <c r="AZ84" s="524"/>
      <c r="BA84" s="524"/>
      <c r="BB84" s="524"/>
      <c r="BC84" s="524"/>
      <c r="BD84" s="524"/>
      <c r="BE84" s="524"/>
      <c r="BF84" s="524"/>
      <c r="BG84" s="524"/>
      <c r="BH84" s="524"/>
      <c r="BI84" s="524"/>
      <c r="BJ84" s="524"/>
      <c r="BK84" s="524"/>
      <c r="BL84" s="524"/>
      <c r="BM84" s="524"/>
      <c r="BN84" s="524"/>
      <c r="BO84" s="524"/>
      <c r="BP84" s="524"/>
      <c r="BQ84" s="524"/>
      <c r="BR84" s="524"/>
      <c r="BS84" s="524"/>
      <c r="BT84" s="524"/>
      <c r="BU84" s="524"/>
      <c r="BV84" s="524"/>
      <c r="BW84" s="524"/>
      <c r="BX84" s="524"/>
      <c r="BY84" s="524"/>
      <c r="BZ84" s="524"/>
      <c r="CA84" s="524"/>
      <c r="CB84" s="524"/>
      <c r="CC84" s="524"/>
      <c r="CD84" s="524"/>
      <c r="CE84" s="524"/>
      <c r="CF84" s="524"/>
      <c r="CG84" s="524"/>
      <c r="CH84" s="524"/>
      <c r="CI84" s="524"/>
      <c r="CJ84" s="524"/>
      <c r="CK84" s="524"/>
      <c r="CL84" s="524"/>
      <c r="CM84" s="524"/>
      <c r="CN84" s="524"/>
      <c r="CO84" s="524"/>
      <c r="CP84" s="524"/>
      <c r="CQ84" s="524"/>
      <c r="CR84" s="524"/>
      <c r="CS84" s="524"/>
    </row>
    <row r="85" spans="1:97" s="532" customFormat="1" ht="15.75" customHeight="1">
      <c r="A85" s="527"/>
      <c r="B85" s="527"/>
      <c r="C85" s="537"/>
      <c r="D85" s="536">
        <v>27.1</v>
      </c>
      <c r="E85" s="535" t="s">
        <v>342</v>
      </c>
      <c r="F85" s="534">
        <v>0.4</v>
      </c>
      <c r="G85" s="533"/>
      <c r="H85" s="524"/>
      <c r="I85" s="524"/>
      <c r="J85" s="524"/>
      <c r="K85" s="524"/>
      <c r="L85" s="524"/>
      <c r="M85" s="524"/>
      <c r="N85" s="524"/>
      <c r="O85" s="524"/>
      <c r="P85" s="524"/>
      <c r="Q85" s="524"/>
      <c r="R85" s="524"/>
      <c r="S85" s="524"/>
      <c r="T85" s="524"/>
      <c r="U85" s="524"/>
      <c r="V85" s="524"/>
      <c r="W85" s="524"/>
      <c r="X85" s="524"/>
      <c r="Y85" s="524"/>
      <c r="Z85" s="524"/>
      <c r="AA85" s="524"/>
      <c r="AB85" s="524"/>
      <c r="AC85" s="524"/>
      <c r="AD85" s="524"/>
      <c r="AE85" s="524"/>
      <c r="AF85" s="524"/>
      <c r="AG85" s="524"/>
      <c r="AH85" s="524"/>
      <c r="AI85" s="524"/>
      <c r="AJ85" s="524"/>
      <c r="AK85" s="524"/>
      <c r="AL85" s="524"/>
      <c r="AM85" s="524"/>
      <c r="AN85" s="524"/>
      <c r="AO85" s="524"/>
      <c r="AP85" s="524"/>
      <c r="AQ85" s="524"/>
      <c r="AR85" s="524"/>
      <c r="AS85" s="524"/>
      <c r="AT85" s="524"/>
      <c r="AU85" s="524"/>
      <c r="AV85" s="524"/>
      <c r="AW85" s="524"/>
      <c r="AX85" s="524"/>
      <c r="AY85" s="524"/>
      <c r="AZ85" s="524"/>
      <c r="BA85" s="524"/>
      <c r="BB85" s="524"/>
      <c r="BC85" s="524"/>
      <c r="BD85" s="524"/>
      <c r="BE85" s="524"/>
      <c r="BF85" s="524"/>
      <c r="BG85" s="524"/>
      <c r="BH85" s="524"/>
      <c r="BI85" s="524"/>
      <c r="BJ85" s="524"/>
      <c r="BK85" s="524"/>
      <c r="BL85" s="524"/>
      <c r="BM85" s="524"/>
      <c r="BN85" s="524"/>
      <c r="BO85" s="524"/>
      <c r="BP85" s="524"/>
      <c r="BQ85" s="524"/>
      <c r="BR85" s="524"/>
      <c r="BS85" s="524"/>
      <c r="BT85" s="524"/>
      <c r="BU85" s="524"/>
      <c r="BV85" s="524"/>
      <c r="BW85" s="524"/>
      <c r="BX85" s="524"/>
      <c r="BY85" s="524"/>
      <c r="BZ85" s="524"/>
      <c r="CA85" s="524"/>
      <c r="CB85" s="524"/>
      <c r="CC85" s="524"/>
      <c r="CD85" s="524"/>
      <c r="CE85" s="524"/>
      <c r="CF85" s="524"/>
      <c r="CG85" s="524"/>
      <c r="CH85" s="524"/>
      <c r="CI85" s="524"/>
      <c r="CJ85" s="524"/>
      <c r="CK85" s="524"/>
      <c r="CL85" s="524"/>
      <c r="CM85" s="524"/>
      <c r="CN85" s="524"/>
      <c r="CO85" s="524"/>
      <c r="CP85" s="524"/>
      <c r="CQ85" s="524"/>
      <c r="CR85" s="524"/>
      <c r="CS85" s="524"/>
    </row>
    <row r="86" spans="1:97" s="532" customFormat="1" ht="15.75" customHeight="1">
      <c r="A86" s="527"/>
      <c r="B86" s="527"/>
      <c r="C86" s="537"/>
      <c r="D86" s="536">
        <v>27.2</v>
      </c>
      <c r="E86" s="535" t="s">
        <v>343</v>
      </c>
      <c r="F86" s="534">
        <v>0.6</v>
      </c>
      <c r="G86" s="533"/>
      <c r="H86" s="524"/>
      <c r="I86" s="524"/>
      <c r="J86" s="524"/>
      <c r="K86" s="524"/>
      <c r="L86" s="524"/>
      <c r="M86" s="524"/>
      <c r="N86" s="524"/>
      <c r="O86" s="524"/>
      <c r="P86" s="524"/>
      <c r="Q86" s="524"/>
      <c r="R86" s="524"/>
      <c r="S86" s="524"/>
      <c r="T86" s="524"/>
      <c r="U86" s="524"/>
      <c r="V86" s="524"/>
      <c r="W86" s="524"/>
      <c r="X86" s="524"/>
      <c r="Y86" s="524"/>
      <c r="Z86" s="524"/>
      <c r="AA86" s="524"/>
      <c r="AB86" s="524"/>
      <c r="AC86" s="524"/>
      <c r="AD86" s="524"/>
      <c r="AE86" s="524"/>
      <c r="AF86" s="524"/>
      <c r="AG86" s="524"/>
      <c r="AH86" s="524"/>
      <c r="AI86" s="524"/>
      <c r="AJ86" s="524"/>
      <c r="AK86" s="524"/>
      <c r="AL86" s="524"/>
      <c r="AM86" s="524"/>
      <c r="AN86" s="524"/>
      <c r="AO86" s="524"/>
      <c r="AP86" s="524"/>
      <c r="AQ86" s="524"/>
      <c r="AR86" s="524"/>
      <c r="AS86" s="524"/>
      <c r="AT86" s="524"/>
      <c r="AU86" s="524"/>
      <c r="AV86" s="524"/>
      <c r="AW86" s="524"/>
      <c r="AX86" s="524"/>
      <c r="AY86" s="524"/>
      <c r="AZ86" s="524"/>
      <c r="BA86" s="524"/>
      <c r="BB86" s="524"/>
      <c r="BC86" s="524"/>
      <c r="BD86" s="524"/>
      <c r="BE86" s="524"/>
      <c r="BF86" s="524"/>
      <c r="BG86" s="524"/>
      <c r="BH86" s="524"/>
      <c r="BI86" s="524"/>
      <c r="BJ86" s="524"/>
      <c r="BK86" s="524"/>
      <c r="BL86" s="524"/>
      <c r="BM86" s="524"/>
      <c r="BN86" s="524"/>
      <c r="BO86" s="524"/>
      <c r="BP86" s="524"/>
      <c r="BQ86" s="524"/>
      <c r="BR86" s="524"/>
      <c r="BS86" s="524"/>
      <c r="BT86" s="524"/>
      <c r="BU86" s="524"/>
      <c r="BV86" s="524"/>
      <c r="BW86" s="524"/>
      <c r="BX86" s="524"/>
      <c r="BY86" s="524"/>
      <c r="BZ86" s="524"/>
      <c r="CA86" s="524"/>
      <c r="CB86" s="524"/>
      <c r="CC86" s="524"/>
      <c r="CD86" s="524"/>
      <c r="CE86" s="524"/>
      <c r="CF86" s="524"/>
      <c r="CG86" s="524"/>
      <c r="CH86" s="524"/>
      <c r="CI86" s="524"/>
      <c r="CJ86" s="524"/>
      <c r="CK86" s="524"/>
      <c r="CL86" s="524"/>
      <c r="CM86" s="524"/>
      <c r="CN86" s="524"/>
      <c r="CO86" s="524"/>
      <c r="CP86" s="524"/>
      <c r="CQ86" s="524"/>
      <c r="CR86" s="524"/>
      <c r="CS86" s="524"/>
    </row>
    <row r="87" spans="1:97" s="532" customFormat="1" ht="15.75" customHeight="1">
      <c r="A87" s="527"/>
      <c r="B87" s="527"/>
      <c r="C87" s="537">
        <v>28</v>
      </c>
      <c r="D87" s="536">
        <f>IF(VLOOKUP(C87,PROPONENTES!$B$19:$E$54,2,FALSE)="","",VLOOKUP(C87,PROPONENTES!$B$19:$E$54,2,FALSE))</f>
        <v>28</v>
      </c>
      <c r="E87" s="535" t="str">
        <f>IF(D87="","",IF(D87-INT(D87)&gt;1,"",VLOOKUP(D87,PROPONENTES!$C$19:$D$54,2,FALSE)))</f>
        <v>CONSORCIO CJD</v>
      </c>
      <c r="F87" s="534">
        <f>SUM(F88:F90)</f>
        <v>1</v>
      </c>
      <c r="G87" s="533"/>
      <c r="H87" s="524"/>
      <c r="I87" s="524"/>
      <c r="J87" s="524"/>
      <c r="K87" s="524"/>
      <c r="L87" s="524"/>
      <c r="M87" s="524"/>
      <c r="N87" s="524"/>
      <c r="O87" s="524"/>
      <c r="P87" s="524"/>
      <c r="Q87" s="524"/>
      <c r="R87" s="524"/>
      <c r="S87" s="524"/>
      <c r="T87" s="524"/>
      <c r="U87" s="524"/>
      <c r="V87" s="524"/>
      <c r="W87" s="524"/>
      <c r="X87" s="524"/>
      <c r="Y87" s="524"/>
      <c r="Z87" s="524"/>
      <c r="AA87" s="524"/>
      <c r="AB87" s="524"/>
      <c r="AC87" s="524"/>
      <c r="AD87" s="524"/>
      <c r="AE87" s="524"/>
      <c r="AF87" s="524"/>
      <c r="AG87" s="524"/>
      <c r="AH87" s="524"/>
      <c r="AI87" s="524"/>
      <c r="AJ87" s="524"/>
      <c r="AK87" s="524"/>
      <c r="AL87" s="524"/>
      <c r="AM87" s="524"/>
      <c r="AN87" s="524"/>
      <c r="AO87" s="524"/>
      <c r="AP87" s="524"/>
      <c r="AQ87" s="524"/>
      <c r="AR87" s="524"/>
      <c r="AS87" s="524"/>
      <c r="AT87" s="524"/>
      <c r="AU87" s="524"/>
      <c r="AV87" s="524"/>
      <c r="AW87" s="524"/>
      <c r="AX87" s="524"/>
      <c r="AY87" s="524"/>
      <c r="AZ87" s="524"/>
      <c r="BA87" s="524"/>
      <c r="BB87" s="524"/>
      <c r="BC87" s="524"/>
      <c r="BD87" s="524"/>
      <c r="BE87" s="524"/>
      <c r="BF87" s="524"/>
      <c r="BG87" s="524"/>
      <c r="BH87" s="524"/>
      <c r="BI87" s="524"/>
      <c r="BJ87" s="524"/>
      <c r="BK87" s="524"/>
      <c r="BL87" s="524"/>
      <c r="BM87" s="524"/>
      <c r="BN87" s="524"/>
      <c r="BO87" s="524"/>
      <c r="BP87" s="524"/>
      <c r="BQ87" s="524"/>
      <c r="BR87" s="524"/>
      <c r="BS87" s="524"/>
      <c r="BT87" s="524"/>
      <c r="BU87" s="524"/>
      <c r="BV87" s="524"/>
      <c r="BW87" s="524"/>
      <c r="BX87" s="524"/>
      <c r="BY87" s="524"/>
      <c r="BZ87" s="524"/>
      <c r="CA87" s="524"/>
      <c r="CB87" s="524"/>
      <c r="CC87" s="524"/>
      <c r="CD87" s="524"/>
      <c r="CE87" s="524"/>
      <c r="CF87" s="524"/>
      <c r="CG87" s="524"/>
      <c r="CH87" s="524"/>
      <c r="CI87" s="524"/>
      <c r="CJ87" s="524"/>
      <c r="CK87" s="524"/>
      <c r="CL87" s="524"/>
      <c r="CM87" s="524"/>
      <c r="CN87" s="524"/>
      <c r="CO87" s="524"/>
      <c r="CP87" s="524"/>
      <c r="CQ87" s="524"/>
      <c r="CR87" s="524"/>
      <c r="CS87" s="524"/>
    </row>
    <row r="88" spans="1:97" s="532" customFormat="1" ht="15.75" customHeight="1">
      <c r="A88" s="527"/>
      <c r="B88" s="527"/>
      <c r="C88" s="537"/>
      <c r="D88" s="536">
        <v>28.1</v>
      </c>
      <c r="E88" s="535" t="s">
        <v>344</v>
      </c>
      <c r="F88" s="534">
        <v>0.6</v>
      </c>
      <c r="G88" s="533"/>
      <c r="H88" s="524"/>
      <c r="I88" s="524"/>
      <c r="J88" s="524"/>
      <c r="K88" s="524"/>
      <c r="L88" s="524"/>
      <c r="M88" s="524"/>
      <c r="N88" s="524"/>
      <c r="O88" s="524"/>
      <c r="P88" s="524"/>
      <c r="Q88" s="524"/>
      <c r="R88" s="524"/>
      <c r="S88" s="524"/>
      <c r="T88" s="524"/>
      <c r="U88" s="524"/>
      <c r="V88" s="524"/>
      <c r="W88" s="524"/>
      <c r="X88" s="524"/>
      <c r="Y88" s="524"/>
      <c r="Z88" s="524"/>
      <c r="AA88" s="524"/>
      <c r="AB88" s="524"/>
      <c r="AC88" s="524"/>
      <c r="AD88" s="524"/>
      <c r="AE88" s="524"/>
      <c r="AF88" s="524"/>
      <c r="AG88" s="524"/>
      <c r="AH88" s="524"/>
      <c r="AI88" s="524"/>
      <c r="AJ88" s="524"/>
      <c r="AK88" s="524"/>
      <c r="AL88" s="524"/>
      <c r="AM88" s="524"/>
      <c r="AN88" s="524"/>
      <c r="AO88" s="524"/>
      <c r="AP88" s="524"/>
      <c r="AQ88" s="524"/>
      <c r="AR88" s="524"/>
      <c r="AS88" s="524"/>
      <c r="AT88" s="524"/>
      <c r="AU88" s="524"/>
      <c r="AV88" s="524"/>
      <c r="AW88" s="524"/>
      <c r="AX88" s="524"/>
      <c r="AY88" s="524"/>
      <c r="AZ88" s="524"/>
      <c r="BA88" s="524"/>
      <c r="BB88" s="524"/>
      <c r="BC88" s="524"/>
      <c r="BD88" s="524"/>
      <c r="BE88" s="524"/>
      <c r="BF88" s="524"/>
      <c r="BG88" s="524"/>
      <c r="BH88" s="524"/>
      <c r="BI88" s="524"/>
      <c r="BJ88" s="524"/>
      <c r="BK88" s="524"/>
      <c r="BL88" s="524"/>
      <c r="BM88" s="524"/>
      <c r="BN88" s="524"/>
      <c r="BO88" s="524"/>
      <c r="BP88" s="524"/>
      <c r="BQ88" s="524"/>
      <c r="BR88" s="524"/>
      <c r="BS88" s="524"/>
      <c r="BT88" s="524"/>
      <c r="BU88" s="524"/>
      <c r="BV88" s="524"/>
      <c r="BW88" s="524"/>
      <c r="BX88" s="524"/>
      <c r="BY88" s="524"/>
      <c r="BZ88" s="524"/>
      <c r="CA88" s="524"/>
      <c r="CB88" s="524"/>
      <c r="CC88" s="524"/>
      <c r="CD88" s="524"/>
      <c r="CE88" s="524"/>
      <c r="CF88" s="524"/>
      <c r="CG88" s="524"/>
      <c r="CH88" s="524"/>
      <c r="CI88" s="524"/>
      <c r="CJ88" s="524"/>
      <c r="CK88" s="524"/>
      <c r="CL88" s="524"/>
      <c r="CM88" s="524"/>
      <c r="CN88" s="524"/>
      <c r="CO88" s="524"/>
      <c r="CP88" s="524"/>
      <c r="CQ88" s="524"/>
      <c r="CR88" s="524"/>
      <c r="CS88" s="524"/>
    </row>
    <row r="89" spans="1:97" s="532" customFormat="1" ht="15.75" customHeight="1">
      <c r="A89" s="527"/>
      <c r="B89" s="527"/>
      <c r="C89" s="537"/>
      <c r="D89" s="536">
        <v>28.2</v>
      </c>
      <c r="E89" s="535" t="s">
        <v>345</v>
      </c>
      <c r="F89" s="534">
        <v>0.1</v>
      </c>
      <c r="G89" s="533"/>
      <c r="H89" s="524"/>
      <c r="I89" s="524"/>
      <c r="J89" s="524"/>
      <c r="K89" s="524"/>
      <c r="L89" s="524"/>
      <c r="M89" s="524"/>
      <c r="N89" s="524"/>
      <c r="O89" s="524"/>
      <c r="P89" s="524"/>
      <c r="Q89" s="524"/>
      <c r="R89" s="524"/>
      <c r="S89" s="524"/>
      <c r="T89" s="524"/>
      <c r="U89" s="524"/>
      <c r="V89" s="524"/>
      <c r="W89" s="524"/>
      <c r="X89" s="524"/>
      <c r="Y89" s="524"/>
      <c r="Z89" s="524"/>
      <c r="AA89" s="524"/>
      <c r="AB89" s="524"/>
      <c r="AC89" s="524"/>
      <c r="AD89" s="524"/>
      <c r="AE89" s="524"/>
      <c r="AF89" s="524"/>
      <c r="AG89" s="524"/>
      <c r="AH89" s="524"/>
      <c r="AI89" s="524"/>
      <c r="AJ89" s="524"/>
      <c r="AK89" s="524"/>
      <c r="AL89" s="524"/>
      <c r="AM89" s="524"/>
      <c r="AN89" s="524"/>
      <c r="AO89" s="524"/>
      <c r="AP89" s="524"/>
      <c r="AQ89" s="524"/>
      <c r="AR89" s="524"/>
      <c r="AS89" s="524"/>
      <c r="AT89" s="524"/>
      <c r="AU89" s="524"/>
      <c r="AV89" s="524"/>
      <c r="AW89" s="524"/>
      <c r="AX89" s="524"/>
      <c r="AY89" s="524"/>
      <c r="AZ89" s="524"/>
      <c r="BA89" s="524"/>
      <c r="BB89" s="524"/>
      <c r="BC89" s="524"/>
      <c r="BD89" s="524"/>
      <c r="BE89" s="524"/>
      <c r="BF89" s="524"/>
      <c r="BG89" s="524"/>
      <c r="BH89" s="524"/>
      <c r="BI89" s="524"/>
      <c r="BJ89" s="524"/>
      <c r="BK89" s="524"/>
      <c r="BL89" s="524"/>
      <c r="BM89" s="524"/>
      <c r="BN89" s="524"/>
      <c r="BO89" s="524"/>
      <c r="BP89" s="524"/>
      <c r="BQ89" s="524"/>
      <c r="BR89" s="524"/>
      <c r="BS89" s="524"/>
      <c r="BT89" s="524"/>
      <c r="BU89" s="524"/>
      <c r="BV89" s="524"/>
      <c r="BW89" s="524"/>
      <c r="BX89" s="524"/>
      <c r="BY89" s="524"/>
      <c r="BZ89" s="524"/>
      <c r="CA89" s="524"/>
      <c r="CB89" s="524"/>
      <c r="CC89" s="524"/>
      <c r="CD89" s="524"/>
      <c r="CE89" s="524"/>
      <c r="CF89" s="524"/>
      <c r="CG89" s="524"/>
      <c r="CH89" s="524"/>
      <c r="CI89" s="524"/>
      <c r="CJ89" s="524"/>
      <c r="CK89" s="524"/>
      <c r="CL89" s="524"/>
      <c r="CM89" s="524"/>
      <c r="CN89" s="524"/>
      <c r="CO89" s="524"/>
      <c r="CP89" s="524"/>
      <c r="CQ89" s="524"/>
      <c r="CR89" s="524"/>
      <c r="CS89" s="524"/>
    </row>
    <row r="90" spans="1:97" s="532" customFormat="1" ht="15.75" customHeight="1">
      <c r="A90" s="527"/>
      <c r="B90" s="527"/>
      <c r="C90" s="537"/>
      <c r="D90" s="536">
        <v>28.3</v>
      </c>
      <c r="E90" s="535" t="s">
        <v>346</v>
      </c>
      <c r="F90" s="534">
        <v>0.3</v>
      </c>
      <c r="G90" s="533"/>
      <c r="H90" s="524"/>
      <c r="I90" s="524"/>
      <c r="J90" s="524"/>
      <c r="K90" s="524"/>
      <c r="L90" s="524"/>
      <c r="M90" s="524"/>
      <c r="N90" s="524"/>
      <c r="O90" s="524"/>
      <c r="P90" s="524"/>
      <c r="Q90" s="524"/>
      <c r="R90" s="524"/>
      <c r="S90" s="524"/>
      <c r="T90" s="524"/>
      <c r="U90" s="524"/>
      <c r="V90" s="524"/>
      <c r="W90" s="524"/>
      <c r="X90" s="524"/>
      <c r="Y90" s="524"/>
      <c r="Z90" s="524"/>
      <c r="AA90" s="524"/>
      <c r="AB90" s="524"/>
      <c r="AC90" s="524"/>
      <c r="AD90" s="524"/>
      <c r="AE90" s="524"/>
      <c r="AF90" s="524"/>
      <c r="AG90" s="524"/>
      <c r="AH90" s="524"/>
      <c r="AI90" s="524"/>
      <c r="AJ90" s="524"/>
      <c r="AK90" s="524"/>
      <c r="AL90" s="524"/>
      <c r="AM90" s="524"/>
      <c r="AN90" s="524"/>
      <c r="AO90" s="524"/>
      <c r="AP90" s="524"/>
      <c r="AQ90" s="524"/>
      <c r="AR90" s="524"/>
      <c r="AS90" s="524"/>
      <c r="AT90" s="524"/>
      <c r="AU90" s="524"/>
      <c r="AV90" s="524"/>
      <c r="AW90" s="524"/>
      <c r="AX90" s="524"/>
      <c r="AY90" s="524"/>
      <c r="AZ90" s="524"/>
      <c r="BA90" s="524"/>
      <c r="BB90" s="524"/>
      <c r="BC90" s="524"/>
      <c r="BD90" s="524"/>
      <c r="BE90" s="524"/>
      <c r="BF90" s="524"/>
      <c r="BG90" s="524"/>
      <c r="BH90" s="524"/>
      <c r="BI90" s="524"/>
      <c r="BJ90" s="524"/>
      <c r="BK90" s="524"/>
      <c r="BL90" s="524"/>
      <c r="BM90" s="524"/>
      <c r="BN90" s="524"/>
      <c r="BO90" s="524"/>
      <c r="BP90" s="524"/>
      <c r="BQ90" s="524"/>
      <c r="BR90" s="524"/>
      <c r="BS90" s="524"/>
      <c r="BT90" s="524"/>
      <c r="BU90" s="524"/>
      <c r="BV90" s="524"/>
      <c r="BW90" s="524"/>
      <c r="BX90" s="524"/>
      <c r="BY90" s="524"/>
      <c r="BZ90" s="524"/>
      <c r="CA90" s="524"/>
      <c r="CB90" s="524"/>
      <c r="CC90" s="524"/>
      <c r="CD90" s="524"/>
      <c r="CE90" s="524"/>
      <c r="CF90" s="524"/>
      <c r="CG90" s="524"/>
      <c r="CH90" s="524"/>
      <c r="CI90" s="524"/>
      <c r="CJ90" s="524"/>
      <c r="CK90" s="524"/>
      <c r="CL90" s="524"/>
      <c r="CM90" s="524"/>
      <c r="CN90" s="524"/>
      <c r="CO90" s="524"/>
      <c r="CP90" s="524"/>
      <c r="CQ90" s="524"/>
      <c r="CR90" s="524"/>
      <c r="CS90" s="524"/>
    </row>
    <row r="91" spans="1:97" s="532" customFormat="1" ht="15.75" customHeight="1">
      <c r="A91" s="527"/>
      <c r="B91" s="527"/>
      <c r="C91" s="537">
        <v>29</v>
      </c>
      <c r="D91" s="536">
        <f>IF(VLOOKUP(C91,PROPONENTES!$B$19:$E$54,2,FALSE)="","",VLOOKUP(C91,PROPONENTES!$B$19:$E$54,2,FALSE))</f>
        <v>29</v>
      </c>
      <c r="E91" s="535" t="str">
        <f>IF(D91="","",IF(D91-INT(D91)&gt;1,"",VLOOKUP(D91,PROPONENTES!$C$19:$D$54,2,FALSE)))</f>
        <v>GUILLERMO ALFONSO MEDINA ACEVEDO</v>
      </c>
      <c r="F91" s="534">
        <v>1</v>
      </c>
      <c r="G91" s="533"/>
      <c r="H91" s="524"/>
      <c r="I91" s="524"/>
      <c r="J91" s="524"/>
      <c r="K91" s="524"/>
      <c r="L91" s="524"/>
      <c r="M91" s="524"/>
      <c r="N91" s="524"/>
      <c r="O91" s="524"/>
      <c r="P91" s="524"/>
      <c r="Q91" s="524"/>
      <c r="R91" s="524"/>
      <c r="S91" s="524"/>
      <c r="T91" s="524"/>
      <c r="U91" s="524"/>
      <c r="V91" s="524"/>
      <c r="W91" s="524"/>
      <c r="X91" s="524"/>
      <c r="Y91" s="524"/>
      <c r="Z91" s="524"/>
      <c r="AA91" s="524"/>
      <c r="AB91" s="524"/>
      <c r="AC91" s="524"/>
      <c r="AD91" s="524"/>
      <c r="AE91" s="524"/>
      <c r="AF91" s="524"/>
      <c r="AG91" s="524"/>
      <c r="AH91" s="524"/>
      <c r="AI91" s="524"/>
      <c r="AJ91" s="524"/>
      <c r="AK91" s="524"/>
      <c r="AL91" s="524"/>
      <c r="AM91" s="524"/>
      <c r="AN91" s="524"/>
      <c r="AO91" s="524"/>
      <c r="AP91" s="524"/>
      <c r="AQ91" s="524"/>
      <c r="AR91" s="524"/>
      <c r="AS91" s="524"/>
      <c r="AT91" s="524"/>
      <c r="AU91" s="524"/>
      <c r="AV91" s="524"/>
      <c r="AW91" s="524"/>
      <c r="AX91" s="524"/>
      <c r="AY91" s="524"/>
      <c r="AZ91" s="524"/>
      <c r="BA91" s="524"/>
      <c r="BB91" s="524"/>
      <c r="BC91" s="524"/>
      <c r="BD91" s="524"/>
      <c r="BE91" s="524"/>
      <c r="BF91" s="524"/>
      <c r="BG91" s="524"/>
      <c r="BH91" s="524"/>
      <c r="BI91" s="524"/>
      <c r="BJ91" s="524"/>
      <c r="BK91" s="524"/>
      <c r="BL91" s="524"/>
      <c r="BM91" s="524"/>
      <c r="BN91" s="524"/>
      <c r="BO91" s="524"/>
      <c r="BP91" s="524"/>
      <c r="BQ91" s="524"/>
      <c r="BR91" s="524"/>
      <c r="BS91" s="524"/>
      <c r="BT91" s="524"/>
      <c r="BU91" s="524"/>
      <c r="BV91" s="524"/>
      <c r="BW91" s="524"/>
      <c r="BX91" s="524"/>
      <c r="BY91" s="524"/>
      <c r="BZ91" s="524"/>
      <c r="CA91" s="524"/>
      <c r="CB91" s="524"/>
      <c r="CC91" s="524"/>
      <c r="CD91" s="524"/>
      <c r="CE91" s="524"/>
      <c r="CF91" s="524"/>
      <c r="CG91" s="524"/>
      <c r="CH91" s="524"/>
      <c r="CI91" s="524"/>
      <c r="CJ91" s="524"/>
      <c r="CK91" s="524"/>
      <c r="CL91" s="524"/>
      <c r="CM91" s="524"/>
      <c r="CN91" s="524"/>
      <c r="CO91" s="524"/>
      <c r="CP91" s="524"/>
      <c r="CQ91" s="524"/>
      <c r="CR91" s="524"/>
      <c r="CS91" s="524"/>
    </row>
    <row r="92" spans="1:97" s="532" customFormat="1" ht="15.75" customHeight="1">
      <c r="A92" s="527"/>
      <c r="B92" s="527"/>
      <c r="C92" s="537">
        <v>30</v>
      </c>
      <c r="D92" s="536">
        <f>IF(VLOOKUP(C92,PROPONENTES!$B$19:$E$54,2,FALSE)="","",VLOOKUP(C92,PROPONENTES!$B$19:$E$54,2,FALSE))</f>
        <v>30</v>
      </c>
      <c r="E92" s="535" t="str">
        <f>IF(D92="","",IF(D92-INT(D92)&gt;1,"",VLOOKUP(D92,PROPONENTES!$C$19:$D$54,2,FALSE)))</f>
        <v>CONSORCIO PI</v>
      </c>
      <c r="F92" s="534">
        <f>SUM(F93:F94)</f>
        <v>1</v>
      </c>
      <c r="G92" s="533"/>
      <c r="H92" s="524"/>
      <c r="I92" s="524"/>
      <c r="J92" s="524"/>
      <c r="K92" s="524"/>
      <c r="L92" s="524"/>
      <c r="M92" s="524"/>
      <c r="N92" s="524"/>
      <c r="O92" s="524"/>
      <c r="P92" s="524"/>
      <c r="Q92" s="524"/>
      <c r="R92" s="524"/>
      <c r="S92" s="524"/>
      <c r="T92" s="524"/>
      <c r="U92" s="524"/>
      <c r="V92" s="524"/>
      <c r="W92" s="524"/>
      <c r="X92" s="524"/>
      <c r="Y92" s="524"/>
      <c r="Z92" s="524"/>
      <c r="AA92" s="524"/>
      <c r="AB92" s="524"/>
      <c r="AC92" s="524"/>
      <c r="AD92" s="524"/>
      <c r="AE92" s="524"/>
      <c r="AF92" s="524"/>
      <c r="AG92" s="524"/>
      <c r="AH92" s="524"/>
      <c r="AI92" s="524"/>
      <c r="AJ92" s="524"/>
      <c r="AK92" s="524"/>
      <c r="AL92" s="524"/>
      <c r="AM92" s="524"/>
      <c r="AN92" s="524"/>
      <c r="AO92" s="524"/>
      <c r="AP92" s="524"/>
      <c r="AQ92" s="524"/>
      <c r="AR92" s="524"/>
      <c r="AS92" s="524"/>
      <c r="AT92" s="524"/>
      <c r="AU92" s="524"/>
      <c r="AV92" s="524"/>
      <c r="AW92" s="524"/>
      <c r="AX92" s="524"/>
      <c r="AY92" s="524"/>
      <c r="AZ92" s="524"/>
      <c r="BA92" s="524"/>
      <c r="BB92" s="524"/>
      <c r="BC92" s="524"/>
      <c r="BD92" s="524"/>
      <c r="BE92" s="524"/>
      <c r="BF92" s="524"/>
      <c r="BG92" s="524"/>
      <c r="BH92" s="524"/>
      <c r="BI92" s="524"/>
      <c r="BJ92" s="524"/>
      <c r="BK92" s="524"/>
      <c r="BL92" s="524"/>
      <c r="BM92" s="524"/>
      <c r="BN92" s="524"/>
      <c r="BO92" s="524"/>
      <c r="BP92" s="524"/>
      <c r="BQ92" s="524"/>
      <c r="BR92" s="524"/>
      <c r="BS92" s="524"/>
      <c r="BT92" s="524"/>
      <c r="BU92" s="524"/>
      <c r="BV92" s="524"/>
      <c r="BW92" s="524"/>
      <c r="BX92" s="524"/>
      <c r="BY92" s="524"/>
      <c r="BZ92" s="524"/>
      <c r="CA92" s="524"/>
      <c r="CB92" s="524"/>
      <c r="CC92" s="524"/>
      <c r="CD92" s="524"/>
      <c r="CE92" s="524"/>
      <c r="CF92" s="524"/>
      <c r="CG92" s="524"/>
      <c r="CH92" s="524"/>
      <c r="CI92" s="524"/>
      <c r="CJ92" s="524"/>
      <c r="CK92" s="524"/>
      <c r="CL92" s="524"/>
      <c r="CM92" s="524"/>
      <c r="CN92" s="524"/>
      <c r="CO92" s="524"/>
      <c r="CP92" s="524"/>
      <c r="CQ92" s="524"/>
      <c r="CR92" s="524"/>
      <c r="CS92" s="524"/>
    </row>
    <row r="93" spans="1:97" s="532" customFormat="1" ht="15.75" customHeight="1">
      <c r="A93" s="527"/>
      <c r="B93" s="527"/>
      <c r="C93" s="537"/>
      <c r="D93" s="536">
        <v>30.1</v>
      </c>
      <c r="E93" s="535" t="s">
        <v>362</v>
      </c>
      <c r="F93" s="534">
        <v>0.95</v>
      </c>
      <c r="G93" s="533"/>
      <c r="H93" s="524"/>
      <c r="I93" s="524"/>
      <c r="J93" s="524"/>
      <c r="K93" s="524"/>
      <c r="L93" s="524"/>
      <c r="M93" s="524"/>
      <c r="N93" s="524"/>
      <c r="O93" s="524"/>
      <c r="P93" s="524"/>
      <c r="Q93" s="524"/>
      <c r="R93" s="524"/>
      <c r="S93" s="524"/>
      <c r="T93" s="524"/>
      <c r="U93" s="524"/>
      <c r="V93" s="524"/>
      <c r="W93" s="524"/>
      <c r="X93" s="524"/>
      <c r="Y93" s="524"/>
      <c r="Z93" s="524"/>
      <c r="AA93" s="524"/>
      <c r="AB93" s="524"/>
      <c r="AC93" s="524"/>
      <c r="AD93" s="524"/>
      <c r="AE93" s="524"/>
      <c r="AF93" s="524"/>
      <c r="AG93" s="524"/>
      <c r="AH93" s="524"/>
      <c r="AI93" s="524"/>
      <c r="AJ93" s="524"/>
      <c r="AK93" s="524"/>
      <c r="AL93" s="524"/>
      <c r="AM93" s="524"/>
      <c r="AN93" s="524"/>
      <c r="AO93" s="524"/>
      <c r="AP93" s="524"/>
      <c r="AQ93" s="524"/>
      <c r="AR93" s="524"/>
      <c r="AS93" s="524"/>
      <c r="AT93" s="524"/>
      <c r="AU93" s="524"/>
      <c r="AV93" s="524"/>
      <c r="AW93" s="524"/>
      <c r="AX93" s="524"/>
      <c r="AY93" s="524"/>
      <c r="AZ93" s="524"/>
      <c r="BA93" s="524"/>
      <c r="BB93" s="524"/>
      <c r="BC93" s="524"/>
      <c r="BD93" s="524"/>
      <c r="BE93" s="524"/>
      <c r="BF93" s="524"/>
      <c r="BG93" s="524"/>
      <c r="BH93" s="524"/>
      <c r="BI93" s="524"/>
      <c r="BJ93" s="524"/>
      <c r="BK93" s="524"/>
      <c r="BL93" s="524"/>
      <c r="BM93" s="524"/>
      <c r="BN93" s="524"/>
      <c r="BO93" s="524"/>
      <c r="BP93" s="524"/>
      <c r="BQ93" s="524"/>
      <c r="BR93" s="524"/>
      <c r="BS93" s="524"/>
      <c r="BT93" s="524"/>
      <c r="BU93" s="524"/>
      <c r="BV93" s="524"/>
      <c r="BW93" s="524"/>
      <c r="BX93" s="524"/>
      <c r="BY93" s="524"/>
      <c r="BZ93" s="524"/>
      <c r="CA93" s="524"/>
      <c r="CB93" s="524"/>
      <c r="CC93" s="524"/>
      <c r="CD93" s="524"/>
      <c r="CE93" s="524"/>
      <c r="CF93" s="524"/>
      <c r="CG93" s="524"/>
      <c r="CH93" s="524"/>
      <c r="CI93" s="524"/>
      <c r="CJ93" s="524"/>
      <c r="CK93" s="524"/>
      <c r="CL93" s="524"/>
      <c r="CM93" s="524"/>
      <c r="CN93" s="524"/>
      <c r="CO93" s="524"/>
      <c r="CP93" s="524"/>
      <c r="CQ93" s="524"/>
      <c r="CR93" s="524"/>
      <c r="CS93" s="524"/>
    </row>
    <row r="94" spans="1:97" s="532" customFormat="1" ht="15.75" customHeight="1">
      <c r="A94" s="527"/>
      <c r="B94" s="527"/>
      <c r="C94" s="537"/>
      <c r="D94" s="536">
        <v>30.2</v>
      </c>
      <c r="E94" s="535" t="s">
        <v>363</v>
      </c>
      <c r="F94" s="534">
        <v>0.05</v>
      </c>
      <c r="G94" s="533"/>
      <c r="H94" s="524"/>
      <c r="I94" s="524"/>
      <c r="J94" s="524"/>
      <c r="K94" s="524"/>
      <c r="L94" s="524"/>
      <c r="M94" s="524"/>
      <c r="N94" s="524"/>
      <c r="O94" s="524"/>
      <c r="P94" s="524"/>
      <c r="Q94" s="524"/>
      <c r="R94" s="524"/>
      <c r="S94" s="524"/>
      <c r="T94" s="524"/>
      <c r="U94" s="524"/>
      <c r="V94" s="524"/>
      <c r="W94" s="524"/>
      <c r="X94" s="524"/>
      <c r="Y94" s="524"/>
      <c r="Z94" s="524"/>
      <c r="AA94" s="524"/>
      <c r="AB94" s="524"/>
      <c r="AC94" s="524"/>
      <c r="AD94" s="524"/>
      <c r="AE94" s="524"/>
      <c r="AF94" s="524"/>
      <c r="AG94" s="524"/>
      <c r="AH94" s="524"/>
      <c r="AI94" s="524"/>
      <c r="AJ94" s="524"/>
      <c r="AK94" s="524"/>
      <c r="AL94" s="524"/>
      <c r="AM94" s="524"/>
      <c r="AN94" s="524"/>
      <c r="AO94" s="524"/>
      <c r="AP94" s="524"/>
      <c r="AQ94" s="524"/>
      <c r="AR94" s="524"/>
      <c r="AS94" s="524"/>
      <c r="AT94" s="524"/>
      <c r="AU94" s="524"/>
      <c r="AV94" s="524"/>
      <c r="AW94" s="524"/>
      <c r="AX94" s="524"/>
      <c r="AY94" s="524"/>
      <c r="AZ94" s="524"/>
      <c r="BA94" s="524"/>
      <c r="BB94" s="524"/>
      <c r="BC94" s="524"/>
      <c r="BD94" s="524"/>
      <c r="BE94" s="524"/>
      <c r="BF94" s="524"/>
      <c r="BG94" s="524"/>
      <c r="BH94" s="524"/>
      <c r="BI94" s="524"/>
      <c r="BJ94" s="524"/>
      <c r="BK94" s="524"/>
      <c r="BL94" s="524"/>
      <c r="BM94" s="524"/>
      <c r="BN94" s="524"/>
      <c r="BO94" s="524"/>
      <c r="BP94" s="524"/>
      <c r="BQ94" s="524"/>
      <c r="BR94" s="524"/>
      <c r="BS94" s="524"/>
      <c r="BT94" s="524"/>
      <c r="BU94" s="524"/>
      <c r="BV94" s="524"/>
      <c r="BW94" s="524"/>
      <c r="BX94" s="524"/>
      <c r="BY94" s="524"/>
      <c r="BZ94" s="524"/>
      <c r="CA94" s="524"/>
      <c r="CB94" s="524"/>
      <c r="CC94" s="524"/>
      <c r="CD94" s="524"/>
      <c r="CE94" s="524"/>
      <c r="CF94" s="524"/>
      <c r="CG94" s="524"/>
      <c r="CH94" s="524"/>
      <c r="CI94" s="524"/>
      <c r="CJ94" s="524"/>
      <c r="CK94" s="524"/>
      <c r="CL94" s="524"/>
      <c r="CM94" s="524"/>
      <c r="CN94" s="524"/>
      <c r="CO94" s="524"/>
      <c r="CP94" s="524"/>
      <c r="CQ94" s="524"/>
      <c r="CR94" s="524"/>
      <c r="CS94" s="524"/>
    </row>
    <row r="95" spans="1:97" s="532" customFormat="1" ht="15.75" customHeight="1">
      <c r="A95" s="527"/>
      <c r="B95" s="527"/>
      <c r="C95" s="537">
        <v>31</v>
      </c>
      <c r="D95" s="536">
        <f>IF(VLOOKUP(C95,PROPONENTES!$B$19:$E$54,2,FALSE)="","",VLOOKUP(C95,PROPONENTES!$B$19:$E$54,2,FALSE))</f>
        <v>31</v>
      </c>
      <c r="E95" s="535" t="str">
        <f>IF(D95="","",IF(D95-INT(D95)&gt;1,"",VLOOKUP(D95,PROPONENTES!$C$19:$D$54,2,FALSE)))</f>
        <v>CONSORCIO VIAL SANTANDER</v>
      </c>
      <c r="F95" s="534">
        <f>SUM(F96:F97)</f>
        <v>1</v>
      </c>
      <c r="G95" s="533"/>
      <c r="H95" s="524"/>
      <c r="I95" s="524"/>
      <c r="J95" s="524"/>
      <c r="K95" s="524"/>
      <c r="L95" s="524"/>
      <c r="M95" s="524"/>
      <c r="N95" s="524"/>
      <c r="O95" s="524"/>
      <c r="P95" s="524"/>
      <c r="Q95" s="524"/>
      <c r="R95" s="524"/>
      <c r="S95" s="524"/>
      <c r="T95" s="524"/>
      <c r="U95" s="524"/>
      <c r="V95" s="524"/>
      <c r="W95" s="524"/>
      <c r="X95" s="524"/>
      <c r="Y95" s="524"/>
      <c r="Z95" s="524"/>
      <c r="AA95" s="524"/>
      <c r="AB95" s="524"/>
      <c r="AC95" s="524"/>
      <c r="AD95" s="524"/>
      <c r="AE95" s="524"/>
      <c r="AF95" s="524"/>
      <c r="AG95" s="524"/>
      <c r="AH95" s="524"/>
      <c r="AI95" s="524"/>
      <c r="AJ95" s="524"/>
      <c r="AK95" s="524"/>
      <c r="AL95" s="524"/>
      <c r="AM95" s="524"/>
      <c r="AN95" s="524"/>
      <c r="AO95" s="524"/>
      <c r="AP95" s="524"/>
      <c r="AQ95" s="524"/>
      <c r="AR95" s="524"/>
      <c r="AS95" s="524"/>
      <c r="AT95" s="524"/>
      <c r="AU95" s="524"/>
      <c r="AV95" s="524"/>
      <c r="AW95" s="524"/>
      <c r="AX95" s="524"/>
      <c r="AY95" s="524"/>
      <c r="AZ95" s="524"/>
      <c r="BA95" s="524"/>
      <c r="BB95" s="524"/>
      <c r="BC95" s="524"/>
      <c r="BD95" s="524"/>
      <c r="BE95" s="524"/>
      <c r="BF95" s="524"/>
      <c r="BG95" s="524"/>
      <c r="BH95" s="524"/>
      <c r="BI95" s="524"/>
      <c r="BJ95" s="524"/>
      <c r="BK95" s="524"/>
      <c r="BL95" s="524"/>
      <c r="BM95" s="524"/>
      <c r="BN95" s="524"/>
      <c r="BO95" s="524"/>
      <c r="BP95" s="524"/>
      <c r="BQ95" s="524"/>
      <c r="BR95" s="524"/>
      <c r="BS95" s="524"/>
      <c r="BT95" s="524"/>
      <c r="BU95" s="524"/>
      <c r="BV95" s="524"/>
      <c r="BW95" s="524"/>
      <c r="BX95" s="524"/>
      <c r="BY95" s="524"/>
      <c r="BZ95" s="524"/>
      <c r="CA95" s="524"/>
      <c r="CB95" s="524"/>
      <c r="CC95" s="524"/>
      <c r="CD95" s="524"/>
      <c r="CE95" s="524"/>
      <c r="CF95" s="524"/>
      <c r="CG95" s="524"/>
      <c r="CH95" s="524"/>
      <c r="CI95" s="524"/>
      <c r="CJ95" s="524"/>
      <c r="CK95" s="524"/>
      <c r="CL95" s="524"/>
      <c r="CM95" s="524"/>
      <c r="CN95" s="524"/>
      <c r="CO95" s="524"/>
      <c r="CP95" s="524"/>
      <c r="CQ95" s="524"/>
      <c r="CR95" s="524"/>
      <c r="CS95" s="524"/>
    </row>
    <row r="96" spans="1:97" s="532" customFormat="1" ht="15.75" customHeight="1">
      <c r="A96" s="527"/>
      <c r="B96" s="527"/>
      <c r="C96" s="537"/>
      <c r="D96" s="536">
        <v>31.1</v>
      </c>
      <c r="E96" s="535" t="s">
        <v>364</v>
      </c>
      <c r="F96" s="534">
        <v>0.6</v>
      </c>
      <c r="G96" s="533"/>
      <c r="H96" s="524"/>
      <c r="I96" s="524"/>
      <c r="J96" s="524"/>
      <c r="K96" s="524"/>
      <c r="L96" s="524"/>
      <c r="M96" s="524"/>
      <c r="N96" s="524"/>
      <c r="O96" s="524"/>
      <c r="P96" s="524"/>
      <c r="Q96" s="524"/>
      <c r="R96" s="524"/>
      <c r="S96" s="524"/>
      <c r="T96" s="524"/>
      <c r="U96" s="524"/>
      <c r="V96" s="524"/>
      <c r="W96" s="524"/>
      <c r="X96" s="524"/>
      <c r="Y96" s="524"/>
      <c r="Z96" s="524"/>
      <c r="AA96" s="524"/>
      <c r="AB96" s="524"/>
      <c r="AC96" s="524"/>
      <c r="AD96" s="524"/>
      <c r="AE96" s="524"/>
      <c r="AF96" s="524"/>
      <c r="AG96" s="524"/>
      <c r="AH96" s="524"/>
      <c r="AI96" s="524"/>
      <c r="AJ96" s="524"/>
      <c r="AK96" s="524"/>
      <c r="AL96" s="524"/>
      <c r="AM96" s="524"/>
      <c r="AN96" s="524"/>
      <c r="AO96" s="524"/>
      <c r="AP96" s="524"/>
      <c r="AQ96" s="524"/>
      <c r="AR96" s="524"/>
      <c r="AS96" s="524"/>
      <c r="AT96" s="524"/>
      <c r="AU96" s="524"/>
      <c r="AV96" s="524"/>
      <c r="AW96" s="524"/>
      <c r="AX96" s="524"/>
      <c r="AY96" s="524"/>
      <c r="AZ96" s="524"/>
      <c r="BA96" s="524"/>
      <c r="BB96" s="524"/>
      <c r="BC96" s="524"/>
      <c r="BD96" s="524"/>
      <c r="BE96" s="524"/>
      <c r="BF96" s="524"/>
      <c r="BG96" s="524"/>
      <c r="BH96" s="524"/>
      <c r="BI96" s="524"/>
      <c r="BJ96" s="524"/>
      <c r="BK96" s="524"/>
      <c r="BL96" s="524"/>
      <c r="BM96" s="524"/>
      <c r="BN96" s="524"/>
      <c r="BO96" s="524"/>
      <c r="BP96" s="524"/>
      <c r="BQ96" s="524"/>
      <c r="BR96" s="524"/>
      <c r="BS96" s="524"/>
      <c r="BT96" s="524"/>
      <c r="BU96" s="524"/>
      <c r="BV96" s="524"/>
      <c r="BW96" s="524"/>
      <c r="BX96" s="524"/>
      <c r="BY96" s="524"/>
      <c r="BZ96" s="524"/>
      <c r="CA96" s="524"/>
      <c r="CB96" s="524"/>
      <c r="CC96" s="524"/>
      <c r="CD96" s="524"/>
      <c r="CE96" s="524"/>
      <c r="CF96" s="524"/>
      <c r="CG96" s="524"/>
      <c r="CH96" s="524"/>
      <c r="CI96" s="524"/>
      <c r="CJ96" s="524"/>
      <c r="CK96" s="524"/>
      <c r="CL96" s="524"/>
      <c r="CM96" s="524"/>
      <c r="CN96" s="524"/>
      <c r="CO96" s="524"/>
      <c r="CP96" s="524"/>
      <c r="CQ96" s="524"/>
      <c r="CR96" s="524"/>
      <c r="CS96" s="524"/>
    </row>
    <row r="97" spans="1:97" s="532" customFormat="1" ht="15.75" customHeight="1">
      <c r="A97" s="527"/>
      <c r="B97" s="527"/>
      <c r="C97" s="537"/>
      <c r="D97" s="536">
        <v>31.2</v>
      </c>
      <c r="E97" s="535" t="s">
        <v>365</v>
      </c>
      <c r="F97" s="534">
        <v>0.4</v>
      </c>
      <c r="G97" s="533"/>
      <c r="H97" s="524"/>
      <c r="I97" s="524"/>
      <c r="J97" s="524"/>
      <c r="K97" s="524"/>
      <c r="L97" s="524"/>
      <c r="M97" s="524"/>
      <c r="N97" s="524"/>
      <c r="O97" s="524"/>
      <c r="P97" s="524"/>
      <c r="Q97" s="524"/>
      <c r="R97" s="524"/>
      <c r="S97" s="524"/>
      <c r="T97" s="524"/>
      <c r="U97" s="524"/>
      <c r="V97" s="524"/>
      <c r="W97" s="524"/>
      <c r="X97" s="524"/>
      <c r="Y97" s="524"/>
      <c r="Z97" s="524"/>
      <c r="AA97" s="524"/>
      <c r="AB97" s="524"/>
      <c r="AC97" s="524"/>
      <c r="AD97" s="524"/>
      <c r="AE97" s="524"/>
      <c r="AF97" s="524"/>
      <c r="AG97" s="524"/>
      <c r="AH97" s="524"/>
      <c r="AI97" s="524"/>
      <c r="AJ97" s="524"/>
      <c r="AK97" s="524"/>
      <c r="AL97" s="524"/>
      <c r="AM97" s="524"/>
      <c r="AN97" s="524"/>
      <c r="AO97" s="524"/>
      <c r="AP97" s="524"/>
      <c r="AQ97" s="524"/>
      <c r="AR97" s="524"/>
      <c r="AS97" s="524"/>
      <c r="AT97" s="524"/>
      <c r="AU97" s="524"/>
      <c r="AV97" s="524"/>
      <c r="AW97" s="524"/>
      <c r="AX97" s="524"/>
      <c r="AY97" s="524"/>
      <c r="AZ97" s="524"/>
      <c r="BA97" s="524"/>
      <c r="BB97" s="524"/>
      <c r="BC97" s="524"/>
      <c r="BD97" s="524"/>
      <c r="BE97" s="524"/>
      <c r="BF97" s="524"/>
      <c r="BG97" s="524"/>
      <c r="BH97" s="524"/>
      <c r="BI97" s="524"/>
      <c r="BJ97" s="524"/>
      <c r="BK97" s="524"/>
      <c r="BL97" s="524"/>
      <c r="BM97" s="524"/>
      <c r="BN97" s="524"/>
      <c r="BO97" s="524"/>
      <c r="BP97" s="524"/>
      <c r="BQ97" s="524"/>
      <c r="BR97" s="524"/>
      <c r="BS97" s="524"/>
      <c r="BT97" s="524"/>
      <c r="BU97" s="524"/>
      <c r="BV97" s="524"/>
      <c r="BW97" s="524"/>
      <c r="BX97" s="524"/>
      <c r="BY97" s="524"/>
      <c r="BZ97" s="524"/>
      <c r="CA97" s="524"/>
      <c r="CB97" s="524"/>
      <c r="CC97" s="524"/>
      <c r="CD97" s="524"/>
      <c r="CE97" s="524"/>
      <c r="CF97" s="524"/>
      <c r="CG97" s="524"/>
      <c r="CH97" s="524"/>
      <c r="CI97" s="524"/>
      <c r="CJ97" s="524"/>
      <c r="CK97" s="524"/>
      <c r="CL97" s="524"/>
      <c r="CM97" s="524"/>
      <c r="CN97" s="524"/>
      <c r="CO97" s="524"/>
      <c r="CP97" s="524"/>
      <c r="CQ97" s="524"/>
      <c r="CR97" s="524"/>
      <c r="CS97" s="524"/>
    </row>
    <row r="98" spans="1:97" s="532" customFormat="1" ht="15.75" customHeight="1">
      <c r="A98" s="527"/>
      <c r="B98" s="527"/>
      <c r="C98" s="537">
        <v>32</v>
      </c>
      <c r="D98" s="536">
        <f>IF(VLOOKUP(C98,PROPONENTES!$B$19:$E$54,2,FALSE)="","",VLOOKUP(C98,PROPONENTES!$B$19:$E$54,2,FALSE))</f>
        <v>32</v>
      </c>
      <c r="E98" s="535" t="str">
        <f>IF(D98="","",IF(D98-INT(D98)&gt;1,"",VLOOKUP(D98,PROPONENTES!$C$19:$D$54,2,FALSE)))</f>
        <v>CONSORCIO DP-SANTANDER 2019</v>
      </c>
      <c r="F98" s="534">
        <f>SUM(F99:F100)</f>
        <v>1</v>
      </c>
      <c r="G98" s="533"/>
      <c r="H98" s="524"/>
      <c r="I98" s="524"/>
      <c r="J98" s="524"/>
      <c r="K98" s="524"/>
      <c r="L98" s="524"/>
      <c r="M98" s="524"/>
      <c r="N98" s="524"/>
      <c r="O98" s="524"/>
      <c r="P98" s="524"/>
      <c r="Q98" s="524"/>
      <c r="R98" s="524"/>
      <c r="S98" s="524"/>
      <c r="T98" s="524"/>
      <c r="U98" s="524"/>
      <c r="V98" s="524"/>
      <c r="W98" s="524"/>
      <c r="X98" s="524"/>
      <c r="Y98" s="524"/>
      <c r="Z98" s="524"/>
      <c r="AA98" s="524"/>
      <c r="AB98" s="524"/>
      <c r="AC98" s="524"/>
      <c r="AD98" s="524"/>
      <c r="AE98" s="524"/>
      <c r="AF98" s="524"/>
      <c r="AG98" s="524"/>
      <c r="AH98" s="524"/>
      <c r="AI98" s="524"/>
      <c r="AJ98" s="524"/>
      <c r="AK98" s="524"/>
      <c r="AL98" s="524"/>
      <c r="AM98" s="524"/>
      <c r="AN98" s="524"/>
      <c r="AO98" s="524"/>
      <c r="AP98" s="524"/>
      <c r="AQ98" s="524"/>
      <c r="AR98" s="524"/>
      <c r="AS98" s="524"/>
      <c r="AT98" s="524"/>
      <c r="AU98" s="524"/>
      <c r="AV98" s="524"/>
      <c r="AW98" s="524"/>
      <c r="AX98" s="524"/>
      <c r="AY98" s="524"/>
      <c r="AZ98" s="524"/>
      <c r="BA98" s="524"/>
      <c r="BB98" s="524"/>
      <c r="BC98" s="524"/>
      <c r="BD98" s="524"/>
      <c r="BE98" s="524"/>
      <c r="BF98" s="524"/>
      <c r="BG98" s="524"/>
      <c r="BH98" s="524"/>
      <c r="BI98" s="524"/>
      <c r="BJ98" s="524"/>
      <c r="BK98" s="524"/>
      <c r="BL98" s="524"/>
      <c r="BM98" s="524"/>
      <c r="BN98" s="524"/>
      <c r="BO98" s="524"/>
      <c r="BP98" s="524"/>
      <c r="BQ98" s="524"/>
      <c r="BR98" s="524"/>
      <c r="BS98" s="524"/>
      <c r="BT98" s="524"/>
      <c r="BU98" s="524"/>
      <c r="BV98" s="524"/>
      <c r="BW98" s="524"/>
      <c r="BX98" s="524"/>
      <c r="BY98" s="524"/>
      <c r="BZ98" s="524"/>
      <c r="CA98" s="524"/>
      <c r="CB98" s="524"/>
      <c r="CC98" s="524"/>
      <c r="CD98" s="524"/>
      <c r="CE98" s="524"/>
      <c r="CF98" s="524"/>
      <c r="CG98" s="524"/>
      <c r="CH98" s="524"/>
      <c r="CI98" s="524"/>
      <c r="CJ98" s="524"/>
      <c r="CK98" s="524"/>
      <c r="CL98" s="524"/>
      <c r="CM98" s="524"/>
      <c r="CN98" s="524"/>
      <c r="CO98" s="524"/>
      <c r="CP98" s="524"/>
      <c r="CQ98" s="524"/>
      <c r="CR98" s="524"/>
      <c r="CS98" s="524"/>
    </row>
    <row r="99" spans="1:97" s="532" customFormat="1" ht="15.75" customHeight="1">
      <c r="A99" s="527"/>
      <c r="B99" s="527"/>
      <c r="C99" s="537"/>
      <c r="D99" s="536">
        <v>32.1</v>
      </c>
      <c r="E99" s="535" t="s">
        <v>366</v>
      </c>
      <c r="F99" s="534">
        <v>0.6</v>
      </c>
      <c r="G99" s="533"/>
      <c r="H99" s="524"/>
      <c r="I99" s="524"/>
      <c r="J99" s="524"/>
      <c r="K99" s="524"/>
      <c r="L99" s="524"/>
      <c r="M99" s="524"/>
      <c r="N99" s="524"/>
      <c r="O99" s="524"/>
      <c r="P99" s="524"/>
      <c r="Q99" s="524"/>
      <c r="R99" s="524"/>
      <c r="S99" s="524"/>
      <c r="T99" s="524"/>
      <c r="U99" s="524"/>
      <c r="V99" s="524"/>
      <c r="W99" s="524"/>
      <c r="X99" s="524"/>
      <c r="Y99" s="524"/>
      <c r="Z99" s="524"/>
      <c r="AA99" s="524"/>
      <c r="AB99" s="524"/>
      <c r="AC99" s="524"/>
      <c r="AD99" s="524"/>
      <c r="AE99" s="524"/>
      <c r="AF99" s="524"/>
      <c r="AG99" s="524"/>
      <c r="AH99" s="524"/>
      <c r="AI99" s="524"/>
      <c r="AJ99" s="524"/>
      <c r="AK99" s="524"/>
      <c r="AL99" s="524"/>
      <c r="AM99" s="524"/>
      <c r="AN99" s="524"/>
      <c r="AO99" s="524"/>
      <c r="AP99" s="524"/>
      <c r="AQ99" s="524"/>
      <c r="AR99" s="524"/>
      <c r="AS99" s="524"/>
      <c r="AT99" s="524"/>
      <c r="AU99" s="524"/>
      <c r="AV99" s="524"/>
      <c r="AW99" s="524"/>
      <c r="AX99" s="524"/>
      <c r="AY99" s="524"/>
      <c r="AZ99" s="524"/>
      <c r="BA99" s="524"/>
      <c r="BB99" s="524"/>
      <c r="BC99" s="524"/>
      <c r="BD99" s="524"/>
      <c r="BE99" s="524"/>
      <c r="BF99" s="524"/>
      <c r="BG99" s="524"/>
      <c r="BH99" s="524"/>
      <c r="BI99" s="524"/>
      <c r="BJ99" s="524"/>
      <c r="BK99" s="524"/>
      <c r="BL99" s="524"/>
      <c r="BM99" s="524"/>
      <c r="BN99" s="524"/>
      <c r="BO99" s="524"/>
      <c r="BP99" s="524"/>
      <c r="BQ99" s="524"/>
      <c r="BR99" s="524"/>
      <c r="BS99" s="524"/>
      <c r="BT99" s="524"/>
      <c r="BU99" s="524"/>
      <c r="BV99" s="524"/>
      <c r="BW99" s="524"/>
      <c r="BX99" s="524"/>
      <c r="BY99" s="524"/>
      <c r="BZ99" s="524"/>
      <c r="CA99" s="524"/>
      <c r="CB99" s="524"/>
      <c r="CC99" s="524"/>
      <c r="CD99" s="524"/>
      <c r="CE99" s="524"/>
      <c r="CF99" s="524"/>
      <c r="CG99" s="524"/>
      <c r="CH99" s="524"/>
      <c r="CI99" s="524"/>
      <c r="CJ99" s="524"/>
      <c r="CK99" s="524"/>
      <c r="CL99" s="524"/>
      <c r="CM99" s="524"/>
      <c r="CN99" s="524"/>
      <c r="CO99" s="524"/>
      <c r="CP99" s="524"/>
      <c r="CQ99" s="524"/>
      <c r="CR99" s="524"/>
      <c r="CS99" s="524"/>
    </row>
    <row r="100" spans="1:97" s="532" customFormat="1" ht="15.75" customHeight="1">
      <c r="A100" s="527"/>
      <c r="B100" s="527"/>
      <c r="C100" s="537"/>
      <c r="D100" s="536">
        <v>32.200000000000003</v>
      </c>
      <c r="E100" s="535" t="s">
        <v>367</v>
      </c>
      <c r="F100" s="534">
        <v>0.4</v>
      </c>
      <c r="G100" s="533"/>
      <c r="H100" s="524"/>
      <c r="I100" s="524"/>
      <c r="J100" s="524"/>
      <c r="K100" s="524"/>
      <c r="L100" s="524"/>
      <c r="M100" s="524"/>
      <c r="N100" s="524"/>
      <c r="O100" s="524"/>
      <c r="P100" s="524"/>
      <c r="Q100" s="524"/>
      <c r="R100" s="524"/>
      <c r="S100" s="524"/>
      <c r="T100" s="524"/>
      <c r="U100" s="524"/>
      <c r="V100" s="524"/>
      <c r="W100" s="524"/>
      <c r="X100" s="524"/>
      <c r="Y100" s="524"/>
      <c r="Z100" s="524"/>
      <c r="AA100" s="524"/>
      <c r="AB100" s="524"/>
      <c r="AC100" s="524"/>
      <c r="AD100" s="524"/>
      <c r="AE100" s="524"/>
      <c r="AF100" s="524"/>
      <c r="AG100" s="524"/>
      <c r="AH100" s="524"/>
      <c r="AI100" s="524"/>
      <c r="AJ100" s="524"/>
      <c r="AK100" s="524"/>
      <c r="AL100" s="524"/>
      <c r="AM100" s="524"/>
      <c r="AN100" s="524"/>
      <c r="AO100" s="524"/>
      <c r="AP100" s="524"/>
      <c r="AQ100" s="524"/>
      <c r="AR100" s="524"/>
      <c r="AS100" s="524"/>
      <c r="AT100" s="524"/>
      <c r="AU100" s="524"/>
      <c r="AV100" s="524"/>
      <c r="AW100" s="524"/>
      <c r="AX100" s="524"/>
      <c r="AY100" s="524"/>
      <c r="AZ100" s="524"/>
      <c r="BA100" s="524"/>
      <c r="BB100" s="524"/>
      <c r="BC100" s="524"/>
      <c r="BD100" s="524"/>
      <c r="BE100" s="524"/>
      <c r="BF100" s="524"/>
      <c r="BG100" s="524"/>
      <c r="BH100" s="524"/>
      <c r="BI100" s="524"/>
      <c r="BJ100" s="524"/>
      <c r="BK100" s="524"/>
      <c r="BL100" s="524"/>
      <c r="BM100" s="524"/>
      <c r="BN100" s="524"/>
      <c r="BO100" s="524"/>
      <c r="BP100" s="524"/>
      <c r="BQ100" s="524"/>
      <c r="BR100" s="524"/>
      <c r="BS100" s="524"/>
      <c r="BT100" s="524"/>
      <c r="BU100" s="524"/>
      <c r="BV100" s="524"/>
      <c r="BW100" s="524"/>
      <c r="BX100" s="524"/>
      <c r="BY100" s="524"/>
      <c r="BZ100" s="524"/>
      <c r="CA100" s="524"/>
      <c r="CB100" s="524"/>
      <c r="CC100" s="524"/>
      <c r="CD100" s="524"/>
      <c r="CE100" s="524"/>
      <c r="CF100" s="524"/>
      <c r="CG100" s="524"/>
      <c r="CH100" s="524"/>
      <c r="CI100" s="524"/>
      <c r="CJ100" s="524"/>
      <c r="CK100" s="524"/>
      <c r="CL100" s="524"/>
      <c r="CM100" s="524"/>
      <c r="CN100" s="524"/>
      <c r="CO100" s="524"/>
      <c r="CP100" s="524"/>
      <c r="CQ100" s="524"/>
      <c r="CR100" s="524"/>
      <c r="CS100" s="524"/>
    </row>
    <row r="101" spans="1:97" s="532" customFormat="1" ht="15.75" customHeight="1">
      <c r="A101" s="527"/>
      <c r="B101" s="527"/>
      <c r="C101" s="537">
        <v>33</v>
      </c>
      <c r="D101" s="536">
        <f>IF(VLOOKUP(C101,PROPONENTES!$B$19:$E$54,2,FALSE)="","",VLOOKUP(C101,PROPONENTES!$B$19:$E$54,2,FALSE))</f>
        <v>33</v>
      </c>
      <c r="E101" s="535" t="str">
        <f>IF(D101="","",IF(D101-INT(D101)&gt;1,"",VLOOKUP(D101,PROPONENTES!$C$19:$D$54,2,FALSE)))</f>
        <v>CONSORCIO ADM SANTANDER</v>
      </c>
      <c r="F101" s="534">
        <f>SUM(F102:F103)</f>
        <v>1</v>
      </c>
      <c r="G101" s="533"/>
      <c r="H101" s="524"/>
      <c r="I101" s="524"/>
      <c r="J101" s="524"/>
      <c r="K101" s="524"/>
      <c r="L101" s="524"/>
      <c r="M101" s="524"/>
      <c r="N101" s="524"/>
      <c r="O101" s="524"/>
      <c r="P101" s="524"/>
      <c r="Q101" s="524"/>
      <c r="R101" s="524"/>
      <c r="S101" s="524"/>
      <c r="T101" s="524"/>
      <c r="U101" s="524"/>
      <c r="V101" s="524"/>
      <c r="W101" s="524"/>
      <c r="X101" s="524"/>
      <c r="Y101" s="524"/>
      <c r="Z101" s="524"/>
      <c r="AA101" s="524"/>
      <c r="AB101" s="524"/>
      <c r="AC101" s="524"/>
      <c r="AD101" s="524"/>
      <c r="AE101" s="524"/>
      <c r="AF101" s="524"/>
      <c r="AG101" s="524"/>
      <c r="AH101" s="524"/>
      <c r="AI101" s="524"/>
      <c r="AJ101" s="524"/>
      <c r="AK101" s="524"/>
      <c r="AL101" s="524"/>
      <c r="AM101" s="524"/>
      <c r="AN101" s="524"/>
      <c r="AO101" s="524"/>
      <c r="AP101" s="524"/>
      <c r="AQ101" s="524"/>
      <c r="AR101" s="524"/>
      <c r="AS101" s="524"/>
      <c r="AT101" s="524"/>
      <c r="AU101" s="524"/>
      <c r="AV101" s="524"/>
      <c r="AW101" s="524"/>
      <c r="AX101" s="524"/>
      <c r="AY101" s="524"/>
      <c r="AZ101" s="524"/>
      <c r="BA101" s="524"/>
      <c r="BB101" s="524"/>
      <c r="BC101" s="524"/>
      <c r="BD101" s="524"/>
      <c r="BE101" s="524"/>
      <c r="BF101" s="524"/>
      <c r="BG101" s="524"/>
      <c r="BH101" s="524"/>
      <c r="BI101" s="524"/>
      <c r="BJ101" s="524"/>
      <c r="BK101" s="524"/>
      <c r="BL101" s="524"/>
      <c r="BM101" s="524"/>
      <c r="BN101" s="524"/>
      <c r="BO101" s="524"/>
      <c r="BP101" s="524"/>
      <c r="BQ101" s="524"/>
      <c r="BR101" s="524"/>
      <c r="BS101" s="524"/>
      <c r="BT101" s="524"/>
      <c r="BU101" s="524"/>
      <c r="BV101" s="524"/>
      <c r="BW101" s="524"/>
      <c r="BX101" s="524"/>
      <c r="BY101" s="524"/>
      <c r="BZ101" s="524"/>
      <c r="CA101" s="524"/>
      <c r="CB101" s="524"/>
      <c r="CC101" s="524"/>
      <c r="CD101" s="524"/>
      <c r="CE101" s="524"/>
      <c r="CF101" s="524"/>
      <c r="CG101" s="524"/>
      <c r="CH101" s="524"/>
      <c r="CI101" s="524"/>
      <c r="CJ101" s="524"/>
      <c r="CK101" s="524"/>
      <c r="CL101" s="524"/>
      <c r="CM101" s="524"/>
      <c r="CN101" s="524"/>
      <c r="CO101" s="524"/>
      <c r="CP101" s="524"/>
      <c r="CQ101" s="524"/>
      <c r="CR101" s="524"/>
      <c r="CS101" s="524"/>
    </row>
    <row r="102" spans="1:97" s="532" customFormat="1" ht="15.75" customHeight="1">
      <c r="A102" s="527"/>
      <c r="B102" s="527"/>
      <c r="C102" s="537"/>
      <c r="D102" s="536">
        <v>33.1</v>
      </c>
      <c r="E102" s="535" t="s">
        <v>383</v>
      </c>
      <c r="F102" s="534">
        <v>0.6</v>
      </c>
      <c r="G102" s="533"/>
      <c r="H102" s="524"/>
      <c r="I102" s="524"/>
      <c r="J102" s="524"/>
      <c r="K102" s="524"/>
      <c r="L102" s="524"/>
      <c r="M102" s="524"/>
      <c r="N102" s="524"/>
      <c r="O102" s="524"/>
      <c r="P102" s="524"/>
      <c r="Q102" s="524"/>
      <c r="R102" s="524"/>
      <c r="S102" s="524"/>
      <c r="T102" s="524"/>
      <c r="U102" s="524"/>
      <c r="V102" s="524"/>
      <c r="W102" s="524"/>
      <c r="X102" s="524"/>
      <c r="Y102" s="524"/>
      <c r="Z102" s="524"/>
      <c r="AA102" s="524"/>
      <c r="AB102" s="524"/>
      <c r="AC102" s="524"/>
      <c r="AD102" s="524"/>
      <c r="AE102" s="524"/>
      <c r="AF102" s="524"/>
      <c r="AG102" s="524"/>
      <c r="AH102" s="524"/>
      <c r="AI102" s="524"/>
      <c r="AJ102" s="524"/>
      <c r="AK102" s="524"/>
      <c r="AL102" s="524"/>
      <c r="AM102" s="524"/>
      <c r="AN102" s="524"/>
      <c r="AO102" s="524"/>
      <c r="AP102" s="524"/>
      <c r="AQ102" s="524"/>
      <c r="AR102" s="524"/>
      <c r="AS102" s="524"/>
      <c r="AT102" s="524"/>
      <c r="AU102" s="524"/>
      <c r="AV102" s="524"/>
      <c r="AW102" s="524"/>
      <c r="AX102" s="524"/>
      <c r="AY102" s="524"/>
      <c r="AZ102" s="524"/>
      <c r="BA102" s="524"/>
      <c r="BB102" s="524"/>
      <c r="BC102" s="524"/>
      <c r="BD102" s="524"/>
      <c r="BE102" s="524"/>
      <c r="BF102" s="524"/>
      <c r="BG102" s="524"/>
      <c r="BH102" s="524"/>
      <c r="BI102" s="524"/>
      <c r="BJ102" s="524"/>
      <c r="BK102" s="524"/>
      <c r="BL102" s="524"/>
      <c r="BM102" s="524"/>
      <c r="BN102" s="524"/>
      <c r="BO102" s="524"/>
      <c r="BP102" s="524"/>
      <c r="BQ102" s="524"/>
      <c r="BR102" s="524"/>
      <c r="BS102" s="524"/>
      <c r="BT102" s="524"/>
      <c r="BU102" s="524"/>
      <c r="BV102" s="524"/>
      <c r="BW102" s="524"/>
      <c r="BX102" s="524"/>
      <c r="BY102" s="524"/>
      <c r="BZ102" s="524"/>
      <c r="CA102" s="524"/>
      <c r="CB102" s="524"/>
      <c r="CC102" s="524"/>
      <c r="CD102" s="524"/>
      <c r="CE102" s="524"/>
      <c r="CF102" s="524"/>
      <c r="CG102" s="524"/>
      <c r="CH102" s="524"/>
      <c r="CI102" s="524"/>
      <c r="CJ102" s="524"/>
      <c r="CK102" s="524"/>
      <c r="CL102" s="524"/>
      <c r="CM102" s="524"/>
      <c r="CN102" s="524"/>
      <c r="CO102" s="524"/>
      <c r="CP102" s="524"/>
      <c r="CQ102" s="524"/>
      <c r="CR102" s="524"/>
      <c r="CS102" s="524"/>
    </row>
    <row r="103" spans="1:97" s="532" customFormat="1" ht="15.75" customHeight="1">
      <c r="A103" s="527"/>
      <c r="B103" s="527"/>
      <c r="C103" s="537"/>
      <c r="D103" s="536">
        <v>33.200000000000003</v>
      </c>
      <c r="E103" s="535" t="s">
        <v>382</v>
      </c>
      <c r="F103" s="534">
        <v>0.4</v>
      </c>
      <c r="G103" s="533"/>
      <c r="H103" s="524"/>
      <c r="I103" s="524"/>
      <c r="J103" s="524"/>
      <c r="K103" s="524"/>
      <c r="L103" s="524"/>
      <c r="M103" s="524"/>
      <c r="N103" s="524"/>
      <c r="O103" s="524"/>
      <c r="P103" s="524"/>
      <c r="Q103" s="524"/>
      <c r="R103" s="524"/>
      <c r="S103" s="524"/>
      <c r="T103" s="524"/>
      <c r="U103" s="524"/>
      <c r="V103" s="524"/>
      <c r="W103" s="524"/>
      <c r="X103" s="524"/>
      <c r="Y103" s="524"/>
      <c r="Z103" s="524"/>
      <c r="AA103" s="524"/>
      <c r="AB103" s="524"/>
      <c r="AC103" s="524"/>
      <c r="AD103" s="524"/>
      <c r="AE103" s="524"/>
      <c r="AF103" s="524"/>
      <c r="AG103" s="524"/>
      <c r="AH103" s="524"/>
      <c r="AI103" s="524"/>
      <c r="AJ103" s="524"/>
      <c r="AK103" s="524"/>
      <c r="AL103" s="524"/>
      <c r="AM103" s="524"/>
      <c r="AN103" s="524"/>
      <c r="AO103" s="524"/>
      <c r="AP103" s="524"/>
      <c r="AQ103" s="524"/>
      <c r="AR103" s="524"/>
      <c r="AS103" s="524"/>
      <c r="AT103" s="524"/>
      <c r="AU103" s="524"/>
      <c r="AV103" s="524"/>
      <c r="AW103" s="524"/>
      <c r="AX103" s="524"/>
      <c r="AY103" s="524"/>
      <c r="AZ103" s="524"/>
      <c r="BA103" s="524"/>
      <c r="BB103" s="524"/>
      <c r="BC103" s="524"/>
      <c r="BD103" s="524"/>
      <c r="BE103" s="524"/>
      <c r="BF103" s="524"/>
      <c r="BG103" s="524"/>
      <c r="BH103" s="524"/>
      <c r="BI103" s="524"/>
      <c r="BJ103" s="524"/>
      <c r="BK103" s="524"/>
      <c r="BL103" s="524"/>
      <c r="BM103" s="524"/>
      <c r="BN103" s="524"/>
      <c r="BO103" s="524"/>
      <c r="BP103" s="524"/>
      <c r="BQ103" s="524"/>
      <c r="BR103" s="524"/>
      <c r="BS103" s="524"/>
      <c r="BT103" s="524"/>
      <c r="BU103" s="524"/>
      <c r="BV103" s="524"/>
      <c r="BW103" s="524"/>
      <c r="BX103" s="524"/>
      <c r="BY103" s="524"/>
      <c r="BZ103" s="524"/>
      <c r="CA103" s="524"/>
      <c r="CB103" s="524"/>
      <c r="CC103" s="524"/>
      <c r="CD103" s="524"/>
      <c r="CE103" s="524"/>
      <c r="CF103" s="524"/>
      <c r="CG103" s="524"/>
      <c r="CH103" s="524"/>
      <c r="CI103" s="524"/>
      <c r="CJ103" s="524"/>
      <c r="CK103" s="524"/>
      <c r="CL103" s="524"/>
      <c r="CM103" s="524"/>
      <c r="CN103" s="524"/>
      <c r="CO103" s="524"/>
      <c r="CP103" s="524"/>
      <c r="CQ103" s="524"/>
      <c r="CR103" s="524"/>
      <c r="CS103" s="524"/>
    </row>
    <row r="104" spans="1:97" s="532" customFormat="1" ht="15.75" customHeight="1">
      <c r="A104" s="527"/>
      <c r="B104" s="527"/>
      <c r="C104" s="537">
        <v>34</v>
      </c>
      <c r="D104" s="536">
        <f>IF(VLOOKUP(C104,PROPONENTES!$B$19:$E$54,2,FALSE)="","",VLOOKUP(C104,PROPONENTES!$B$19:$E$54,2,FALSE))</f>
        <v>34</v>
      </c>
      <c r="E104" s="535" t="str">
        <f>IF(D104="","",IF(D104-INT(D104)&gt;1,"",VLOOKUP(D104,PROPONENTES!$C$19:$D$54,2,FALSE)))</f>
        <v>ARQUITECTURA E INGENIERIA DE CONSULTA S.A.S.</v>
      </c>
      <c r="F104" s="534">
        <v>1</v>
      </c>
      <c r="G104" s="533"/>
      <c r="H104" s="524"/>
      <c r="I104" s="524"/>
      <c r="J104" s="524"/>
      <c r="K104" s="524"/>
      <c r="L104" s="524"/>
      <c r="M104" s="524"/>
      <c r="N104" s="524"/>
      <c r="O104" s="524"/>
      <c r="P104" s="524"/>
      <c r="Q104" s="524"/>
      <c r="R104" s="524"/>
      <c r="S104" s="524"/>
      <c r="T104" s="524"/>
      <c r="U104" s="524"/>
      <c r="V104" s="524"/>
      <c r="W104" s="524"/>
      <c r="X104" s="524"/>
      <c r="Y104" s="524"/>
      <c r="Z104" s="524"/>
      <c r="AA104" s="524"/>
      <c r="AB104" s="524"/>
      <c r="AC104" s="524"/>
      <c r="AD104" s="524"/>
      <c r="AE104" s="524"/>
      <c r="AF104" s="524"/>
      <c r="AG104" s="524"/>
      <c r="AH104" s="524"/>
      <c r="AI104" s="524"/>
      <c r="AJ104" s="524"/>
      <c r="AK104" s="524"/>
      <c r="AL104" s="524"/>
      <c r="AM104" s="524"/>
      <c r="AN104" s="524"/>
      <c r="AO104" s="524"/>
      <c r="AP104" s="524"/>
      <c r="AQ104" s="524"/>
      <c r="AR104" s="524"/>
      <c r="AS104" s="524"/>
      <c r="AT104" s="524"/>
      <c r="AU104" s="524"/>
      <c r="AV104" s="524"/>
      <c r="AW104" s="524"/>
      <c r="AX104" s="524"/>
      <c r="AY104" s="524"/>
      <c r="AZ104" s="524"/>
      <c r="BA104" s="524"/>
      <c r="BB104" s="524"/>
      <c r="BC104" s="524"/>
      <c r="BD104" s="524"/>
      <c r="BE104" s="524"/>
      <c r="BF104" s="524"/>
      <c r="BG104" s="524"/>
      <c r="BH104" s="524"/>
      <c r="BI104" s="524"/>
      <c r="BJ104" s="524"/>
      <c r="BK104" s="524"/>
      <c r="BL104" s="524"/>
      <c r="BM104" s="524"/>
      <c r="BN104" s="524"/>
      <c r="BO104" s="524"/>
      <c r="BP104" s="524"/>
      <c r="BQ104" s="524"/>
      <c r="BR104" s="524"/>
      <c r="BS104" s="524"/>
      <c r="BT104" s="524"/>
      <c r="BU104" s="524"/>
      <c r="BV104" s="524"/>
      <c r="BW104" s="524"/>
      <c r="BX104" s="524"/>
      <c r="BY104" s="524"/>
      <c r="BZ104" s="524"/>
      <c r="CA104" s="524"/>
      <c r="CB104" s="524"/>
      <c r="CC104" s="524"/>
      <c r="CD104" s="524"/>
      <c r="CE104" s="524"/>
      <c r="CF104" s="524"/>
      <c r="CG104" s="524"/>
      <c r="CH104" s="524"/>
      <c r="CI104" s="524"/>
      <c r="CJ104" s="524"/>
      <c r="CK104" s="524"/>
      <c r="CL104" s="524"/>
      <c r="CM104" s="524"/>
      <c r="CN104" s="524"/>
      <c r="CO104" s="524"/>
      <c r="CP104" s="524"/>
      <c r="CQ104" s="524"/>
      <c r="CR104" s="524"/>
      <c r="CS104" s="524"/>
    </row>
    <row r="105" spans="1:97" s="532" customFormat="1" ht="15.75" customHeight="1">
      <c r="A105" s="527"/>
      <c r="B105" s="527"/>
      <c r="C105" s="537">
        <v>35</v>
      </c>
      <c r="D105" s="536">
        <f>IF(VLOOKUP(C105,PROPONENTES!$B$19:$E$54,2,FALSE)="","",VLOOKUP(C105,PROPONENTES!$B$19:$E$54,2,FALSE))</f>
        <v>35</v>
      </c>
      <c r="E105" s="535" t="str">
        <f>IF(D105="","",IF(D105-INT(D105)&gt;1,"",VLOOKUP(D105,PROPONENTES!$C$19:$D$54,2,FALSE)))</f>
        <v>CONSTRUCCIONES INTERVENTORIAS ISAZA INGENIERIA SAS</v>
      </c>
      <c r="F105" s="534">
        <v>1</v>
      </c>
      <c r="G105" s="533"/>
      <c r="H105" s="524"/>
      <c r="I105" s="524"/>
      <c r="J105" s="524"/>
      <c r="K105" s="524"/>
      <c r="L105" s="524"/>
      <c r="M105" s="524"/>
      <c r="N105" s="524"/>
      <c r="O105" s="524"/>
      <c r="P105" s="524"/>
      <c r="Q105" s="524"/>
      <c r="R105" s="524"/>
      <c r="S105" s="524"/>
      <c r="T105" s="524"/>
      <c r="U105" s="524"/>
      <c r="V105" s="524"/>
      <c r="W105" s="524"/>
      <c r="X105" s="524"/>
      <c r="Y105" s="524"/>
      <c r="Z105" s="524"/>
      <c r="AA105" s="524"/>
      <c r="AB105" s="524"/>
      <c r="AC105" s="524"/>
      <c r="AD105" s="524"/>
      <c r="AE105" s="524"/>
      <c r="AF105" s="524"/>
      <c r="AG105" s="524"/>
      <c r="AH105" s="524"/>
      <c r="AI105" s="524"/>
      <c r="AJ105" s="524"/>
      <c r="AK105" s="524"/>
      <c r="AL105" s="524"/>
      <c r="AM105" s="524"/>
      <c r="AN105" s="524"/>
      <c r="AO105" s="524"/>
      <c r="AP105" s="524"/>
      <c r="AQ105" s="524"/>
      <c r="AR105" s="524"/>
      <c r="AS105" s="524"/>
      <c r="AT105" s="524"/>
      <c r="AU105" s="524"/>
      <c r="AV105" s="524"/>
      <c r="AW105" s="524"/>
      <c r="AX105" s="524"/>
      <c r="AY105" s="524"/>
      <c r="AZ105" s="524"/>
      <c r="BA105" s="524"/>
      <c r="BB105" s="524"/>
      <c r="BC105" s="524"/>
      <c r="BD105" s="524"/>
      <c r="BE105" s="524"/>
      <c r="BF105" s="524"/>
      <c r="BG105" s="524"/>
      <c r="BH105" s="524"/>
      <c r="BI105" s="524"/>
      <c r="BJ105" s="524"/>
      <c r="BK105" s="524"/>
      <c r="BL105" s="524"/>
      <c r="BM105" s="524"/>
      <c r="BN105" s="524"/>
      <c r="BO105" s="524"/>
      <c r="BP105" s="524"/>
      <c r="BQ105" s="524"/>
      <c r="BR105" s="524"/>
      <c r="BS105" s="524"/>
      <c r="BT105" s="524"/>
      <c r="BU105" s="524"/>
      <c r="BV105" s="524"/>
      <c r="BW105" s="524"/>
      <c r="BX105" s="524"/>
      <c r="BY105" s="524"/>
      <c r="BZ105" s="524"/>
      <c r="CA105" s="524"/>
      <c r="CB105" s="524"/>
      <c r="CC105" s="524"/>
      <c r="CD105" s="524"/>
      <c r="CE105" s="524"/>
      <c r="CF105" s="524"/>
      <c r="CG105" s="524"/>
      <c r="CH105" s="524"/>
      <c r="CI105" s="524"/>
      <c r="CJ105" s="524"/>
      <c r="CK105" s="524"/>
      <c r="CL105" s="524"/>
      <c r="CM105" s="524"/>
      <c r="CN105" s="524"/>
      <c r="CO105" s="524"/>
      <c r="CP105" s="524"/>
      <c r="CQ105" s="524"/>
      <c r="CR105" s="524"/>
      <c r="CS105" s="524"/>
    </row>
    <row r="106" spans="1:97" s="532" customFormat="1" ht="15.75" customHeight="1">
      <c r="A106" s="527"/>
      <c r="B106" s="527"/>
      <c r="C106" s="537">
        <v>36</v>
      </c>
      <c r="D106" s="536">
        <f>IF(VLOOKUP(C106,PROPONENTES!$B$19:$E$54,2,FALSE)="","",VLOOKUP(C106,PROPONENTES!$B$19:$E$54,2,FALSE))</f>
        <v>36</v>
      </c>
      <c r="E106" s="535" t="str">
        <f>IF(D106="","",IF(D106-INT(D106)&gt;1,"",VLOOKUP(D106,PROPONENTES!$C$19:$D$54,2,FALSE)))</f>
        <v>CONSORCIO ADMINISTRADOR HS</v>
      </c>
      <c r="F106" s="534">
        <f>SUM(F107:F108)</f>
        <v>1</v>
      </c>
      <c r="G106" s="533"/>
      <c r="H106" s="524"/>
      <c r="I106" s="524"/>
      <c r="J106" s="524"/>
      <c r="K106" s="524"/>
      <c r="L106" s="524"/>
      <c r="M106" s="524"/>
      <c r="N106" s="524"/>
      <c r="O106" s="524"/>
      <c r="P106" s="524"/>
      <c r="Q106" s="524"/>
      <c r="R106" s="524"/>
      <c r="S106" s="524"/>
      <c r="T106" s="524"/>
      <c r="U106" s="524"/>
      <c r="V106" s="524"/>
      <c r="W106" s="524"/>
      <c r="X106" s="524"/>
      <c r="Y106" s="524"/>
      <c r="Z106" s="524"/>
      <c r="AA106" s="524"/>
      <c r="AB106" s="524"/>
      <c r="AC106" s="524"/>
      <c r="AD106" s="524"/>
      <c r="AE106" s="524"/>
      <c r="AF106" s="524"/>
      <c r="AG106" s="524"/>
      <c r="AH106" s="524"/>
      <c r="AI106" s="524"/>
      <c r="AJ106" s="524"/>
      <c r="AK106" s="524"/>
      <c r="AL106" s="524"/>
      <c r="AM106" s="524"/>
      <c r="AN106" s="524"/>
      <c r="AO106" s="524"/>
      <c r="AP106" s="524"/>
      <c r="AQ106" s="524"/>
      <c r="AR106" s="524"/>
      <c r="AS106" s="524"/>
      <c r="AT106" s="524"/>
      <c r="AU106" s="524"/>
      <c r="AV106" s="524"/>
      <c r="AW106" s="524"/>
      <c r="AX106" s="524"/>
      <c r="AY106" s="524"/>
      <c r="AZ106" s="524"/>
      <c r="BA106" s="524"/>
      <c r="BB106" s="524"/>
      <c r="BC106" s="524"/>
      <c r="BD106" s="524"/>
      <c r="BE106" s="524"/>
      <c r="BF106" s="524"/>
      <c r="BG106" s="524"/>
      <c r="BH106" s="524"/>
      <c r="BI106" s="524"/>
      <c r="BJ106" s="524"/>
      <c r="BK106" s="524"/>
      <c r="BL106" s="524"/>
      <c r="BM106" s="524"/>
      <c r="BN106" s="524"/>
      <c r="BO106" s="524"/>
      <c r="BP106" s="524"/>
      <c r="BQ106" s="524"/>
      <c r="BR106" s="524"/>
      <c r="BS106" s="524"/>
      <c r="BT106" s="524"/>
      <c r="BU106" s="524"/>
      <c r="BV106" s="524"/>
      <c r="BW106" s="524"/>
      <c r="BX106" s="524"/>
      <c r="BY106" s="524"/>
      <c r="BZ106" s="524"/>
      <c r="CA106" s="524"/>
      <c r="CB106" s="524"/>
      <c r="CC106" s="524"/>
      <c r="CD106" s="524"/>
      <c r="CE106" s="524"/>
      <c r="CF106" s="524"/>
      <c r="CG106" s="524"/>
      <c r="CH106" s="524"/>
      <c r="CI106" s="524"/>
      <c r="CJ106" s="524"/>
      <c r="CK106" s="524"/>
      <c r="CL106" s="524"/>
      <c r="CM106" s="524"/>
      <c r="CN106" s="524"/>
      <c r="CO106" s="524"/>
      <c r="CP106" s="524"/>
      <c r="CQ106" s="524"/>
      <c r="CR106" s="524"/>
      <c r="CS106" s="524"/>
    </row>
    <row r="107" spans="1:97" s="532" customFormat="1" ht="15.75" customHeight="1">
      <c r="A107" s="527"/>
      <c r="B107" s="527"/>
      <c r="C107" s="651"/>
      <c r="D107" s="652">
        <v>36.1</v>
      </c>
      <c r="E107" s="653" t="s">
        <v>392</v>
      </c>
      <c r="F107" s="654">
        <v>0.6</v>
      </c>
      <c r="G107" s="655"/>
      <c r="H107" s="524"/>
      <c r="I107" s="524"/>
      <c r="J107" s="524"/>
      <c r="K107" s="524"/>
      <c r="L107" s="524"/>
      <c r="M107" s="524"/>
      <c r="N107" s="524"/>
      <c r="O107" s="524"/>
      <c r="P107" s="524"/>
      <c r="Q107" s="524"/>
      <c r="R107" s="524"/>
      <c r="S107" s="524"/>
      <c r="T107" s="524"/>
      <c r="U107" s="524"/>
      <c r="V107" s="524"/>
      <c r="W107" s="524"/>
      <c r="X107" s="524"/>
      <c r="Y107" s="524"/>
      <c r="Z107" s="524"/>
      <c r="AA107" s="524"/>
      <c r="AB107" s="524"/>
      <c r="AC107" s="524"/>
      <c r="AD107" s="524"/>
      <c r="AE107" s="524"/>
      <c r="AF107" s="524"/>
      <c r="AG107" s="524"/>
      <c r="AH107" s="524"/>
      <c r="AI107" s="524"/>
      <c r="AJ107" s="524"/>
      <c r="AK107" s="524"/>
      <c r="AL107" s="524"/>
      <c r="AM107" s="524"/>
      <c r="AN107" s="524"/>
      <c r="AO107" s="524"/>
      <c r="AP107" s="524"/>
      <c r="AQ107" s="524"/>
      <c r="AR107" s="524"/>
      <c r="AS107" s="524"/>
      <c r="AT107" s="524"/>
      <c r="AU107" s="524"/>
      <c r="AV107" s="524"/>
      <c r="AW107" s="524"/>
      <c r="AX107" s="524"/>
      <c r="AY107" s="524"/>
      <c r="AZ107" s="524"/>
      <c r="BA107" s="524"/>
      <c r="BB107" s="524"/>
      <c r="BC107" s="524"/>
      <c r="BD107" s="524"/>
      <c r="BE107" s="524"/>
      <c r="BF107" s="524"/>
      <c r="BG107" s="524"/>
      <c r="BH107" s="524"/>
      <c r="BI107" s="524"/>
      <c r="BJ107" s="524"/>
      <c r="BK107" s="524"/>
      <c r="BL107" s="524"/>
      <c r="BM107" s="524"/>
      <c r="BN107" s="524"/>
      <c r="BO107" s="524"/>
      <c r="BP107" s="524"/>
      <c r="BQ107" s="524"/>
      <c r="BR107" s="524"/>
      <c r="BS107" s="524"/>
      <c r="BT107" s="524"/>
      <c r="BU107" s="524"/>
      <c r="BV107" s="524"/>
      <c r="BW107" s="524"/>
      <c r="BX107" s="524"/>
      <c r="BY107" s="524"/>
      <c r="BZ107" s="524"/>
      <c r="CA107" s="524"/>
      <c r="CB107" s="524"/>
      <c r="CC107" s="524"/>
      <c r="CD107" s="524"/>
      <c r="CE107" s="524"/>
      <c r="CF107" s="524"/>
      <c r="CG107" s="524"/>
      <c r="CH107" s="524"/>
      <c r="CI107" s="524"/>
      <c r="CJ107" s="524"/>
      <c r="CK107" s="524"/>
      <c r="CL107" s="524"/>
      <c r="CM107" s="524"/>
      <c r="CN107" s="524"/>
      <c r="CO107" s="524"/>
      <c r="CP107" s="524"/>
      <c r="CQ107" s="524"/>
      <c r="CR107" s="524"/>
      <c r="CS107" s="524"/>
    </row>
    <row r="108" spans="1:97" s="532" customFormat="1" ht="15.75" customHeight="1">
      <c r="A108" s="527"/>
      <c r="B108" s="527"/>
      <c r="C108" s="651"/>
      <c r="D108" s="652">
        <v>36.200000000000003</v>
      </c>
      <c r="E108" s="653" t="s">
        <v>393</v>
      </c>
      <c r="F108" s="654">
        <v>0.4</v>
      </c>
      <c r="G108" s="655"/>
      <c r="H108" s="524"/>
      <c r="I108" s="524"/>
      <c r="J108" s="524"/>
      <c r="K108" s="524"/>
      <c r="L108" s="524"/>
      <c r="M108" s="524"/>
      <c r="N108" s="524"/>
      <c r="O108" s="524"/>
      <c r="P108" s="524"/>
      <c r="Q108" s="524"/>
      <c r="R108" s="524"/>
      <c r="S108" s="524"/>
      <c r="T108" s="524"/>
      <c r="U108" s="524"/>
      <c r="V108" s="524"/>
      <c r="W108" s="524"/>
      <c r="X108" s="524"/>
      <c r="Y108" s="524"/>
      <c r="Z108" s="524"/>
      <c r="AA108" s="524"/>
      <c r="AB108" s="524"/>
      <c r="AC108" s="524"/>
      <c r="AD108" s="524"/>
      <c r="AE108" s="524"/>
      <c r="AF108" s="524"/>
      <c r="AG108" s="524"/>
      <c r="AH108" s="524"/>
      <c r="AI108" s="524"/>
      <c r="AJ108" s="524"/>
      <c r="AK108" s="524"/>
      <c r="AL108" s="524"/>
      <c r="AM108" s="524"/>
      <c r="AN108" s="524"/>
      <c r="AO108" s="524"/>
      <c r="AP108" s="524"/>
      <c r="AQ108" s="524"/>
      <c r="AR108" s="524"/>
      <c r="AS108" s="524"/>
      <c r="AT108" s="524"/>
      <c r="AU108" s="524"/>
      <c r="AV108" s="524"/>
      <c r="AW108" s="524"/>
      <c r="AX108" s="524"/>
      <c r="AY108" s="524"/>
      <c r="AZ108" s="524"/>
      <c r="BA108" s="524"/>
      <c r="BB108" s="524"/>
      <c r="BC108" s="524"/>
      <c r="BD108" s="524"/>
      <c r="BE108" s="524"/>
      <c r="BF108" s="524"/>
      <c r="BG108" s="524"/>
      <c r="BH108" s="524"/>
      <c r="BI108" s="524"/>
      <c r="BJ108" s="524"/>
      <c r="BK108" s="524"/>
      <c r="BL108" s="524"/>
      <c r="BM108" s="524"/>
      <c r="BN108" s="524"/>
      <c r="BO108" s="524"/>
      <c r="BP108" s="524"/>
      <c r="BQ108" s="524"/>
      <c r="BR108" s="524"/>
      <c r="BS108" s="524"/>
      <c r="BT108" s="524"/>
      <c r="BU108" s="524"/>
      <c r="BV108" s="524"/>
      <c r="BW108" s="524"/>
      <c r="BX108" s="524"/>
      <c r="BY108" s="524"/>
      <c r="BZ108" s="524"/>
      <c r="CA108" s="524"/>
      <c r="CB108" s="524"/>
      <c r="CC108" s="524"/>
      <c r="CD108" s="524"/>
      <c r="CE108" s="524"/>
      <c r="CF108" s="524"/>
      <c r="CG108" s="524"/>
      <c r="CH108" s="524"/>
      <c r="CI108" s="524"/>
      <c r="CJ108" s="524"/>
      <c r="CK108" s="524"/>
      <c r="CL108" s="524"/>
      <c r="CM108" s="524"/>
      <c r="CN108" s="524"/>
      <c r="CO108" s="524"/>
      <c r="CP108" s="524"/>
      <c r="CQ108" s="524"/>
      <c r="CR108" s="524"/>
      <c r="CS108" s="524"/>
    </row>
    <row r="109" spans="1:97" ht="2.25" customHeight="1" thickBot="1">
      <c r="C109" s="531"/>
      <c r="D109" s="581" t="s">
        <v>165</v>
      </c>
      <c r="E109" s="530"/>
      <c r="F109" s="530"/>
      <c r="G109" s="529"/>
    </row>
    <row r="110" spans="1:97" ht="16.5" thickTop="1"/>
    <row r="217" spans="3:3" ht="13.5">
      <c r="C217" s="528"/>
    </row>
  </sheetData>
  <mergeCells count="5">
    <mergeCell ref="C16:C17"/>
    <mergeCell ref="G16:G17"/>
    <mergeCell ref="D16:D17"/>
    <mergeCell ref="E16:E17"/>
    <mergeCell ref="F16:F17"/>
  </mergeCells>
  <conditionalFormatting sqref="B19:G108">
    <cfRule type="expression" dxfId="2980" priority="15" stopIfTrue="1">
      <formula>IF($D19-INT($D19)&gt;0,TRUE,FALSE)</formula>
    </cfRule>
  </conditionalFormatting>
  <conditionalFormatting sqref="D19:G108">
    <cfRule type="expression" dxfId="2979" priority="1">
      <formula>IF($D19-INT($D19)=0,TRUE,FALSE)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AG52"/>
  <sheetViews>
    <sheetView showZeros="0" topLeftCell="A10" zoomScale="85" zoomScaleNormal="85" workbookViewId="0">
      <selection activeCell="D26" sqref="D26"/>
    </sheetView>
  </sheetViews>
  <sheetFormatPr baseColWidth="10" defaultRowHeight="12.75"/>
  <cols>
    <col min="1" max="1" width="9.7109375" style="53" customWidth="1"/>
    <col min="2" max="2" width="72" style="30" customWidth="1"/>
    <col min="3" max="4" width="2.7109375" style="9" customWidth="1"/>
    <col min="5" max="9" width="2.7109375" style="30" customWidth="1"/>
    <col min="10" max="13" width="2.28515625" style="30" customWidth="1"/>
    <col min="14" max="14" width="2" style="30" customWidth="1"/>
    <col min="15" max="16" width="2.28515625" style="30" customWidth="1"/>
    <col min="17" max="18" width="13.7109375" style="30" customWidth="1"/>
    <col min="19" max="23" width="13.7109375" style="30" hidden="1" customWidth="1"/>
    <col min="24" max="24" width="13.7109375" style="31" customWidth="1"/>
    <col min="25" max="25" width="13.7109375" style="30" customWidth="1"/>
    <col min="26" max="26" width="1.85546875" style="30" customWidth="1"/>
    <col min="27" max="27" width="18.42578125" style="80" customWidth="1"/>
    <col min="28" max="28" width="16.7109375" style="80" bestFit="1" customWidth="1"/>
    <col min="29" max="33" width="11.42578125" style="80"/>
    <col min="34" max="16384" width="11.42578125" style="30"/>
  </cols>
  <sheetData>
    <row r="1" spans="1:33" s="25" customFormat="1" ht="20.100000000000001" customHeight="1">
      <c r="A1" s="10">
        <f>PRESUPUESTOS!C1</f>
        <v>0</v>
      </c>
      <c r="B1" s="10"/>
      <c r="C1" s="10"/>
      <c r="D1" s="10"/>
      <c r="E1" s="10"/>
      <c r="F1" s="10"/>
      <c r="G1" s="10"/>
      <c r="H1" s="10"/>
      <c r="I1" s="10"/>
      <c r="J1" s="10"/>
      <c r="K1" s="10"/>
      <c r="L1" s="10"/>
      <c r="M1" s="10"/>
      <c r="N1" s="10"/>
      <c r="O1" s="10"/>
      <c r="P1" s="10"/>
      <c r="X1" s="26"/>
      <c r="AA1" s="81" t="str">
        <f>PRESUPUESTOS!Z13&amp;" ( MODULO "&amp;IF(AB1="","","No."&amp;AB1&amp;IF(AC1=""," )"," Y "&amp;"No."&amp;AC1&amp;")"))</f>
        <v xml:space="preserve"> ( MODULO </v>
      </c>
      <c r="AB1" s="81"/>
      <c r="AC1" s="81"/>
      <c r="AD1" s="81"/>
      <c r="AE1" s="81"/>
      <c r="AF1" s="81"/>
      <c r="AG1" s="81"/>
    </row>
    <row r="2" spans="1:33" s="25" customFormat="1" ht="20.100000000000001" customHeight="1">
      <c r="A2" s="10">
        <f>PRESUPUESTOS!B2</f>
        <v>0</v>
      </c>
      <c r="B2" s="10"/>
      <c r="C2" s="10"/>
      <c r="D2" s="10"/>
      <c r="E2" s="10"/>
      <c r="F2" s="10"/>
      <c r="G2" s="10"/>
      <c r="H2" s="10"/>
      <c r="I2" s="10"/>
      <c r="J2" s="10"/>
      <c r="K2" s="10"/>
      <c r="L2" s="10"/>
      <c r="M2" s="10"/>
      <c r="N2" s="10"/>
      <c r="O2" s="10"/>
      <c r="P2" s="10"/>
      <c r="X2" s="26"/>
      <c r="AA2" s="81" t="str">
        <f>PRESUPUESTOS!Z14&amp;" ( MODULO "&amp;+AB2&amp;","&amp;+AC2&amp;", "&amp;+AD2&amp;", "&amp;+AE2&amp;", "&amp;+AF2&amp;", "&amp;+AG2&amp;", "&amp;+AH2&amp;")"</f>
        <v xml:space="preserve"> ( MODULO ,, , , , , )</v>
      </c>
      <c r="AB2" s="81"/>
      <c r="AC2" s="81"/>
      <c r="AD2" s="81"/>
      <c r="AE2" s="81"/>
      <c r="AF2" s="81"/>
      <c r="AG2" s="81"/>
    </row>
    <row r="3" spans="1:33" s="27" customFormat="1" ht="20.100000000000001" customHeight="1">
      <c r="A3" s="10" t="str">
        <f>PRESUPUESTOS!B3</f>
        <v>CONCURSO DE MÉRITOS ABIERTO</v>
      </c>
      <c r="B3" s="10"/>
      <c r="C3" s="10"/>
      <c r="D3" s="10"/>
      <c r="E3" s="10"/>
      <c r="F3" s="10"/>
      <c r="G3" s="10"/>
      <c r="H3" s="10"/>
      <c r="I3" s="10"/>
      <c r="J3" s="10"/>
      <c r="K3" s="10"/>
      <c r="L3" s="10"/>
      <c r="M3" s="10"/>
      <c r="N3" s="10"/>
      <c r="O3" s="10"/>
      <c r="P3" s="10"/>
      <c r="X3" s="28"/>
      <c r="AA3" s="299"/>
      <c r="AB3" s="299"/>
      <c r="AC3" s="299"/>
      <c r="AD3" s="299"/>
      <c r="AE3" s="299"/>
      <c r="AF3" s="299"/>
      <c r="AG3" s="299"/>
    </row>
    <row r="4" spans="1:33" s="25" customFormat="1" ht="20.100000000000001" customHeight="1">
      <c r="A4" s="10" t="str">
        <f>PRESUPUESTOS!B4</f>
        <v>CONCURSO DE MERITOS CMA-DO-SRN-100-2019</v>
      </c>
      <c r="B4" s="10"/>
      <c r="C4" s="10"/>
      <c r="D4" s="10"/>
      <c r="E4" s="10"/>
      <c r="F4" s="10"/>
      <c r="G4" s="10"/>
      <c r="H4" s="10"/>
      <c r="I4" s="10"/>
      <c r="J4" s="10"/>
      <c r="K4" s="10"/>
      <c r="L4" s="10"/>
      <c r="M4" s="10"/>
      <c r="N4" s="10"/>
      <c r="O4" s="10"/>
      <c r="P4" s="10"/>
      <c r="X4" s="26"/>
      <c r="AA4" s="81"/>
      <c r="AB4" s="81"/>
      <c r="AC4" s="81"/>
      <c r="AD4" s="81"/>
      <c r="AE4" s="81"/>
      <c r="AF4" s="81"/>
      <c r="AG4" s="81"/>
    </row>
    <row r="5" spans="1:33" s="25" customFormat="1" ht="6" customHeight="1">
      <c r="A5" s="10">
        <f>PRESUPUESTOS!C5</f>
        <v>0</v>
      </c>
      <c r="B5" s="10"/>
      <c r="C5" s="10"/>
      <c r="D5" s="10"/>
      <c r="E5" s="10"/>
      <c r="F5" s="10"/>
      <c r="G5" s="10"/>
      <c r="H5" s="10"/>
      <c r="I5" s="10"/>
      <c r="J5" s="10"/>
      <c r="K5" s="10"/>
      <c r="L5" s="10"/>
      <c r="M5" s="10"/>
      <c r="N5" s="10"/>
      <c r="O5" s="10"/>
      <c r="P5" s="10"/>
      <c r="X5" s="26"/>
      <c r="AA5" s="81"/>
      <c r="AB5" s="81"/>
      <c r="AC5" s="81"/>
      <c r="AD5" s="81"/>
      <c r="AE5" s="81"/>
      <c r="AF5" s="81"/>
      <c r="AG5" s="81"/>
    </row>
    <row r="6" spans="1:33" s="25" customFormat="1" ht="15.75">
      <c r="A6" s="12" t="str">
        <f>PRESUPUESTOS!B6</f>
        <v>ADMINISTRACIÓN VIAL DE LAS CARRETERAS A CARGO DE LA TERRITORIAL SANTANDER</v>
      </c>
      <c r="B6" s="10"/>
      <c r="C6" s="10"/>
      <c r="D6" s="10"/>
      <c r="E6" s="10"/>
      <c r="F6" s="10"/>
      <c r="G6" s="10"/>
      <c r="H6" s="10"/>
      <c r="I6" s="10"/>
      <c r="J6" s="10"/>
      <c r="K6" s="10"/>
      <c r="L6" s="10"/>
      <c r="M6" s="10"/>
      <c r="N6" s="10"/>
      <c r="O6" s="10"/>
      <c r="P6" s="10"/>
      <c r="S6" s="29"/>
      <c r="X6" s="26"/>
      <c r="AA6" s="81"/>
      <c r="AB6" s="81"/>
      <c r="AC6" s="81"/>
      <c r="AD6" s="81"/>
      <c r="AE6" s="81"/>
      <c r="AF6" s="81"/>
      <c r="AG6" s="81"/>
    </row>
    <row r="7" spans="1:33" ht="6" customHeight="1">
      <c r="A7" s="719"/>
      <c r="B7" s="719"/>
      <c r="C7" s="719"/>
      <c r="D7" s="719"/>
      <c r="E7" s="719"/>
      <c r="F7" s="719"/>
      <c r="G7" s="719"/>
      <c r="H7" s="719"/>
      <c r="I7" s="719"/>
      <c r="J7" s="719"/>
      <c r="K7" s="719"/>
      <c r="L7" s="719"/>
      <c r="M7" s="719"/>
      <c r="N7" s="719"/>
      <c r="O7" s="719"/>
      <c r="P7" s="719"/>
    </row>
    <row r="8" spans="1:33" ht="20.100000000000001" customHeight="1">
      <c r="A8" s="7" t="str">
        <f>PRESUPUESTOS!B7</f>
        <v xml:space="preserve">MODULO </v>
      </c>
      <c r="B8" s="7"/>
      <c r="C8" s="7"/>
      <c r="D8" s="7"/>
      <c r="E8" s="7"/>
      <c r="F8" s="7"/>
      <c r="G8" s="7"/>
      <c r="H8" s="7"/>
      <c r="I8" s="7"/>
      <c r="J8" s="7"/>
      <c r="K8" s="7"/>
      <c r="L8" s="7"/>
      <c r="M8" s="7"/>
      <c r="N8" s="7"/>
      <c r="O8" s="7"/>
      <c r="P8" s="7"/>
      <c r="Q8" s="30">
        <f>VLOOKUP(D15,PRESUPUESTOS!C13:D20,2,FALSE)</f>
        <v>210547002</v>
      </c>
    </row>
    <row r="9" spans="1:33" ht="6" customHeight="1">
      <c r="A9" s="658"/>
      <c r="B9" s="658"/>
      <c r="C9" s="658"/>
      <c r="D9" s="658"/>
      <c r="E9" s="658"/>
      <c r="F9" s="658"/>
      <c r="G9" s="658"/>
      <c r="H9" s="658"/>
      <c r="I9" s="658"/>
      <c r="J9" s="658"/>
      <c r="K9" s="658"/>
      <c r="L9" s="658"/>
      <c r="M9" s="658"/>
      <c r="N9" s="658"/>
      <c r="O9" s="658"/>
      <c r="P9" s="658"/>
    </row>
    <row r="10" spans="1:33" ht="20.25" customHeight="1">
      <c r="A10" s="720" t="s">
        <v>10</v>
      </c>
      <c r="B10" s="720"/>
      <c r="C10" s="720"/>
      <c r="D10" s="720"/>
      <c r="E10" s="720"/>
      <c r="F10" s="720"/>
      <c r="G10" s="720"/>
      <c r="H10" s="720"/>
      <c r="I10" s="720"/>
      <c r="J10" s="720"/>
      <c r="K10" s="720"/>
      <c r="L10" s="720"/>
      <c r="M10" s="720"/>
      <c r="N10" s="720"/>
      <c r="O10" s="720"/>
      <c r="P10" s="720"/>
    </row>
    <row r="11" spans="1:33" ht="6" customHeight="1" thickBot="1">
      <c r="A11" s="32"/>
      <c r="B11" s="33"/>
      <c r="E11" s="9"/>
      <c r="F11" s="9"/>
      <c r="G11" s="9"/>
      <c r="H11" s="9"/>
      <c r="I11" s="9"/>
    </row>
    <row r="12" spans="1:33" ht="13.5" customHeight="1" thickTop="1">
      <c r="A12" s="34" t="s">
        <v>11</v>
      </c>
      <c r="B12" s="721" t="s">
        <v>12</v>
      </c>
      <c r="C12" s="731" t="s">
        <v>31</v>
      </c>
      <c r="D12" s="732"/>
      <c r="E12" s="732"/>
      <c r="F12" s="732"/>
      <c r="G12" s="732"/>
      <c r="H12" s="732"/>
      <c r="I12" s="732"/>
      <c r="J12" s="725" t="s">
        <v>32</v>
      </c>
      <c r="K12" s="726"/>
      <c r="L12" s="726"/>
      <c r="M12" s="726"/>
      <c r="N12" s="726"/>
      <c r="O12" s="726"/>
      <c r="P12" s="727"/>
      <c r="Q12" s="294" t="s">
        <v>33</v>
      </c>
      <c r="R12" s="295" t="s">
        <v>34</v>
      </c>
      <c r="S12" s="295" t="s">
        <v>35</v>
      </c>
      <c r="T12" s="295" t="s">
        <v>36</v>
      </c>
      <c r="U12" s="295" t="s">
        <v>37</v>
      </c>
      <c r="V12" s="295" t="s">
        <v>115</v>
      </c>
      <c r="W12" s="295" t="s">
        <v>116</v>
      </c>
      <c r="X12" s="723" t="s">
        <v>53</v>
      </c>
      <c r="Y12" s="723" t="s">
        <v>162</v>
      </c>
      <c r="AA12" s="286"/>
      <c r="AB12" s="287"/>
    </row>
    <row r="13" spans="1:33" s="38" customFormat="1" ht="13.5" customHeight="1" thickBot="1">
      <c r="A13" s="36" t="s">
        <v>13</v>
      </c>
      <c r="B13" s="722"/>
      <c r="C13" s="733"/>
      <c r="D13" s="734"/>
      <c r="E13" s="734"/>
      <c r="F13" s="734"/>
      <c r="G13" s="734"/>
      <c r="H13" s="734"/>
      <c r="I13" s="734"/>
      <c r="J13" s="728"/>
      <c r="K13" s="729"/>
      <c r="L13" s="729"/>
      <c r="M13" s="729"/>
      <c r="N13" s="729"/>
      <c r="O13" s="729"/>
      <c r="P13" s="730"/>
      <c r="Q13" s="37" t="s">
        <v>517</v>
      </c>
      <c r="R13" s="37" t="s">
        <v>517</v>
      </c>
      <c r="S13" s="37" t="s">
        <v>517</v>
      </c>
      <c r="T13" s="37" t="s">
        <v>517</v>
      </c>
      <c r="U13" s="37" t="s">
        <v>517</v>
      </c>
      <c r="V13" s="37" t="s">
        <v>517</v>
      </c>
      <c r="W13" s="37" t="s">
        <v>517</v>
      </c>
      <c r="X13" s="724"/>
      <c r="Y13" s="724"/>
      <c r="AA13" s="286"/>
      <c r="AB13" s="287"/>
      <c r="AC13" s="300"/>
      <c r="AD13" s="300"/>
      <c r="AE13" s="300"/>
      <c r="AF13" s="300"/>
      <c r="AG13" s="300"/>
    </row>
    <row r="14" spans="1:33" s="38" customFormat="1" ht="12" customHeight="1" thickTop="1" thickBot="1">
      <c r="A14" s="39"/>
      <c r="B14" s="40"/>
      <c r="C14" s="41">
        <v>1</v>
      </c>
      <c r="D14" s="42">
        <v>2</v>
      </c>
      <c r="E14" s="42">
        <v>3</v>
      </c>
      <c r="F14" s="42">
        <v>4</v>
      </c>
      <c r="G14" s="42">
        <v>5</v>
      </c>
      <c r="H14" s="42">
        <v>6</v>
      </c>
      <c r="I14" s="42">
        <v>7</v>
      </c>
      <c r="J14" s="43"/>
      <c r="K14" s="43"/>
      <c r="L14" s="43"/>
      <c r="M14" s="43"/>
      <c r="N14" s="43"/>
      <c r="O14" s="43"/>
      <c r="P14" s="44"/>
      <c r="Q14" s="45"/>
      <c r="R14" s="46"/>
      <c r="S14" s="45"/>
      <c r="T14" s="46"/>
      <c r="U14" s="46"/>
      <c r="V14" s="46"/>
      <c r="W14" s="46"/>
      <c r="X14" s="296"/>
      <c r="Y14" s="267"/>
      <c r="AA14" s="286"/>
      <c r="AB14" s="287"/>
      <c r="AC14" s="300"/>
      <c r="AD14" s="300"/>
      <c r="AE14" s="300"/>
      <c r="AF14" s="300"/>
      <c r="AG14" s="300"/>
    </row>
    <row r="15" spans="1:33" ht="13.5" thickTop="1">
      <c r="A15" s="51">
        <f>IF(B15&lt;&gt;0,A14+1,)</f>
        <v>1</v>
      </c>
      <c r="B15" s="381" t="str">
        <f>PROPONENTES!D19</f>
        <v>CONSORCIO C &amp; J</v>
      </c>
      <c r="C15" s="637"/>
      <c r="D15" s="638">
        <v>2</v>
      </c>
      <c r="E15" s="638"/>
      <c r="F15" s="638"/>
      <c r="G15" s="638"/>
      <c r="H15" s="638"/>
      <c r="I15" s="638"/>
      <c r="J15" s="716">
        <f>IF(COUNT(C15:I15)=0,"",(VLOOKUP(C15,PRESUPUESTOS!$C$12:$D$20,2,FALSE)+VLOOKUP(D15,PRESUPUESTOS!$C$12:$D$20,2,FALSE)+VLOOKUP(E15,PRESUPUESTOS!$C$12:$D$20,2,FALSE)+VLOOKUP(F15,PRESUPUESTOS!$C$12:$D$20,2,FALSE)+VLOOKUP(G15,PRESUPUESTOS!$C$12:$D$20,2,FALSE)+VLOOKUP(H15,PRESUPUESTOS!$C$12:$D$20,2,FALSE)+VLOOKUP(I15,PRESUPUESTOS!$C$12:$D$20,2,FALSE)))</f>
        <v>210547002</v>
      </c>
      <c r="K15" s="717"/>
      <c r="L15" s="717"/>
      <c r="M15" s="717"/>
      <c r="N15" s="717"/>
      <c r="O15" s="717"/>
      <c r="P15" s="718"/>
      <c r="Q15" s="48">
        <f>IF(LOOKUP(1,$C$14:$I$14,$C15:$I15)=1,PRESUPUESTOS!$D$13/SMACTUAL,0)</f>
        <v>0</v>
      </c>
      <c r="R15" s="49">
        <f ca="1">IF(LOOKUP(2,$C$14:$I$14,$C15:$I15)=2,PRESUPUESTOS!$D$14/SMACTUAL,0)</f>
        <v>254.25</v>
      </c>
      <c r="S15" s="48">
        <f>IF(LOOKUP(3,$C$14:$I$14,$C15:$I15)=3,PRESUPUESTOS!$D$16/SMACTUAL,0)</f>
        <v>0</v>
      </c>
      <c r="T15" s="47">
        <f>IF(LOOKUP(4,$C$14:$I$14,$C15:$I15)=4,PRESUPUESTOS!$D$17/SMACTUAL,0)</f>
        <v>0</v>
      </c>
      <c r="U15" s="49">
        <f>IF(LOOKUP(5,$C$14:$I$14,$C15:$I15)=5,PRESUPUESTOS!$D$18/SMACTUAL,0)</f>
        <v>0</v>
      </c>
      <c r="V15" s="49">
        <f>IF(LOOKUP(6,$C$14:$I$14,$C15:$I15)=6,PRESUPUESTOS!$D$19/SMACTUAL,0)</f>
        <v>0</v>
      </c>
      <c r="W15" s="49">
        <f>IF(LOOKUP(7,$C$14:$I$14,$C15:$I15)=7,PRESUPUESTOS!$D$20/SMACTUAL,0)</f>
        <v>0</v>
      </c>
      <c r="X15" s="297">
        <f ca="1">IF(COUNT(Q15:W15)=0,"",SUM(Q15+R15+S15+T15+U15+V15+W15))</f>
        <v>254.25</v>
      </c>
      <c r="Y15" s="50">
        <f ca="1">IF(COUNT(C15:I15)=1,X15*1,IF(COUNT(C15:I15)=2,X15*0.9,IF(COUNT(C15:I15)=3,X15*0.7,IF(COUNT(C15:I15)=4,X15*0.6,IF(COUNT(C15:I15)=5,X15*0.5,IF(COUNT(C15:I15)=6,X15*0.45,IF(COUNT(C15:I15)=7,X15*0.4,"NO")))))))</f>
        <v>254.25</v>
      </c>
      <c r="AA15" s="286"/>
      <c r="AB15" s="287"/>
      <c r="AC15" s="301"/>
      <c r="AD15" s="301"/>
    </row>
    <row r="16" spans="1:33">
      <c r="A16" s="51">
        <f t="shared" ref="A16:A24" si="0">IF(B16&lt;&gt;0,A15+1,)</f>
        <v>2</v>
      </c>
      <c r="B16" s="381" t="str">
        <f>PROPONENTES!D20</f>
        <v>CONSORCIO RUTA SANTANDER 100</v>
      </c>
      <c r="C16" s="639">
        <v>1</v>
      </c>
      <c r="D16" s="640">
        <v>2</v>
      </c>
      <c r="E16" s="640"/>
      <c r="F16" s="640"/>
      <c r="G16" s="640"/>
      <c r="H16" s="640"/>
      <c r="I16" s="640"/>
      <c r="J16" s="716">
        <f>IF(COUNT(C16:I16)=0,"",(VLOOKUP(C16,PRESUPUESTOS!$C$12:$D$20,2,FALSE)+VLOOKUP(D16,PRESUPUESTOS!$C$12:$D$20,2,FALSE)+VLOOKUP(E16,PRESUPUESTOS!$C$12:$D$20,2,FALSE)+VLOOKUP(F16,PRESUPUESTOS!$C$12:$D$20,2,FALSE)+VLOOKUP(G16,PRESUPUESTOS!$C$12:$D$20,2,FALSE)+VLOOKUP(H16,PRESUPUESTOS!$C$12:$D$20,2,FALSE)+VLOOKUP(I16,PRESUPUESTOS!$C$12:$D$20,2,FALSE)))</f>
        <v>494206430</v>
      </c>
      <c r="K16" s="717"/>
      <c r="L16" s="717"/>
      <c r="M16" s="717"/>
      <c r="N16" s="717"/>
      <c r="O16" s="717"/>
      <c r="P16" s="718"/>
      <c r="Q16" s="48">
        <f ca="1">IF(LOOKUP(1,$C$14:$I$14,C16:I16)=1,PRESUPUESTOS!$D$13/SMACTUAL,0)</f>
        <v>342.54</v>
      </c>
      <c r="R16" s="49">
        <f ca="1">IF(LOOKUP(2,$C$14:$I$14,$C16:$I16)=2,PRESUPUESTOS!$D$14/SMACTUAL,0)</f>
        <v>254.25</v>
      </c>
      <c r="S16" s="48">
        <f>IF(LOOKUP(3,$C$14:$I$14,$C16:$I16)=3,PRESUPUESTOS!$D$16/SMACTUAL,0)</f>
        <v>0</v>
      </c>
      <c r="T16" s="47">
        <f>IF(LOOKUP(4,$C$14:$I$14,$C16:$I16)=4,PRESUPUESTOS!$D$17/SMACTUAL,0)</f>
        <v>0</v>
      </c>
      <c r="U16" s="49">
        <f>IF(LOOKUP(5,$C$14:$I$14,$C16:$I16)=5,PRESUPUESTOS!$D$18/SMACTUAL,0)</f>
        <v>0</v>
      </c>
      <c r="V16" s="49">
        <f>IF(LOOKUP(6,$C$14:$I$14,$C16:$I16)=6,PRESUPUESTOS!$D$19/SMACTUAL,0)</f>
        <v>0</v>
      </c>
      <c r="W16" s="49">
        <f>IF(LOOKUP(7,$C$14:$I$14,$C16:$I16)=7,PRESUPUESTOS!$D$20/SMACTUAL,0)</f>
        <v>0</v>
      </c>
      <c r="X16" s="297">
        <f t="shared" ref="X16:X24" ca="1" si="1">IF(COUNT(Q16:W16)=0,"",SUM(Q16+R16+S16+T16+U16+V16+W16))</f>
        <v>596.79</v>
      </c>
      <c r="Y16" s="50">
        <f t="shared" ref="Y16:Y24" ca="1" si="2">IF(COUNT(C16:I16)=1,X16*1,IF(COUNT(C16:I16)=2,X16*0.9,IF(COUNT(C16:I16)=3,X16*0.7,IF(COUNT(C16:I16)=4,X16*0.6,IF(COUNT(C16:I16)=5,X16*0.5,"NO")))))</f>
        <v>537.11</v>
      </c>
      <c r="AA16" s="286"/>
      <c r="AB16" s="287"/>
      <c r="AD16" s="301"/>
    </row>
    <row r="17" spans="1:33">
      <c r="A17" s="51">
        <f t="shared" si="0"/>
        <v>3</v>
      </c>
      <c r="B17" s="381" t="str">
        <f>PROPONENTES!D21</f>
        <v>CONSORCIO SIETE</v>
      </c>
      <c r="C17" s="639">
        <v>1</v>
      </c>
      <c r="D17" s="640">
        <v>2</v>
      </c>
      <c r="E17" s="640"/>
      <c r="F17" s="640"/>
      <c r="G17" s="640"/>
      <c r="H17" s="640"/>
      <c r="I17" s="640"/>
      <c r="J17" s="716">
        <f>IF(COUNT(C17:I17)=0,"",(VLOOKUP(C17,PRESUPUESTOS!$C$12:$D$20,2,FALSE)+VLOOKUP(D17,PRESUPUESTOS!$C$12:$D$20,2,FALSE)+VLOOKUP(E17,PRESUPUESTOS!$C$12:$D$20,2,FALSE)+VLOOKUP(F17,PRESUPUESTOS!$C$12:$D$20,2,FALSE)+VLOOKUP(G17,PRESUPUESTOS!$C$12:$D$20,2,FALSE)+VLOOKUP(H17,PRESUPUESTOS!$C$12:$D$20,2,FALSE)+VLOOKUP(I17,PRESUPUESTOS!$C$12:$D$20,2,FALSE)))</f>
        <v>494206430</v>
      </c>
      <c r="K17" s="717"/>
      <c r="L17" s="717"/>
      <c r="M17" s="717"/>
      <c r="N17" s="717"/>
      <c r="O17" s="717"/>
      <c r="P17" s="718"/>
      <c r="Q17" s="48">
        <f ca="1">IF(LOOKUP(1,$C$14:$I$14,C17:I17)=1,PRESUPUESTOS!$D$13/SMACTUAL,0)</f>
        <v>342.54</v>
      </c>
      <c r="R17" s="49">
        <f ca="1">IF(LOOKUP(2,$C$14:$I$14,$C17:$I17)=2,PRESUPUESTOS!$D$14/SMACTUAL,0)</f>
        <v>254.25</v>
      </c>
      <c r="S17" s="48">
        <f>IF(LOOKUP(3,$C$14:$I$14,$C17:$I17)=3,PRESUPUESTOS!$D$16/SMACTUAL,0)</f>
        <v>0</v>
      </c>
      <c r="T17" s="47">
        <f>IF(LOOKUP(4,$C$14:$I$14,$C17:$I17)=4,PRESUPUESTOS!$D$17/SMACTUAL,0)</f>
        <v>0</v>
      </c>
      <c r="U17" s="49">
        <f>IF(LOOKUP(5,$C$14:$I$14,$C17:$I17)=5,PRESUPUESTOS!$D$18/SMACTUAL,0)</f>
        <v>0</v>
      </c>
      <c r="V17" s="49">
        <f>IF(LOOKUP(6,$C$14:$I$14,$C17:$I17)=6,PRESUPUESTOS!$D$19/SMACTUAL,0)</f>
        <v>0</v>
      </c>
      <c r="W17" s="49">
        <f>IF(LOOKUP(7,$C$14:$I$14,$C17:$I17)=7,PRESUPUESTOS!$D$20/SMACTUAL,0)</f>
        <v>0</v>
      </c>
      <c r="X17" s="297">
        <f t="shared" ca="1" si="1"/>
        <v>596.79</v>
      </c>
      <c r="Y17" s="50">
        <f t="shared" ca="1" si="2"/>
        <v>537.11</v>
      </c>
      <c r="AA17" s="286"/>
      <c r="AB17" s="287"/>
      <c r="AD17" s="301"/>
    </row>
    <row r="18" spans="1:33">
      <c r="A18" s="51">
        <f t="shared" si="0"/>
        <v>4</v>
      </c>
      <c r="B18" s="381" t="str">
        <f>PROPONENTES!D22</f>
        <v>GIA INGENIERIA S.A.S</v>
      </c>
      <c r="C18" s="639"/>
      <c r="D18" s="640">
        <v>2</v>
      </c>
      <c r="E18" s="640"/>
      <c r="F18" s="640"/>
      <c r="G18" s="640"/>
      <c r="H18" s="640"/>
      <c r="I18" s="640"/>
      <c r="J18" s="716">
        <f>IF(COUNT(C18:I18)=0,"",(VLOOKUP(C18,PRESUPUESTOS!$C$12:$D$20,2,FALSE)+VLOOKUP(D18,PRESUPUESTOS!$C$12:$D$20,2,FALSE)+VLOOKUP(E18,PRESUPUESTOS!$C$12:$D$20,2,FALSE)+VLOOKUP(F18,PRESUPUESTOS!$C$12:$D$20,2,FALSE)+VLOOKUP(G18,PRESUPUESTOS!$C$12:$D$20,2,FALSE)+VLOOKUP(H18,PRESUPUESTOS!$C$12:$D$20,2,FALSE)+VLOOKUP(I18,PRESUPUESTOS!$C$12:$D$20,2,FALSE)))</f>
        <v>210547002</v>
      </c>
      <c r="K18" s="717"/>
      <c r="L18" s="717"/>
      <c r="M18" s="717"/>
      <c r="N18" s="717"/>
      <c r="O18" s="717"/>
      <c r="P18" s="718"/>
      <c r="Q18" s="48">
        <f>IF(LOOKUP(1,$C$14:$I$14,C18:I18)=1,PRESUPUESTOS!$D$13/SMACTUAL,0)</f>
        <v>0</v>
      </c>
      <c r="R18" s="49">
        <f ca="1">IF(LOOKUP(2,$C$14:$I$14,$C18:$I18)=2,PRESUPUESTOS!$D$14/SMACTUAL,0)</f>
        <v>254.25</v>
      </c>
      <c r="S18" s="48">
        <f>IF(LOOKUP(3,$C$14:$I$14,$C18:$I18)=3,PRESUPUESTOS!$D$16/SMACTUAL,0)</f>
        <v>0</v>
      </c>
      <c r="T18" s="47">
        <f>IF(LOOKUP(4,$C$14:$I$14,$C18:$I18)=4,PRESUPUESTOS!$D$17/SMACTUAL,0)</f>
        <v>0</v>
      </c>
      <c r="U18" s="49">
        <f>IF(LOOKUP(5,$C$14:$I$14,$C18:$I18)=5,PRESUPUESTOS!$D$18/SMACTUAL,0)</f>
        <v>0</v>
      </c>
      <c r="V18" s="49">
        <f>IF(LOOKUP(6,$C$14:$I$14,$C18:$I18)=6,PRESUPUESTOS!$D$19/SMACTUAL,0)</f>
        <v>0</v>
      </c>
      <c r="W18" s="49">
        <f>IF(LOOKUP(7,$C$14:$I$14,$C18:$I18)=7,PRESUPUESTOS!$D$20/SMACTUAL,0)</f>
        <v>0</v>
      </c>
      <c r="X18" s="297">
        <f t="shared" ca="1" si="1"/>
        <v>254.25</v>
      </c>
      <c r="Y18" s="50">
        <f t="shared" ca="1" si="2"/>
        <v>254.25</v>
      </c>
      <c r="AA18" s="286"/>
      <c r="AB18" s="287"/>
      <c r="AD18" s="301"/>
    </row>
    <row r="19" spans="1:33">
      <c r="A19" s="51">
        <f t="shared" si="0"/>
        <v>5</v>
      </c>
      <c r="B19" s="381" t="str">
        <f>PROPONENTES!D23</f>
        <v>CONSORCIO JJAB</v>
      </c>
      <c r="C19" s="639">
        <v>1</v>
      </c>
      <c r="D19" s="640">
        <v>2</v>
      </c>
      <c r="E19" s="640"/>
      <c r="F19" s="640"/>
      <c r="G19" s="640"/>
      <c r="H19" s="640"/>
      <c r="I19" s="640"/>
      <c r="J19" s="716">
        <f>IF(COUNT(C19:I19)=0,"",(VLOOKUP(C19,PRESUPUESTOS!$C$12:$D$20,2,FALSE)+VLOOKUP(D19,PRESUPUESTOS!$C$12:$D$20,2,FALSE)+VLOOKUP(E19,PRESUPUESTOS!$C$12:$D$20,2,FALSE)+VLOOKUP(F19,PRESUPUESTOS!$C$12:$D$20,2,FALSE)+VLOOKUP(G19,PRESUPUESTOS!$C$12:$D$20,2,FALSE)+VLOOKUP(H19,PRESUPUESTOS!$C$12:$D$20,2,FALSE)+VLOOKUP(I19,PRESUPUESTOS!$C$12:$D$20,2,FALSE)))</f>
        <v>494206430</v>
      </c>
      <c r="K19" s="717"/>
      <c r="L19" s="717"/>
      <c r="M19" s="717"/>
      <c r="N19" s="717"/>
      <c r="O19" s="717"/>
      <c r="P19" s="718"/>
      <c r="Q19" s="48">
        <f ca="1">IF(LOOKUP(1,$C$14:$I$14,C19:I19)=1,PRESUPUESTOS!$D$13/SMACTUAL,0)</f>
        <v>342.54</v>
      </c>
      <c r="R19" s="49">
        <f ca="1">IF(LOOKUP(2,$C$14:$I$14,$C19:$I19)=2,PRESUPUESTOS!$D$14/SMACTUAL,0)</f>
        <v>254.25</v>
      </c>
      <c r="S19" s="48">
        <f>IF(LOOKUP(3,$C$14:$I$14,$C19:$I19)=3,PRESUPUESTOS!$D$16/SMACTUAL,0)</f>
        <v>0</v>
      </c>
      <c r="T19" s="47">
        <f>IF(LOOKUP(4,$C$14:$I$14,$C19:$I19)=4,PRESUPUESTOS!$D$17/SMACTUAL,0)</f>
        <v>0</v>
      </c>
      <c r="U19" s="49">
        <f>IF(LOOKUP(5,$C$14:$I$14,$C19:$I19)=5,PRESUPUESTOS!$D$18/SMACTUAL,0)</f>
        <v>0</v>
      </c>
      <c r="V19" s="49">
        <f>IF(LOOKUP(6,$C$14:$I$14,$C19:$I19)=6,PRESUPUESTOS!$D$19/SMACTUAL,0)</f>
        <v>0</v>
      </c>
      <c r="W19" s="49">
        <f>IF(LOOKUP(7,$C$14:$I$14,$C19:$I19)=7,PRESUPUESTOS!$D$20/SMACTUAL,0)</f>
        <v>0</v>
      </c>
      <c r="X19" s="297">
        <f t="shared" ca="1" si="1"/>
        <v>596.79</v>
      </c>
      <c r="Y19" s="50">
        <f t="shared" ca="1" si="2"/>
        <v>537.11</v>
      </c>
      <c r="AA19" s="302"/>
      <c r="AB19" s="301"/>
      <c r="AD19" s="301"/>
    </row>
    <row r="20" spans="1:33">
      <c r="A20" s="51">
        <f t="shared" si="0"/>
        <v>6</v>
      </c>
      <c r="B20" s="381" t="str">
        <f>PROPONENTES!D24</f>
        <v>CONSORCIO JC SANTANDER</v>
      </c>
      <c r="C20" s="639"/>
      <c r="D20" s="640">
        <v>2</v>
      </c>
      <c r="E20" s="640"/>
      <c r="F20" s="640"/>
      <c r="G20" s="640"/>
      <c r="H20" s="640"/>
      <c r="I20" s="640"/>
      <c r="J20" s="716">
        <f>IF(COUNT(C20:I20)=0,"",(VLOOKUP(C20,PRESUPUESTOS!$C$12:$D$20,2,FALSE)+VLOOKUP(D20,PRESUPUESTOS!$C$12:$D$20,2,FALSE)+VLOOKUP(E20,PRESUPUESTOS!$C$12:$D$20,2,FALSE)+VLOOKUP(F20,PRESUPUESTOS!$C$12:$D$20,2,FALSE)+VLOOKUP(G20,PRESUPUESTOS!$C$12:$D$20,2,FALSE)+VLOOKUP(H20,PRESUPUESTOS!$C$12:$D$20,2,FALSE)+VLOOKUP(I20,PRESUPUESTOS!$C$12:$D$20,2,FALSE)))</f>
        <v>210547002</v>
      </c>
      <c r="K20" s="717"/>
      <c r="L20" s="717"/>
      <c r="M20" s="717"/>
      <c r="N20" s="717"/>
      <c r="O20" s="717"/>
      <c r="P20" s="718"/>
      <c r="Q20" s="48">
        <f>IF(LOOKUP(1,$C$14:$I$14,C20:I20)=1,PRESUPUESTOS!$D$13/SMACTUAL,0)</f>
        <v>0</v>
      </c>
      <c r="R20" s="49">
        <f ca="1">IF(LOOKUP(2,$C$14:$I$14,$C20:$I20)=2,PRESUPUESTOS!$D$14/SMACTUAL,0)</f>
        <v>254.25</v>
      </c>
      <c r="S20" s="48">
        <f>IF(LOOKUP(3,$C$14:$I$14,$C20:$I20)=3,PRESUPUESTOS!$D$16/SMACTUAL,0)</f>
        <v>0</v>
      </c>
      <c r="T20" s="47">
        <f>IF(LOOKUP(4,$C$14:$I$14,$C20:$I20)=4,PRESUPUESTOS!$D$17/SMACTUAL,0)</f>
        <v>0</v>
      </c>
      <c r="U20" s="49">
        <f>IF(LOOKUP(5,$C$14:$I$14,$C20:$I20)=5,PRESUPUESTOS!$D$18/SMACTUAL,0)</f>
        <v>0</v>
      </c>
      <c r="V20" s="49">
        <f>IF(LOOKUP(6,$C$14:$I$14,$C20:$I20)=6,PRESUPUESTOS!$D$19/SMACTUAL,0)</f>
        <v>0</v>
      </c>
      <c r="W20" s="49">
        <f>IF(LOOKUP(7,$C$14:$I$14,$C20:$I20)=7,PRESUPUESTOS!$D$20/SMACTUAL,0)</f>
        <v>0</v>
      </c>
      <c r="X20" s="297">
        <f t="shared" ca="1" si="1"/>
        <v>254.25</v>
      </c>
      <c r="Y20" s="50">
        <f t="shared" ca="1" si="2"/>
        <v>254.25</v>
      </c>
      <c r="AA20" s="302"/>
      <c r="AD20" s="301"/>
    </row>
    <row r="21" spans="1:33" s="52" customFormat="1">
      <c r="A21" s="51">
        <f t="shared" si="0"/>
        <v>7</v>
      </c>
      <c r="B21" s="381" t="str">
        <f>PROPONENTES!D25</f>
        <v>ESTUDIOS TECNICOS Y ASESORIAS S.A</v>
      </c>
      <c r="C21" s="639">
        <v>1</v>
      </c>
      <c r="D21" s="641">
        <v>2</v>
      </c>
      <c r="E21" s="641"/>
      <c r="F21" s="641"/>
      <c r="G21" s="641"/>
      <c r="H21" s="641"/>
      <c r="I21" s="641"/>
      <c r="J21" s="716">
        <f>IF(COUNT(C21:I21)=0,"",(VLOOKUP(C21,PRESUPUESTOS!$C$12:$D$20,2,FALSE)+VLOOKUP(D21,PRESUPUESTOS!$C$12:$D$20,2,FALSE)+VLOOKUP(E21,PRESUPUESTOS!$C$12:$D$20,2,FALSE)+VLOOKUP(F21,PRESUPUESTOS!$C$12:$D$20,2,FALSE)+VLOOKUP(G21,PRESUPUESTOS!$C$12:$D$20,2,FALSE)+VLOOKUP(H21,PRESUPUESTOS!$C$12:$D$20,2,FALSE)+VLOOKUP(I21,PRESUPUESTOS!$C$12:$D$20,2,FALSE)))</f>
        <v>494206430</v>
      </c>
      <c r="K21" s="717"/>
      <c r="L21" s="717"/>
      <c r="M21" s="717"/>
      <c r="N21" s="717"/>
      <c r="O21" s="717"/>
      <c r="P21" s="718"/>
      <c r="Q21" s="48">
        <f ca="1">IF(LOOKUP(1,$C$14:$I$14,C21:I21)=1,PRESUPUESTOS!$D$13/SMACTUAL,0)</f>
        <v>342.54</v>
      </c>
      <c r="R21" s="49">
        <f ca="1">IF(LOOKUP(2,$C$14:$I$14,$C21:$I21)=2,PRESUPUESTOS!$D$14/SMACTUAL,0)</f>
        <v>254.25</v>
      </c>
      <c r="S21" s="48">
        <f>IF(LOOKUP(3,$C$14:$I$14,$C21:$I21)=3,PRESUPUESTOS!$D$16/SMACTUAL,0)</f>
        <v>0</v>
      </c>
      <c r="T21" s="47">
        <f>IF(LOOKUP(4,$C$14:$I$14,$C21:$I21)=4,PRESUPUESTOS!$D$17/SMACTUAL,0)</f>
        <v>0</v>
      </c>
      <c r="U21" s="49">
        <f>IF(LOOKUP(5,$C$14:$I$14,$C21:$I21)=5,PRESUPUESTOS!$D$18/SMACTUAL,0)</f>
        <v>0</v>
      </c>
      <c r="V21" s="49">
        <f>IF(LOOKUP(6,$C$14:$I$14,$C21:$I21)=6,PRESUPUESTOS!$D$19/SMACTUAL,0)</f>
        <v>0</v>
      </c>
      <c r="W21" s="49">
        <f>IF(LOOKUP(7,$C$14:$I$14,$C21:$I21)=7,PRESUPUESTOS!$D$20/SMACTUAL,0)</f>
        <v>0</v>
      </c>
      <c r="X21" s="297">
        <f t="shared" ca="1" si="1"/>
        <v>596.79</v>
      </c>
      <c r="Y21" s="50">
        <f t="shared" ca="1" si="2"/>
        <v>537.11</v>
      </c>
      <c r="AA21" s="303"/>
      <c r="AB21" s="303"/>
      <c r="AC21" s="304"/>
      <c r="AD21" s="301"/>
      <c r="AE21" s="304"/>
      <c r="AF21" s="304"/>
      <c r="AG21" s="304"/>
    </row>
    <row r="22" spans="1:33">
      <c r="A22" s="51">
        <f t="shared" si="0"/>
        <v>8</v>
      </c>
      <c r="B22" s="381" t="str">
        <f>PROPONENTES!D26</f>
        <v>CONSULTORIA BOGOTANA SAS</v>
      </c>
      <c r="C22" s="642">
        <v>1</v>
      </c>
      <c r="D22" s="643">
        <v>2</v>
      </c>
      <c r="E22" s="643"/>
      <c r="F22" s="643"/>
      <c r="G22" s="643"/>
      <c r="H22" s="643"/>
      <c r="I22" s="643"/>
      <c r="J22" s="716">
        <f>IF(COUNT(C22:I22)=0,"",(VLOOKUP(C22,PRESUPUESTOS!$C$12:$D$20,2,FALSE)+VLOOKUP(D22,PRESUPUESTOS!$C$12:$D$20,2,FALSE)+VLOOKUP(E22,PRESUPUESTOS!$C$12:$D$20,2,FALSE)+VLOOKUP(F22,PRESUPUESTOS!$C$12:$D$20,2,FALSE)+VLOOKUP(G22,PRESUPUESTOS!$C$12:$D$20,2,FALSE)+VLOOKUP(H22,PRESUPUESTOS!$C$12:$D$20,2,FALSE)+VLOOKUP(I22,PRESUPUESTOS!$C$12:$D$20,2,FALSE)))</f>
        <v>494206430</v>
      </c>
      <c r="K22" s="717"/>
      <c r="L22" s="717"/>
      <c r="M22" s="717"/>
      <c r="N22" s="717"/>
      <c r="O22" s="717"/>
      <c r="P22" s="718"/>
      <c r="Q22" s="48">
        <f ca="1">IF(LOOKUP(1,$C$14:$I$14,C22:I22)=1,PRESUPUESTOS!$D$13/SMACTUAL,0)</f>
        <v>342.54</v>
      </c>
      <c r="R22" s="49">
        <f ca="1">IF(LOOKUP(2,$C$14:$I$14,$C22:$I22)=2,PRESUPUESTOS!$D$14/SMACTUAL,0)</f>
        <v>254.25</v>
      </c>
      <c r="S22" s="48">
        <f>IF(LOOKUP(3,$C$14:$I$14,$C22:$I22)=3,PRESUPUESTOS!$D$16/SMACTUAL,0)</f>
        <v>0</v>
      </c>
      <c r="T22" s="47">
        <f>IF(LOOKUP(4,$C$14:$I$14,$C22:$I22)=4,PRESUPUESTOS!$D$17/SMACTUAL,0)</f>
        <v>0</v>
      </c>
      <c r="U22" s="49">
        <f>IF(LOOKUP(5,$C$14:$I$14,$C22:$I22)=5,PRESUPUESTOS!$D$18/SMACTUAL,0)</f>
        <v>0</v>
      </c>
      <c r="V22" s="49">
        <f>IF(LOOKUP(6,$C$14:$I$14,$C22:$I22)=6,PRESUPUESTOS!$D$19/SMACTUAL,0)</f>
        <v>0</v>
      </c>
      <c r="W22" s="49">
        <f>IF(LOOKUP(7,$C$14:$I$14,$C22:$I22)=7,PRESUPUESTOS!$D$20/SMACTUAL,0)</f>
        <v>0</v>
      </c>
      <c r="X22" s="297">
        <f t="shared" ca="1" si="1"/>
        <v>596.79</v>
      </c>
      <c r="Y22" s="50">
        <f t="shared" ca="1" si="2"/>
        <v>537.11</v>
      </c>
      <c r="AA22" s="302"/>
      <c r="AB22" s="301"/>
      <c r="AD22" s="301"/>
    </row>
    <row r="23" spans="1:33">
      <c r="A23" s="51">
        <f t="shared" si="0"/>
        <v>9</v>
      </c>
      <c r="B23" s="381" t="str">
        <f>PROPONENTES!D27</f>
        <v>RENE ARMANDO MARTINEZ DORADO</v>
      </c>
      <c r="C23" s="642">
        <v>1</v>
      </c>
      <c r="D23" s="643">
        <v>2</v>
      </c>
      <c r="E23" s="643"/>
      <c r="F23" s="640"/>
      <c r="G23" s="640"/>
      <c r="H23" s="640"/>
      <c r="I23" s="640"/>
      <c r="J23" s="716">
        <f>IF(COUNT(C23:I23)=0,"",(VLOOKUP(C23,PRESUPUESTOS!$C$12:$D$20,2,FALSE)+VLOOKUP(D23,PRESUPUESTOS!$C$12:$D$20,2,FALSE)+VLOOKUP(E23,PRESUPUESTOS!$C$12:$D$20,2,FALSE)+VLOOKUP(F23,PRESUPUESTOS!$C$12:$D$20,2,FALSE)+VLOOKUP(G23,PRESUPUESTOS!$C$12:$D$20,2,FALSE)+VLOOKUP(H23,PRESUPUESTOS!$C$12:$D$20,2,FALSE)+VLOOKUP(I23,PRESUPUESTOS!$C$12:$D$20,2,FALSE)))</f>
        <v>494206430</v>
      </c>
      <c r="K23" s="717"/>
      <c r="L23" s="717"/>
      <c r="M23" s="717"/>
      <c r="N23" s="717"/>
      <c r="O23" s="717"/>
      <c r="P23" s="718"/>
      <c r="Q23" s="48">
        <f ca="1">IF(LOOKUP(1,$C$14:$I$14,C23:I23)=1,PRESUPUESTOS!$D$13/SMACTUAL,0)</f>
        <v>342.54</v>
      </c>
      <c r="R23" s="49">
        <f ca="1">IF(LOOKUP(2,$C$14:$I$14,$C23:$I23)=2,PRESUPUESTOS!$D$14/SMACTUAL,0)</f>
        <v>254.25</v>
      </c>
      <c r="S23" s="48">
        <f>IF(LOOKUP(3,$C$14:$I$14,$C23:$I23)=3,PRESUPUESTOS!$D$16/SMACTUAL,0)</f>
        <v>0</v>
      </c>
      <c r="T23" s="47">
        <f>IF(LOOKUP(4,$C$14:$I$14,$C23:$I23)=4,PRESUPUESTOS!$D$17/SMACTUAL,0)</f>
        <v>0</v>
      </c>
      <c r="U23" s="49">
        <f>IF(LOOKUP(5,$C$14:$I$14,$C23:$I23)=5,PRESUPUESTOS!$D$18/SMACTUAL,0)</f>
        <v>0</v>
      </c>
      <c r="V23" s="49">
        <f>IF(LOOKUP(6,$C$14:$I$14,$C23:$I23)=6,PRESUPUESTOS!$D$19/SMACTUAL,0)</f>
        <v>0</v>
      </c>
      <c r="W23" s="49">
        <f>IF(LOOKUP(7,$C$14:$I$14,$C23:$I23)=7,PRESUPUESTOS!$D$20/SMACTUAL,0)</f>
        <v>0</v>
      </c>
      <c r="X23" s="297">
        <f t="shared" ca="1" si="1"/>
        <v>596.79</v>
      </c>
      <c r="Y23" s="50">
        <f t="shared" ca="1" si="2"/>
        <v>537.11</v>
      </c>
      <c r="AA23" s="302"/>
      <c r="AD23" s="301"/>
    </row>
    <row r="24" spans="1:33">
      <c r="A24" s="51">
        <f t="shared" si="0"/>
        <v>10</v>
      </c>
      <c r="B24" s="381" t="str">
        <f>PROPONENTES!D28</f>
        <v>CONSORCIO ADMON BM 100</v>
      </c>
      <c r="C24" s="642">
        <v>1</v>
      </c>
      <c r="D24" s="643">
        <v>2</v>
      </c>
      <c r="E24" s="643"/>
      <c r="F24" s="640"/>
      <c r="G24" s="640"/>
      <c r="H24" s="640"/>
      <c r="I24" s="640"/>
      <c r="J24" s="716">
        <f>IF(COUNT(C24:I24)=0,"",(VLOOKUP(C24,PRESUPUESTOS!$C$12:$D$20,2,FALSE)+VLOOKUP(D24,PRESUPUESTOS!$C$12:$D$20,2,FALSE)+VLOOKUP(E24,PRESUPUESTOS!$C$12:$D$20,2,FALSE)+VLOOKUP(F24,PRESUPUESTOS!$C$12:$D$20,2,FALSE)+VLOOKUP(G24,PRESUPUESTOS!$C$12:$D$20,2,FALSE)+VLOOKUP(H24,PRESUPUESTOS!$C$12:$D$20,2,FALSE)+VLOOKUP(I24,PRESUPUESTOS!$C$12:$D$20,2,FALSE)))</f>
        <v>494206430</v>
      </c>
      <c r="K24" s="717"/>
      <c r="L24" s="717"/>
      <c r="M24" s="717"/>
      <c r="N24" s="717"/>
      <c r="O24" s="717"/>
      <c r="P24" s="718"/>
      <c r="Q24" s="48">
        <f ca="1">IF(LOOKUP(1,$C$14:$I$14,C24:I24)=1,PRESUPUESTOS!$D$13/SMACTUAL,0)</f>
        <v>342.54</v>
      </c>
      <c r="R24" s="49">
        <f ca="1">IF(LOOKUP(2,$C$14:$I$14,$C24:$I24)=2,PRESUPUESTOS!$D$14/SMACTUAL,0)</f>
        <v>254.25</v>
      </c>
      <c r="S24" s="48">
        <f>IF(LOOKUP(3,$C$14:$I$14,$C24:$I24)=3,PRESUPUESTOS!$D$16/SMACTUAL,0)</f>
        <v>0</v>
      </c>
      <c r="T24" s="47">
        <f>IF(LOOKUP(4,$C$14:$I$14,$C24:$I24)=4,PRESUPUESTOS!$D$17/SMACTUAL,0)</f>
        <v>0</v>
      </c>
      <c r="U24" s="49">
        <f>IF(LOOKUP(5,$C$14:$I$14,$C24:$I24)=5,PRESUPUESTOS!$D$18/SMACTUAL,0)</f>
        <v>0</v>
      </c>
      <c r="V24" s="49">
        <f>IF(LOOKUP(6,$C$14:$I$14,$C24:$I24)=6,PRESUPUESTOS!$D$19/SMACTUAL,0)</f>
        <v>0</v>
      </c>
      <c r="W24" s="49">
        <f>IF(LOOKUP(7,$C$14:$I$14,$C24:$I24)=7,PRESUPUESTOS!$D$20/SMACTUAL,0)</f>
        <v>0</v>
      </c>
      <c r="X24" s="297">
        <f t="shared" ca="1" si="1"/>
        <v>596.79</v>
      </c>
      <c r="Y24" s="50">
        <f t="shared" ca="1" si="2"/>
        <v>537.11</v>
      </c>
      <c r="AA24" s="302"/>
      <c r="AB24" s="302"/>
      <c r="AD24" s="301"/>
    </row>
    <row r="25" spans="1:33">
      <c r="A25" s="51">
        <f>IF(B25&lt;&gt;0,A24+1,)</f>
        <v>11</v>
      </c>
      <c r="B25" s="381" t="str">
        <f>PROPONENTES!D29</f>
        <v>GNG INGENIERIA S.A.S</v>
      </c>
      <c r="C25" s="637">
        <v>1</v>
      </c>
      <c r="D25" s="643">
        <v>2</v>
      </c>
      <c r="E25" s="638"/>
      <c r="F25" s="638"/>
      <c r="G25" s="638"/>
      <c r="H25" s="638"/>
      <c r="I25" s="638"/>
      <c r="J25" s="716">
        <f>IF(COUNT(C25:I25)=0,"",(VLOOKUP(C25,PRESUPUESTOS!$C$12:$D$20,2,FALSE)+VLOOKUP(D25,PRESUPUESTOS!$C$12:$D$20,2,FALSE)+VLOOKUP(E25,PRESUPUESTOS!$C$12:$D$20,2,FALSE)+VLOOKUP(F25,PRESUPUESTOS!$C$12:$D$20,2,FALSE)+VLOOKUP(G25,PRESUPUESTOS!$C$12:$D$20,2,FALSE)+VLOOKUP(H25,PRESUPUESTOS!$C$12:$D$20,2,FALSE)+VLOOKUP(I25,PRESUPUESTOS!$C$12:$D$20,2,FALSE)))</f>
        <v>494206430</v>
      </c>
      <c r="K25" s="717"/>
      <c r="L25" s="717"/>
      <c r="M25" s="717"/>
      <c r="N25" s="717"/>
      <c r="O25" s="717"/>
      <c r="P25" s="718"/>
      <c r="Q25" s="48">
        <f ca="1">IF(LOOKUP(1,$C$14:$I$14,$C25:$I25)=1,PRESUPUESTOS!$D$13/SMACTUAL,0)</f>
        <v>342.54</v>
      </c>
      <c r="R25" s="49">
        <f ca="1">IF(LOOKUP(2,$C$14:$I$14,$C25:$I25)=2,PRESUPUESTOS!$D$14/SMACTUAL,0)</f>
        <v>254.25</v>
      </c>
      <c r="S25" s="48">
        <f>IF(LOOKUP(3,$C$14:$I$14,$C25:$I25)=3,PRESUPUESTOS!$D$16/SMACTUAL,0)</f>
        <v>0</v>
      </c>
      <c r="T25" s="47">
        <f>IF(LOOKUP(4,$C$14:$I$14,$C25:$I25)=4,PRESUPUESTOS!$D$17/SMACTUAL,0)</f>
        <v>0</v>
      </c>
      <c r="U25" s="49">
        <f>IF(LOOKUP(5,$C$14:$I$14,$C25:$I25)=5,PRESUPUESTOS!$D$18/SMACTUAL,0)</f>
        <v>0</v>
      </c>
      <c r="V25" s="49">
        <f>IF(LOOKUP(6,$C$14:$I$14,$C25:$I25)=6,PRESUPUESTOS!$D$19/SMACTUAL,0)</f>
        <v>0</v>
      </c>
      <c r="W25" s="49">
        <f>IF(LOOKUP(7,$C$14:$I$14,$C25:$I25)=7,PRESUPUESTOS!$D$20/SMACTUAL,0)</f>
        <v>0</v>
      </c>
      <c r="X25" s="297">
        <f t="shared" ref="X25:X44" ca="1" si="3">IF(COUNT(Q25:W25)=0,"",SUM(Q25+R25+S25+T25+U25+V25+W25))</f>
        <v>596.79</v>
      </c>
      <c r="Y25" s="50">
        <f ca="1">IF(COUNT(C25:I25)=1,X25*1,IF(COUNT(C25:I25)=2,X25*0.9,IF(COUNT(C25:I25)=3,X25*0.7,IF(COUNT(C25:I25)=4,X25*0.6,IF(COUNT(C25:I25)=5,X25*0.5,IF(COUNT(C25:I25)=6,X25*0.45,IF(COUNT(C25:I25)=7,X25*0.4,"NO")))))))</f>
        <v>537.11</v>
      </c>
      <c r="AA25" s="286"/>
      <c r="AB25" s="287"/>
      <c r="AC25" s="301"/>
      <c r="AD25" s="301"/>
    </row>
    <row r="26" spans="1:33">
      <c r="A26" s="51">
        <f t="shared" ref="A26:A34" si="4">IF(B26&lt;&gt;0,A25+1,)</f>
        <v>12</v>
      </c>
      <c r="B26" s="381" t="str">
        <f>PROPONENTES!D30</f>
        <v>RAMON IVAN ORDOÑEZ TEJADA</v>
      </c>
      <c r="C26" s="639">
        <v>1</v>
      </c>
      <c r="D26" s="643"/>
      <c r="E26" s="640"/>
      <c r="F26" s="640"/>
      <c r="G26" s="640"/>
      <c r="H26" s="640"/>
      <c r="I26" s="640"/>
      <c r="J26" s="716">
        <f>IF(COUNT(C26:I26)=0,"",(VLOOKUP(C26,PRESUPUESTOS!$C$12:$D$20,2,FALSE)+VLOOKUP(D26,PRESUPUESTOS!$C$12:$D$20,2,FALSE)+VLOOKUP(E26,PRESUPUESTOS!$C$12:$D$20,2,FALSE)+VLOOKUP(F26,PRESUPUESTOS!$C$12:$D$20,2,FALSE)+VLOOKUP(G26,PRESUPUESTOS!$C$12:$D$20,2,FALSE)+VLOOKUP(H26,PRESUPUESTOS!$C$12:$D$20,2,FALSE)+VLOOKUP(I26,PRESUPUESTOS!$C$12:$D$20,2,FALSE)))</f>
        <v>283659428</v>
      </c>
      <c r="K26" s="717"/>
      <c r="L26" s="717"/>
      <c r="M26" s="717"/>
      <c r="N26" s="717"/>
      <c r="O26" s="717"/>
      <c r="P26" s="718"/>
      <c r="Q26" s="48">
        <f ca="1">IF(LOOKUP(1,$C$14:$I$14,C26:I26)=1,PRESUPUESTOS!$D$13/SMACTUAL,0)</f>
        <v>342.54</v>
      </c>
      <c r="R26" s="49">
        <f>IF(LOOKUP(2,$C$14:$I$14,$C26:$I26)=2,PRESUPUESTOS!$D$14/SMACTUAL,0)</f>
        <v>0</v>
      </c>
      <c r="S26" s="48">
        <f>IF(LOOKUP(3,$C$14:$I$14,$C26:$I26)=3,PRESUPUESTOS!$D$16/SMACTUAL,0)</f>
        <v>0</v>
      </c>
      <c r="T26" s="47">
        <f>IF(LOOKUP(4,$C$14:$I$14,$C26:$I26)=4,PRESUPUESTOS!$D$17/SMACTUAL,0)</f>
        <v>0</v>
      </c>
      <c r="U26" s="49">
        <f>IF(LOOKUP(5,$C$14:$I$14,$C26:$I26)=5,PRESUPUESTOS!$D$18/SMACTUAL,0)</f>
        <v>0</v>
      </c>
      <c r="V26" s="49">
        <f>IF(LOOKUP(6,$C$14:$I$14,$C26:$I26)=6,PRESUPUESTOS!$D$19/SMACTUAL,0)</f>
        <v>0</v>
      </c>
      <c r="W26" s="49">
        <f>IF(LOOKUP(7,$C$14:$I$14,$C26:$I26)=7,PRESUPUESTOS!$D$20/SMACTUAL,0)</f>
        <v>0</v>
      </c>
      <c r="X26" s="297">
        <f t="shared" ca="1" si="3"/>
        <v>342.54</v>
      </c>
      <c r="Y26" s="50">
        <f t="shared" ref="Y26:Y34" ca="1" si="5">IF(COUNT(C26:I26)=1,X26*1,IF(COUNT(C26:I26)=2,X26*0.9,IF(COUNT(C26:I26)=3,X26*0.7,IF(COUNT(C26:I26)=4,X26*0.6,IF(COUNT(C26:I26)=5,X26*0.5,"NO")))))</f>
        <v>342.54</v>
      </c>
      <c r="AA26" s="286"/>
      <c r="AB26" s="287"/>
      <c r="AD26" s="301"/>
    </row>
    <row r="27" spans="1:33">
      <c r="A27" s="51">
        <f t="shared" si="4"/>
        <v>13</v>
      </c>
      <c r="B27" s="381" t="str">
        <f>PROPONENTES!D31</f>
        <v>CONSORCIO VIAS BICENTENARIO 2.0</v>
      </c>
      <c r="C27" s="639">
        <v>1</v>
      </c>
      <c r="D27" s="643">
        <v>2</v>
      </c>
      <c r="E27" s="640"/>
      <c r="F27" s="640"/>
      <c r="G27" s="640"/>
      <c r="H27" s="640"/>
      <c r="I27" s="640"/>
      <c r="J27" s="716">
        <f>IF(COUNT(C27:I27)=0,"",(VLOOKUP(C27,PRESUPUESTOS!$C$12:$D$20,2,FALSE)+VLOOKUP(D27,PRESUPUESTOS!$C$12:$D$20,2,FALSE)+VLOOKUP(E27,PRESUPUESTOS!$C$12:$D$20,2,FALSE)+VLOOKUP(F27,PRESUPUESTOS!$C$12:$D$20,2,FALSE)+VLOOKUP(G27,PRESUPUESTOS!$C$12:$D$20,2,FALSE)+VLOOKUP(H27,PRESUPUESTOS!$C$12:$D$20,2,FALSE)+VLOOKUP(I27,PRESUPUESTOS!$C$12:$D$20,2,FALSE)))</f>
        <v>494206430</v>
      </c>
      <c r="K27" s="717"/>
      <c r="L27" s="717"/>
      <c r="M27" s="717"/>
      <c r="N27" s="717"/>
      <c r="O27" s="717"/>
      <c r="P27" s="718"/>
      <c r="Q27" s="48">
        <f ca="1">IF(LOOKUP(1,$C$14:$I$14,C27:I27)=1,PRESUPUESTOS!$D$13/SMACTUAL,0)</f>
        <v>342.54</v>
      </c>
      <c r="R27" s="49">
        <f ca="1">IF(LOOKUP(2,$C$14:$I$14,$C27:$I27)=2,PRESUPUESTOS!$D$14/SMACTUAL,0)</f>
        <v>254.25</v>
      </c>
      <c r="S27" s="48">
        <f>IF(LOOKUP(3,$C$14:$I$14,$C27:$I27)=3,PRESUPUESTOS!$D$16/SMACTUAL,0)</f>
        <v>0</v>
      </c>
      <c r="T27" s="47">
        <f>IF(LOOKUP(4,$C$14:$I$14,$C27:$I27)=4,PRESUPUESTOS!$D$17/SMACTUAL,0)</f>
        <v>0</v>
      </c>
      <c r="U27" s="49">
        <f>IF(LOOKUP(5,$C$14:$I$14,$C27:$I27)=5,PRESUPUESTOS!$D$18/SMACTUAL,0)</f>
        <v>0</v>
      </c>
      <c r="V27" s="49">
        <f>IF(LOOKUP(6,$C$14:$I$14,$C27:$I27)=6,PRESUPUESTOS!$D$19/SMACTUAL,0)</f>
        <v>0</v>
      </c>
      <c r="W27" s="49">
        <f>IF(LOOKUP(7,$C$14:$I$14,$C27:$I27)=7,PRESUPUESTOS!$D$20/SMACTUAL,0)</f>
        <v>0</v>
      </c>
      <c r="X27" s="297">
        <f t="shared" ca="1" si="3"/>
        <v>596.79</v>
      </c>
      <c r="Y27" s="50">
        <f t="shared" ca="1" si="5"/>
        <v>537.11</v>
      </c>
      <c r="AA27" s="286"/>
      <c r="AB27" s="287"/>
      <c r="AD27" s="301"/>
    </row>
    <row r="28" spans="1:33">
      <c r="A28" s="51">
        <f t="shared" si="4"/>
        <v>14</v>
      </c>
      <c r="B28" s="381" t="str">
        <f>PROPONENTES!D32</f>
        <v>CONSORCIO INUC</v>
      </c>
      <c r="C28" s="639">
        <v>1</v>
      </c>
      <c r="D28" s="643">
        <v>2</v>
      </c>
      <c r="E28" s="640"/>
      <c r="F28" s="640"/>
      <c r="G28" s="640"/>
      <c r="H28" s="640"/>
      <c r="I28" s="640"/>
      <c r="J28" s="716">
        <f>IF(COUNT(C28:I28)=0,"",(VLOOKUP(C28,PRESUPUESTOS!$C$12:$D$20,2,FALSE)+VLOOKUP(D28,PRESUPUESTOS!$C$12:$D$20,2,FALSE)+VLOOKUP(E28,PRESUPUESTOS!$C$12:$D$20,2,FALSE)+VLOOKUP(F28,PRESUPUESTOS!$C$12:$D$20,2,FALSE)+VLOOKUP(G28,PRESUPUESTOS!$C$12:$D$20,2,FALSE)+VLOOKUP(H28,PRESUPUESTOS!$C$12:$D$20,2,FALSE)+VLOOKUP(I28,PRESUPUESTOS!$C$12:$D$20,2,FALSE)))</f>
        <v>494206430</v>
      </c>
      <c r="K28" s="717"/>
      <c r="L28" s="717"/>
      <c r="M28" s="717"/>
      <c r="N28" s="717"/>
      <c r="O28" s="717"/>
      <c r="P28" s="718"/>
      <c r="Q28" s="48">
        <f ca="1">IF(LOOKUP(1,$C$14:$I$14,C28:I28)=1,PRESUPUESTOS!$D$13/SMACTUAL,0)</f>
        <v>342.54</v>
      </c>
      <c r="R28" s="49">
        <f ca="1">IF(LOOKUP(2,$C$14:$I$14,$C28:$I28)=2,PRESUPUESTOS!$D$14/SMACTUAL,0)</f>
        <v>254.25</v>
      </c>
      <c r="S28" s="48">
        <f>IF(LOOKUP(3,$C$14:$I$14,$C28:$I28)=3,PRESUPUESTOS!$D$16/SMACTUAL,0)</f>
        <v>0</v>
      </c>
      <c r="T28" s="47">
        <f>IF(LOOKUP(4,$C$14:$I$14,$C28:$I28)=4,PRESUPUESTOS!$D$17/SMACTUAL,0)</f>
        <v>0</v>
      </c>
      <c r="U28" s="49">
        <f>IF(LOOKUP(5,$C$14:$I$14,$C28:$I28)=5,PRESUPUESTOS!$D$18/SMACTUAL,0)</f>
        <v>0</v>
      </c>
      <c r="V28" s="49">
        <f>IF(LOOKUP(6,$C$14:$I$14,$C28:$I28)=6,PRESUPUESTOS!$D$19/SMACTUAL,0)</f>
        <v>0</v>
      </c>
      <c r="W28" s="49">
        <f>IF(LOOKUP(7,$C$14:$I$14,$C28:$I28)=7,PRESUPUESTOS!$D$20/SMACTUAL,0)</f>
        <v>0</v>
      </c>
      <c r="X28" s="297">
        <f t="shared" ca="1" si="3"/>
        <v>596.79</v>
      </c>
      <c r="Y28" s="50">
        <f t="shared" ca="1" si="5"/>
        <v>537.11</v>
      </c>
      <c r="AA28" s="286"/>
      <c r="AB28" s="287"/>
      <c r="AD28" s="301"/>
    </row>
    <row r="29" spans="1:33">
      <c r="A29" s="51">
        <f t="shared" si="4"/>
        <v>15</v>
      </c>
      <c r="B29" s="381" t="str">
        <f>PROPONENTES!D33</f>
        <v>CONSORCIO CIVILES 100</v>
      </c>
      <c r="C29" s="639">
        <v>1</v>
      </c>
      <c r="D29" s="643">
        <v>2</v>
      </c>
      <c r="E29" s="640"/>
      <c r="F29" s="640"/>
      <c r="G29" s="640"/>
      <c r="H29" s="640"/>
      <c r="I29" s="640"/>
      <c r="J29" s="716">
        <f>IF(COUNT(C29:I29)=0,"",(VLOOKUP(C29,PRESUPUESTOS!$C$12:$D$20,2,FALSE)+VLOOKUP(D29,PRESUPUESTOS!$C$12:$D$20,2,FALSE)+VLOOKUP(E29,PRESUPUESTOS!$C$12:$D$20,2,FALSE)+VLOOKUP(F29,PRESUPUESTOS!$C$12:$D$20,2,FALSE)+VLOOKUP(G29,PRESUPUESTOS!$C$12:$D$20,2,FALSE)+VLOOKUP(H29,PRESUPUESTOS!$C$12:$D$20,2,FALSE)+VLOOKUP(I29,PRESUPUESTOS!$C$12:$D$20,2,FALSE)))</f>
        <v>494206430</v>
      </c>
      <c r="K29" s="717"/>
      <c r="L29" s="717"/>
      <c r="M29" s="717"/>
      <c r="N29" s="717"/>
      <c r="O29" s="717"/>
      <c r="P29" s="718"/>
      <c r="Q29" s="48">
        <f ca="1">IF(LOOKUP(1,$C$14:$I$14,C29:I29)=1,PRESUPUESTOS!$D$13/SMACTUAL,0)</f>
        <v>342.54</v>
      </c>
      <c r="R29" s="49">
        <f ca="1">IF(LOOKUP(2,$C$14:$I$14,$C29:$I29)=2,PRESUPUESTOS!$D$14/SMACTUAL,0)</f>
        <v>254.25</v>
      </c>
      <c r="S29" s="48">
        <f>IF(LOOKUP(3,$C$14:$I$14,$C29:$I29)=3,PRESUPUESTOS!$D$16/SMACTUAL,0)</f>
        <v>0</v>
      </c>
      <c r="T29" s="47">
        <f>IF(LOOKUP(4,$C$14:$I$14,$C29:$I29)=4,PRESUPUESTOS!$D$17/SMACTUAL,0)</f>
        <v>0</v>
      </c>
      <c r="U29" s="49">
        <f>IF(LOOKUP(5,$C$14:$I$14,$C29:$I29)=5,PRESUPUESTOS!$D$18/SMACTUAL,0)</f>
        <v>0</v>
      </c>
      <c r="V29" s="49">
        <f>IF(LOOKUP(6,$C$14:$I$14,$C29:$I29)=6,PRESUPUESTOS!$D$19/SMACTUAL,0)</f>
        <v>0</v>
      </c>
      <c r="W29" s="49">
        <f>IF(LOOKUP(7,$C$14:$I$14,$C29:$I29)=7,PRESUPUESTOS!$D$20/SMACTUAL,0)</f>
        <v>0</v>
      </c>
      <c r="X29" s="297">
        <f t="shared" ca="1" si="3"/>
        <v>596.79</v>
      </c>
      <c r="Y29" s="50">
        <f t="shared" ca="1" si="5"/>
        <v>537.11</v>
      </c>
      <c r="AA29" s="302"/>
      <c r="AB29" s="301"/>
      <c r="AD29" s="301"/>
    </row>
    <row r="30" spans="1:33">
      <c r="A30" s="51">
        <f t="shared" si="4"/>
        <v>16</v>
      </c>
      <c r="B30" s="381" t="str">
        <f>PROPONENTES!D34</f>
        <v>CONSORCIO ADMON IG 100</v>
      </c>
      <c r="C30" s="639">
        <v>1</v>
      </c>
      <c r="D30" s="643">
        <v>2</v>
      </c>
      <c r="E30" s="640"/>
      <c r="F30" s="640"/>
      <c r="G30" s="640"/>
      <c r="H30" s="640"/>
      <c r="I30" s="640"/>
      <c r="J30" s="716">
        <f>IF(COUNT(C30:I30)=0,"",(VLOOKUP(C30,PRESUPUESTOS!$C$12:$D$20,2,FALSE)+VLOOKUP(D30,PRESUPUESTOS!$C$12:$D$20,2,FALSE)+VLOOKUP(E30,PRESUPUESTOS!$C$12:$D$20,2,FALSE)+VLOOKUP(F30,PRESUPUESTOS!$C$12:$D$20,2,FALSE)+VLOOKUP(G30,PRESUPUESTOS!$C$12:$D$20,2,FALSE)+VLOOKUP(H30,PRESUPUESTOS!$C$12:$D$20,2,FALSE)+VLOOKUP(I30,PRESUPUESTOS!$C$12:$D$20,2,FALSE)))</f>
        <v>494206430</v>
      </c>
      <c r="K30" s="717"/>
      <c r="L30" s="717"/>
      <c r="M30" s="717"/>
      <c r="N30" s="717"/>
      <c r="O30" s="717"/>
      <c r="P30" s="718"/>
      <c r="Q30" s="48">
        <f ca="1">IF(LOOKUP(1,$C$14:$I$14,C30:I30)=1,PRESUPUESTOS!$D$13/SMACTUAL,0)</f>
        <v>342.54</v>
      </c>
      <c r="R30" s="49">
        <f ca="1">IF(LOOKUP(2,$C$14:$I$14,$C30:$I30)=2,PRESUPUESTOS!$D$14/SMACTUAL,0)</f>
        <v>254.25</v>
      </c>
      <c r="S30" s="48">
        <f>IF(LOOKUP(3,$C$14:$I$14,$C30:$I30)=3,PRESUPUESTOS!$D$16/SMACTUAL,0)</f>
        <v>0</v>
      </c>
      <c r="T30" s="47">
        <f>IF(LOOKUP(4,$C$14:$I$14,$C30:$I30)=4,PRESUPUESTOS!$D$17/SMACTUAL,0)</f>
        <v>0</v>
      </c>
      <c r="U30" s="49">
        <f>IF(LOOKUP(5,$C$14:$I$14,$C30:$I30)=5,PRESUPUESTOS!$D$18/SMACTUAL,0)</f>
        <v>0</v>
      </c>
      <c r="V30" s="49">
        <f>IF(LOOKUP(6,$C$14:$I$14,$C30:$I30)=6,PRESUPUESTOS!$D$19/SMACTUAL,0)</f>
        <v>0</v>
      </c>
      <c r="W30" s="49">
        <f>IF(LOOKUP(7,$C$14:$I$14,$C30:$I30)=7,PRESUPUESTOS!$D$20/SMACTUAL,0)</f>
        <v>0</v>
      </c>
      <c r="X30" s="297">
        <f t="shared" ca="1" si="3"/>
        <v>596.79</v>
      </c>
      <c r="Y30" s="50">
        <f t="shared" ca="1" si="5"/>
        <v>537.11</v>
      </c>
      <c r="AA30" s="302"/>
      <c r="AD30" s="301"/>
    </row>
    <row r="31" spans="1:33" s="52" customFormat="1">
      <c r="A31" s="51">
        <f t="shared" si="4"/>
        <v>17</v>
      </c>
      <c r="B31" s="381" t="str">
        <f>PROPONENTES!D35</f>
        <v>CONSORCIO VIAL SANTANDER</v>
      </c>
      <c r="C31" s="639">
        <v>1</v>
      </c>
      <c r="D31" s="643">
        <v>2</v>
      </c>
      <c r="E31" s="641"/>
      <c r="F31" s="641"/>
      <c r="G31" s="641"/>
      <c r="H31" s="641"/>
      <c r="I31" s="641"/>
      <c r="J31" s="716">
        <f>IF(COUNT(C31:I31)=0,"",(VLOOKUP(C31,PRESUPUESTOS!$C$12:$D$20,2,FALSE)+VLOOKUP(D31,PRESUPUESTOS!$C$12:$D$20,2,FALSE)+VLOOKUP(E31,PRESUPUESTOS!$C$12:$D$20,2,FALSE)+VLOOKUP(F31,PRESUPUESTOS!$C$12:$D$20,2,FALSE)+VLOOKUP(G31,PRESUPUESTOS!$C$12:$D$20,2,FALSE)+VLOOKUP(H31,PRESUPUESTOS!$C$12:$D$20,2,FALSE)+VLOOKUP(I31,PRESUPUESTOS!$C$12:$D$20,2,FALSE)))</f>
        <v>494206430</v>
      </c>
      <c r="K31" s="717"/>
      <c r="L31" s="717"/>
      <c r="M31" s="717"/>
      <c r="N31" s="717"/>
      <c r="O31" s="717"/>
      <c r="P31" s="718"/>
      <c r="Q31" s="48">
        <f ca="1">IF(LOOKUP(1,$C$14:$I$14,C31:I31)=1,PRESUPUESTOS!$D$13/SMACTUAL,0)</f>
        <v>342.54</v>
      </c>
      <c r="R31" s="49">
        <f ca="1">IF(LOOKUP(2,$C$14:$I$14,$C31:$I31)=2,PRESUPUESTOS!$D$14/SMACTUAL,0)</f>
        <v>254.25</v>
      </c>
      <c r="S31" s="48">
        <f>IF(LOOKUP(3,$C$14:$I$14,$C31:$I31)=3,PRESUPUESTOS!$D$16/SMACTUAL,0)</f>
        <v>0</v>
      </c>
      <c r="T31" s="47">
        <f>IF(LOOKUP(4,$C$14:$I$14,$C31:$I31)=4,PRESUPUESTOS!$D$17/SMACTUAL,0)</f>
        <v>0</v>
      </c>
      <c r="U31" s="49">
        <f>IF(LOOKUP(5,$C$14:$I$14,$C31:$I31)=5,PRESUPUESTOS!$D$18/SMACTUAL,0)</f>
        <v>0</v>
      </c>
      <c r="V31" s="49">
        <f>IF(LOOKUP(6,$C$14:$I$14,$C31:$I31)=6,PRESUPUESTOS!$D$19/SMACTUAL,0)</f>
        <v>0</v>
      </c>
      <c r="W31" s="49">
        <f>IF(LOOKUP(7,$C$14:$I$14,$C31:$I31)=7,PRESUPUESTOS!$D$20/SMACTUAL,0)</f>
        <v>0</v>
      </c>
      <c r="X31" s="297">
        <f t="shared" ca="1" si="3"/>
        <v>596.79</v>
      </c>
      <c r="Y31" s="50">
        <f t="shared" ca="1" si="5"/>
        <v>537.11</v>
      </c>
      <c r="AA31" s="303"/>
      <c r="AB31" s="303"/>
      <c r="AC31" s="304"/>
      <c r="AD31" s="301"/>
      <c r="AE31" s="304"/>
      <c r="AF31" s="304"/>
      <c r="AG31" s="304"/>
    </row>
    <row r="32" spans="1:33">
      <c r="A32" s="51">
        <f t="shared" si="4"/>
        <v>18</v>
      </c>
      <c r="B32" s="381" t="str">
        <f>PROPONENTES!D36</f>
        <v>JAMES ALBERTO KAMMERER JIMENEZ</v>
      </c>
      <c r="C32" s="642">
        <v>1</v>
      </c>
      <c r="D32" s="643">
        <v>2</v>
      </c>
      <c r="E32" s="643"/>
      <c r="F32" s="643"/>
      <c r="G32" s="643"/>
      <c r="H32" s="643"/>
      <c r="I32" s="643"/>
      <c r="J32" s="716">
        <f>IF(COUNT(C32:I32)=0,"",(VLOOKUP(C32,PRESUPUESTOS!$C$12:$D$20,2,FALSE)+VLOOKUP(D32,PRESUPUESTOS!$C$12:$D$20,2,FALSE)+VLOOKUP(E32,PRESUPUESTOS!$C$12:$D$20,2,FALSE)+VLOOKUP(F32,PRESUPUESTOS!$C$12:$D$20,2,FALSE)+VLOOKUP(G32,PRESUPUESTOS!$C$12:$D$20,2,FALSE)+VLOOKUP(H32,PRESUPUESTOS!$C$12:$D$20,2,FALSE)+VLOOKUP(I32,PRESUPUESTOS!$C$12:$D$20,2,FALSE)))</f>
        <v>494206430</v>
      </c>
      <c r="K32" s="717"/>
      <c r="L32" s="717"/>
      <c r="M32" s="717"/>
      <c r="N32" s="717"/>
      <c r="O32" s="717"/>
      <c r="P32" s="718"/>
      <c r="Q32" s="48">
        <f ca="1">IF(LOOKUP(1,$C$14:$I$14,C32:I32)=1,PRESUPUESTOS!$D$13/SMACTUAL,0)</f>
        <v>342.54</v>
      </c>
      <c r="R32" s="49">
        <f ca="1">IF(LOOKUP(2,$C$14:$I$14,$C32:$I32)=2,PRESUPUESTOS!$D$14/SMACTUAL,0)</f>
        <v>254.25</v>
      </c>
      <c r="S32" s="48">
        <f>IF(LOOKUP(3,$C$14:$I$14,$C32:$I32)=3,PRESUPUESTOS!$D$16/SMACTUAL,0)</f>
        <v>0</v>
      </c>
      <c r="T32" s="47">
        <f>IF(LOOKUP(4,$C$14:$I$14,$C32:$I32)=4,PRESUPUESTOS!$D$17/SMACTUAL,0)</f>
        <v>0</v>
      </c>
      <c r="U32" s="49">
        <f>IF(LOOKUP(5,$C$14:$I$14,$C32:$I32)=5,PRESUPUESTOS!$D$18/SMACTUAL,0)</f>
        <v>0</v>
      </c>
      <c r="V32" s="49">
        <f>IF(LOOKUP(6,$C$14:$I$14,$C32:$I32)=6,PRESUPUESTOS!$D$19/SMACTUAL,0)</f>
        <v>0</v>
      </c>
      <c r="W32" s="49">
        <f>IF(LOOKUP(7,$C$14:$I$14,$C32:$I32)=7,PRESUPUESTOS!$D$20/SMACTUAL,0)</f>
        <v>0</v>
      </c>
      <c r="X32" s="297">
        <f t="shared" ca="1" si="3"/>
        <v>596.79</v>
      </c>
      <c r="Y32" s="50">
        <f t="shared" ca="1" si="5"/>
        <v>537.11</v>
      </c>
      <c r="AA32" s="302"/>
      <c r="AB32" s="301"/>
      <c r="AD32" s="301"/>
    </row>
    <row r="33" spans="1:33">
      <c r="A33" s="51">
        <f t="shared" si="4"/>
        <v>19</v>
      </c>
      <c r="B33" s="381" t="str">
        <f>PROPONENTES!D37</f>
        <v>CONSORCIO LEOS</v>
      </c>
      <c r="C33" s="642">
        <v>1</v>
      </c>
      <c r="D33" s="643">
        <v>2</v>
      </c>
      <c r="E33" s="643"/>
      <c r="F33" s="640"/>
      <c r="G33" s="640"/>
      <c r="H33" s="640"/>
      <c r="I33" s="640"/>
      <c r="J33" s="716">
        <f>IF(COUNT(C33:I33)=0,"",(VLOOKUP(C33,PRESUPUESTOS!$C$12:$D$20,2,FALSE)+VLOOKUP(D33,PRESUPUESTOS!$C$12:$D$20,2,FALSE)+VLOOKUP(E33,PRESUPUESTOS!$C$12:$D$20,2,FALSE)+VLOOKUP(F33,PRESUPUESTOS!$C$12:$D$20,2,FALSE)+VLOOKUP(G33,PRESUPUESTOS!$C$12:$D$20,2,FALSE)+VLOOKUP(H33,PRESUPUESTOS!$C$12:$D$20,2,FALSE)+VLOOKUP(I33,PRESUPUESTOS!$C$12:$D$20,2,FALSE)))</f>
        <v>494206430</v>
      </c>
      <c r="K33" s="717"/>
      <c r="L33" s="717"/>
      <c r="M33" s="717"/>
      <c r="N33" s="717"/>
      <c r="O33" s="717"/>
      <c r="P33" s="718"/>
      <c r="Q33" s="48">
        <f ca="1">IF(LOOKUP(1,$C$14:$I$14,C33:I33)=1,PRESUPUESTOS!$D$13/SMACTUAL,0)</f>
        <v>342.54</v>
      </c>
      <c r="R33" s="49">
        <f ca="1">IF(LOOKUP(2,$C$14:$I$14,$C33:$I33)=2,PRESUPUESTOS!$D$14/SMACTUAL,0)</f>
        <v>254.25</v>
      </c>
      <c r="S33" s="48">
        <f>IF(LOOKUP(3,$C$14:$I$14,$C33:$I33)=3,PRESUPUESTOS!$D$16/SMACTUAL,0)</f>
        <v>0</v>
      </c>
      <c r="T33" s="47">
        <f>IF(LOOKUP(4,$C$14:$I$14,$C33:$I33)=4,PRESUPUESTOS!$D$17/SMACTUAL,0)</f>
        <v>0</v>
      </c>
      <c r="U33" s="49">
        <f>IF(LOOKUP(5,$C$14:$I$14,$C33:$I33)=5,PRESUPUESTOS!$D$18/SMACTUAL,0)</f>
        <v>0</v>
      </c>
      <c r="V33" s="49">
        <f>IF(LOOKUP(6,$C$14:$I$14,$C33:$I33)=6,PRESUPUESTOS!$D$19/SMACTUAL,0)</f>
        <v>0</v>
      </c>
      <c r="W33" s="49">
        <f>IF(LOOKUP(7,$C$14:$I$14,$C33:$I33)=7,PRESUPUESTOS!$D$20/SMACTUAL,0)</f>
        <v>0</v>
      </c>
      <c r="X33" s="297">
        <f t="shared" ca="1" si="3"/>
        <v>596.79</v>
      </c>
      <c r="Y33" s="50">
        <f t="shared" ca="1" si="5"/>
        <v>537.11</v>
      </c>
      <c r="AA33" s="302"/>
      <c r="AD33" s="301"/>
    </row>
    <row r="34" spans="1:33">
      <c r="A34" s="51">
        <f t="shared" si="4"/>
        <v>20</v>
      </c>
      <c r="B34" s="381" t="str">
        <f>PROPONENTES!D38</f>
        <v>ut admon vial 2019 santander</v>
      </c>
      <c r="C34" s="642">
        <v>1</v>
      </c>
      <c r="D34" s="643">
        <v>2</v>
      </c>
      <c r="E34" s="643"/>
      <c r="F34" s="640"/>
      <c r="G34" s="640"/>
      <c r="H34" s="640"/>
      <c r="I34" s="640"/>
      <c r="J34" s="716">
        <f>IF(COUNT(C34:I34)=0,"",(VLOOKUP(C34,PRESUPUESTOS!$C$12:$D$20,2,FALSE)+VLOOKUP(D34,PRESUPUESTOS!$C$12:$D$20,2,FALSE)+VLOOKUP(E34,PRESUPUESTOS!$C$12:$D$20,2,FALSE)+VLOOKUP(F34,PRESUPUESTOS!$C$12:$D$20,2,FALSE)+VLOOKUP(G34,PRESUPUESTOS!$C$12:$D$20,2,FALSE)+VLOOKUP(H34,PRESUPUESTOS!$C$12:$D$20,2,FALSE)+VLOOKUP(I34,PRESUPUESTOS!$C$12:$D$20,2,FALSE)))</f>
        <v>494206430</v>
      </c>
      <c r="K34" s="717"/>
      <c r="L34" s="717"/>
      <c r="M34" s="717"/>
      <c r="N34" s="717"/>
      <c r="O34" s="717"/>
      <c r="P34" s="718"/>
      <c r="Q34" s="48">
        <f ca="1">IF(LOOKUP(1,$C$14:$I$14,C34:I34)=1,PRESUPUESTOS!$D$13/SMACTUAL,0)</f>
        <v>342.54</v>
      </c>
      <c r="R34" s="49">
        <f ca="1">IF(LOOKUP(2,$C$14:$I$14,$C34:$I34)=2,PRESUPUESTOS!$D$14/SMACTUAL,0)</f>
        <v>254.25</v>
      </c>
      <c r="S34" s="48">
        <f>IF(LOOKUP(3,$C$14:$I$14,$C34:$I34)=3,PRESUPUESTOS!$D$16/SMACTUAL,0)</f>
        <v>0</v>
      </c>
      <c r="T34" s="47">
        <f>IF(LOOKUP(4,$C$14:$I$14,$C34:$I34)=4,PRESUPUESTOS!$D$17/SMACTUAL,0)</f>
        <v>0</v>
      </c>
      <c r="U34" s="49">
        <f>IF(LOOKUP(5,$C$14:$I$14,$C34:$I34)=5,PRESUPUESTOS!$D$18/SMACTUAL,0)</f>
        <v>0</v>
      </c>
      <c r="V34" s="49">
        <f>IF(LOOKUP(6,$C$14:$I$14,$C34:$I34)=6,PRESUPUESTOS!$D$19/SMACTUAL,0)</f>
        <v>0</v>
      </c>
      <c r="W34" s="49">
        <f>IF(LOOKUP(7,$C$14:$I$14,$C34:$I34)=7,PRESUPUESTOS!$D$20/SMACTUAL,0)</f>
        <v>0</v>
      </c>
      <c r="X34" s="297">
        <f t="shared" ca="1" si="3"/>
        <v>596.79</v>
      </c>
      <c r="Y34" s="50">
        <f t="shared" ca="1" si="5"/>
        <v>537.11</v>
      </c>
      <c r="AA34" s="302"/>
      <c r="AB34" s="302"/>
      <c r="AD34" s="301"/>
    </row>
    <row r="35" spans="1:33">
      <c r="A35" s="51">
        <f>IF(B35&lt;&gt;0,A34+1,)</f>
        <v>21</v>
      </c>
      <c r="B35" s="381" t="str">
        <f>PROPONENTES!D39</f>
        <v>CONSORCIO ADMINISTRACION OPS</v>
      </c>
      <c r="C35" s="637">
        <v>1</v>
      </c>
      <c r="D35" s="643">
        <v>2</v>
      </c>
      <c r="E35" s="638"/>
      <c r="F35" s="638"/>
      <c r="G35" s="638"/>
      <c r="H35" s="638"/>
      <c r="I35" s="638"/>
      <c r="J35" s="716">
        <f>IF(COUNT(C35:I35)=0,"",(VLOOKUP(C35,PRESUPUESTOS!$C$12:$D$20,2,FALSE)+VLOOKUP(D35,PRESUPUESTOS!$C$12:$D$20,2,FALSE)+VLOOKUP(E35,PRESUPUESTOS!$C$12:$D$20,2,FALSE)+VLOOKUP(F35,PRESUPUESTOS!$C$12:$D$20,2,FALSE)+VLOOKUP(G35,PRESUPUESTOS!$C$12:$D$20,2,FALSE)+VLOOKUP(H35,PRESUPUESTOS!$C$12:$D$20,2,FALSE)+VLOOKUP(I35,PRESUPUESTOS!$C$12:$D$20,2,FALSE)))</f>
        <v>494206430</v>
      </c>
      <c r="K35" s="717"/>
      <c r="L35" s="717"/>
      <c r="M35" s="717"/>
      <c r="N35" s="717"/>
      <c r="O35" s="717"/>
      <c r="P35" s="718"/>
      <c r="Q35" s="48">
        <f ca="1">IF(LOOKUP(1,$C$14:$I$14,$C35:$I35)=1,PRESUPUESTOS!$D$13/SMACTUAL,0)</f>
        <v>342.54</v>
      </c>
      <c r="R35" s="49">
        <f ca="1">IF(LOOKUP(2,$C$14:$I$14,$C35:$I35)=2,PRESUPUESTOS!$D$14/SMACTUAL,0)</f>
        <v>254.25</v>
      </c>
      <c r="S35" s="48">
        <f>IF(LOOKUP(3,$C$14:$I$14,$C35:$I35)=3,PRESUPUESTOS!$D$16/SMACTUAL,0)</f>
        <v>0</v>
      </c>
      <c r="T35" s="47">
        <f>IF(LOOKUP(4,$C$14:$I$14,$C35:$I35)=4,PRESUPUESTOS!$D$17/SMACTUAL,0)</f>
        <v>0</v>
      </c>
      <c r="U35" s="49">
        <f>IF(LOOKUP(5,$C$14:$I$14,$C35:$I35)=5,PRESUPUESTOS!$D$18/SMACTUAL,0)</f>
        <v>0</v>
      </c>
      <c r="V35" s="49">
        <f>IF(LOOKUP(6,$C$14:$I$14,$C35:$I35)=6,PRESUPUESTOS!$D$19/SMACTUAL,0)</f>
        <v>0</v>
      </c>
      <c r="W35" s="49">
        <f>IF(LOOKUP(7,$C$14:$I$14,$C35:$I35)=7,PRESUPUESTOS!$D$20/SMACTUAL,0)</f>
        <v>0</v>
      </c>
      <c r="X35" s="297">
        <f t="shared" ca="1" si="3"/>
        <v>596.79</v>
      </c>
      <c r="Y35" s="50">
        <f ca="1">IF(COUNT(C35:I35)=1,X35*1,IF(COUNT(C35:I35)=2,X35*0.9,IF(COUNT(C35:I35)=3,X35*0.7,IF(COUNT(C35:I35)=4,X35*0.6,IF(COUNT(C35:I35)=5,X35*0.5,IF(COUNT(C35:I35)=6,X35*0.45,IF(COUNT(C35:I35)=7,X35*0.4,"NO")))))))</f>
        <v>537.11</v>
      </c>
      <c r="AA35" s="286"/>
      <c r="AB35" s="287"/>
      <c r="AC35" s="301"/>
      <c r="AD35" s="301"/>
    </row>
    <row r="36" spans="1:33">
      <c r="A36" s="51">
        <f t="shared" ref="A36:A44" si="6">IF(B36&lt;&gt;0,A35+1,)</f>
        <v>22</v>
      </c>
      <c r="B36" s="381" t="str">
        <f>PROPONENTES!D40</f>
        <v>CONSORCIO C&amp;C</v>
      </c>
      <c r="C36" s="639">
        <v>1</v>
      </c>
      <c r="D36" s="643">
        <v>2</v>
      </c>
      <c r="E36" s="640"/>
      <c r="F36" s="640"/>
      <c r="G36" s="640"/>
      <c r="H36" s="640"/>
      <c r="I36" s="640"/>
      <c r="J36" s="716">
        <f>IF(COUNT(C36:I36)=0,"",(VLOOKUP(C36,PRESUPUESTOS!$C$12:$D$20,2,FALSE)+VLOOKUP(D36,PRESUPUESTOS!$C$12:$D$20,2,FALSE)+VLOOKUP(E36,PRESUPUESTOS!$C$12:$D$20,2,FALSE)+VLOOKUP(F36,PRESUPUESTOS!$C$12:$D$20,2,FALSE)+VLOOKUP(G36,PRESUPUESTOS!$C$12:$D$20,2,FALSE)+VLOOKUP(H36,PRESUPUESTOS!$C$12:$D$20,2,FALSE)+VLOOKUP(I36,PRESUPUESTOS!$C$12:$D$20,2,FALSE)))</f>
        <v>494206430</v>
      </c>
      <c r="K36" s="717"/>
      <c r="L36" s="717"/>
      <c r="M36" s="717"/>
      <c r="N36" s="717"/>
      <c r="O36" s="717"/>
      <c r="P36" s="718"/>
      <c r="Q36" s="48">
        <f ca="1">IF(LOOKUP(1,$C$14:$I$14,C36:I36)=1,PRESUPUESTOS!$D$13/SMACTUAL,0)</f>
        <v>342.54</v>
      </c>
      <c r="R36" s="49">
        <f ca="1">IF(LOOKUP(2,$C$14:$I$14,$C36:$I36)=2,PRESUPUESTOS!$D$14/SMACTUAL,0)</f>
        <v>254.25</v>
      </c>
      <c r="S36" s="48">
        <f>IF(LOOKUP(3,$C$14:$I$14,$C36:$I36)=3,PRESUPUESTOS!$D$16/SMACTUAL,0)</f>
        <v>0</v>
      </c>
      <c r="T36" s="47">
        <f>IF(LOOKUP(4,$C$14:$I$14,$C36:$I36)=4,PRESUPUESTOS!$D$17/SMACTUAL,0)</f>
        <v>0</v>
      </c>
      <c r="U36" s="49">
        <f>IF(LOOKUP(5,$C$14:$I$14,$C36:$I36)=5,PRESUPUESTOS!$D$18/SMACTUAL,0)</f>
        <v>0</v>
      </c>
      <c r="V36" s="49">
        <f>IF(LOOKUP(6,$C$14:$I$14,$C36:$I36)=6,PRESUPUESTOS!$D$19/SMACTUAL,0)</f>
        <v>0</v>
      </c>
      <c r="W36" s="49">
        <f>IF(LOOKUP(7,$C$14:$I$14,$C36:$I36)=7,PRESUPUESTOS!$D$20/SMACTUAL,0)</f>
        <v>0</v>
      </c>
      <c r="X36" s="297">
        <f t="shared" ca="1" si="3"/>
        <v>596.79</v>
      </c>
      <c r="Y36" s="50">
        <f t="shared" ref="Y36:Y44" ca="1" si="7">IF(COUNT(C36:I36)=1,X36*1,IF(COUNT(C36:I36)=2,X36*0.9,IF(COUNT(C36:I36)=3,X36*0.7,IF(COUNT(C36:I36)=4,X36*0.6,IF(COUNT(C36:I36)=5,X36*0.5,"NO")))))</f>
        <v>537.11</v>
      </c>
      <c r="AA36" s="286"/>
      <c r="AB36" s="287"/>
      <c r="AD36" s="301"/>
    </row>
    <row r="37" spans="1:33">
      <c r="A37" s="51">
        <f t="shared" si="6"/>
        <v>23</v>
      </c>
      <c r="B37" s="381" t="str">
        <f>PROPONENTES!D41</f>
        <v>NELSON FREDY ARDILA GELVEZ</v>
      </c>
      <c r="C37" s="639">
        <v>1</v>
      </c>
      <c r="D37" s="643">
        <v>2</v>
      </c>
      <c r="E37" s="640"/>
      <c r="F37" s="640"/>
      <c r="G37" s="640"/>
      <c r="H37" s="640"/>
      <c r="I37" s="640"/>
      <c r="J37" s="716">
        <f>IF(COUNT(C37:I37)=0,"",(VLOOKUP(C37,PRESUPUESTOS!$C$12:$D$20,2,FALSE)+VLOOKUP(D37,PRESUPUESTOS!$C$12:$D$20,2,FALSE)+VLOOKUP(E37,PRESUPUESTOS!$C$12:$D$20,2,FALSE)+VLOOKUP(F37,PRESUPUESTOS!$C$12:$D$20,2,FALSE)+VLOOKUP(G37,PRESUPUESTOS!$C$12:$D$20,2,FALSE)+VLOOKUP(H37,PRESUPUESTOS!$C$12:$D$20,2,FALSE)+VLOOKUP(I37,PRESUPUESTOS!$C$12:$D$20,2,FALSE)))</f>
        <v>494206430</v>
      </c>
      <c r="K37" s="717"/>
      <c r="L37" s="717"/>
      <c r="M37" s="717"/>
      <c r="N37" s="717"/>
      <c r="O37" s="717"/>
      <c r="P37" s="718"/>
      <c r="Q37" s="48">
        <f ca="1">IF(LOOKUP(1,$C$14:$I$14,C37:I37)=1,PRESUPUESTOS!$D$13/SMACTUAL,0)</f>
        <v>342.54</v>
      </c>
      <c r="R37" s="49">
        <f ca="1">IF(LOOKUP(2,$C$14:$I$14,$C37:$I37)=2,PRESUPUESTOS!$D$14/SMACTUAL,0)</f>
        <v>254.25</v>
      </c>
      <c r="S37" s="48">
        <f>IF(LOOKUP(3,$C$14:$I$14,$C37:$I37)=3,PRESUPUESTOS!$D$16/SMACTUAL,0)</f>
        <v>0</v>
      </c>
      <c r="T37" s="47">
        <f>IF(LOOKUP(4,$C$14:$I$14,$C37:$I37)=4,PRESUPUESTOS!$D$17/SMACTUAL,0)</f>
        <v>0</v>
      </c>
      <c r="U37" s="49">
        <f>IF(LOOKUP(5,$C$14:$I$14,$C37:$I37)=5,PRESUPUESTOS!$D$18/SMACTUAL,0)</f>
        <v>0</v>
      </c>
      <c r="V37" s="49">
        <f>IF(LOOKUP(6,$C$14:$I$14,$C37:$I37)=6,PRESUPUESTOS!$D$19/SMACTUAL,0)</f>
        <v>0</v>
      </c>
      <c r="W37" s="49">
        <f>IF(LOOKUP(7,$C$14:$I$14,$C37:$I37)=7,PRESUPUESTOS!$D$20/SMACTUAL,0)</f>
        <v>0</v>
      </c>
      <c r="X37" s="297">
        <f t="shared" ca="1" si="3"/>
        <v>596.79</v>
      </c>
      <c r="Y37" s="50">
        <f t="shared" ca="1" si="7"/>
        <v>537.11</v>
      </c>
      <c r="AA37" s="286"/>
      <c r="AB37" s="287"/>
      <c r="AD37" s="301"/>
    </row>
    <row r="38" spans="1:33">
      <c r="A38" s="51">
        <f t="shared" si="6"/>
        <v>24</v>
      </c>
      <c r="B38" s="381" t="str">
        <f>PROPONENTES!D42</f>
        <v>CONSORCIO TERRA 100</v>
      </c>
      <c r="C38" s="639">
        <v>1</v>
      </c>
      <c r="D38" s="640"/>
      <c r="E38" s="640"/>
      <c r="F38" s="640"/>
      <c r="G38" s="640"/>
      <c r="H38" s="640"/>
      <c r="I38" s="640"/>
      <c r="J38" s="716">
        <f>IF(COUNT(C38:I38)=0,"",(VLOOKUP(C38,PRESUPUESTOS!$C$12:$D$20,2,FALSE)+VLOOKUP(D38,PRESUPUESTOS!$C$12:$D$20,2,FALSE)+VLOOKUP(E38,PRESUPUESTOS!$C$12:$D$20,2,FALSE)+VLOOKUP(F38,PRESUPUESTOS!$C$12:$D$20,2,FALSE)+VLOOKUP(G38,PRESUPUESTOS!$C$12:$D$20,2,FALSE)+VLOOKUP(H38,PRESUPUESTOS!$C$12:$D$20,2,FALSE)+VLOOKUP(I38,PRESUPUESTOS!$C$12:$D$20,2,FALSE)))</f>
        <v>283659428</v>
      </c>
      <c r="K38" s="717"/>
      <c r="L38" s="717"/>
      <c r="M38" s="717"/>
      <c r="N38" s="717"/>
      <c r="O38" s="717"/>
      <c r="P38" s="718"/>
      <c r="Q38" s="48">
        <f ca="1">IF(LOOKUP(1,$C$14:$I$14,C38:I38)=1,PRESUPUESTOS!$D$13/SMACTUAL,0)</f>
        <v>342.54</v>
      </c>
      <c r="R38" s="49">
        <f>IF(LOOKUP(2,$C$14:$I$14,$C38:$I38)=2,PRESUPUESTOS!$D$14/SMACTUAL,0)</f>
        <v>0</v>
      </c>
      <c r="S38" s="48">
        <f>IF(LOOKUP(3,$C$14:$I$14,$C38:$I38)=3,PRESUPUESTOS!$D$16/SMACTUAL,0)</f>
        <v>0</v>
      </c>
      <c r="T38" s="47">
        <f>IF(LOOKUP(4,$C$14:$I$14,$C38:$I38)=4,PRESUPUESTOS!$D$17/SMACTUAL,0)</f>
        <v>0</v>
      </c>
      <c r="U38" s="49">
        <f>IF(LOOKUP(5,$C$14:$I$14,$C38:$I38)=5,PRESUPUESTOS!$D$18/SMACTUAL,0)</f>
        <v>0</v>
      </c>
      <c r="V38" s="49">
        <f>IF(LOOKUP(6,$C$14:$I$14,$C38:$I38)=6,PRESUPUESTOS!$D$19/SMACTUAL,0)</f>
        <v>0</v>
      </c>
      <c r="W38" s="49">
        <f>IF(LOOKUP(7,$C$14:$I$14,$C38:$I38)=7,PRESUPUESTOS!$D$20/SMACTUAL,0)</f>
        <v>0</v>
      </c>
      <c r="X38" s="297">
        <f t="shared" ca="1" si="3"/>
        <v>342.54</v>
      </c>
      <c r="Y38" s="50">
        <f t="shared" ca="1" si="7"/>
        <v>342.54</v>
      </c>
      <c r="AA38" s="286"/>
      <c r="AB38" s="287"/>
      <c r="AD38" s="301"/>
    </row>
    <row r="39" spans="1:33">
      <c r="A39" s="51">
        <f t="shared" si="6"/>
        <v>25</v>
      </c>
      <c r="B39" s="381" t="str">
        <f>PROPONENTES!D43</f>
        <v>CONSORCIO ROCA</v>
      </c>
      <c r="C39" s="639">
        <v>1</v>
      </c>
      <c r="D39" s="640">
        <v>2</v>
      </c>
      <c r="E39" s="640"/>
      <c r="F39" s="640"/>
      <c r="G39" s="640"/>
      <c r="H39" s="640"/>
      <c r="I39" s="640"/>
      <c r="J39" s="716">
        <f>IF(COUNT(C39:I39)=0,"",(VLOOKUP(C39,PRESUPUESTOS!$C$12:$D$20,2,FALSE)+VLOOKUP(D39,PRESUPUESTOS!$C$12:$D$20,2,FALSE)+VLOOKUP(E39,PRESUPUESTOS!$C$12:$D$20,2,FALSE)+VLOOKUP(F39,PRESUPUESTOS!$C$12:$D$20,2,FALSE)+VLOOKUP(G39,PRESUPUESTOS!$C$12:$D$20,2,FALSE)+VLOOKUP(H39,PRESUPUESTOS!$C$12:$D$20,2,FALSE)+VLOOKUP(I39,PRESUPUESTOS!$C$12:$D$20,2,FALSE)))</f>
        <v>494206430</v>
      </c>
      <c r="K39" s="717"/>
      <c r="L39" s="717"/>
      <c r="M39" s="717"/>
      <c r="N39" s="717"/>
      <c r="O39" s="717"/>
      <c r="P39" s="718"/>
      <c r="Q39" s="48">
        <f ca="1">IF(LOOKUP(1,$C$14:$I$14,C39:I39)=1,PRESUPUESTOS!$D$13/SMACTUAL,0)</f>
        <v>342.54</v>
      </c>
      <c r="R39" s="49">
        <f ca="1">IF(LOOKUP(2,$C$14:$I$14,$C39:$I39)=2,PRESUPUESTOS!$D$14/SMACTUAL,0)</f>
        <v>254.25</v>
      </c>
      <c r="S39" s="48">
        <f>IF(LOOKUP(3,$C$14:$I$14,$C39:$I39)=3,PRESUPUESTOS!$D$16/SMACTUAL,0)</f>
        <v>0</v>
      </c>
      <c r="T39" s="47">
        <f>IF(LOOKUP(4,$C$14:$I$14,$C39:$I39)=4,PRESUPUESTOS!$D$17/SMACTUAL,0)</f>
        <v>0</v>
      </c>
      <c r="U39" s="49">
        <f>IF(LOOKUP(5,$C$14:$I$14,$C39:$I39)=5,PRESUPUESTOS!$D$18/SMACTUAL,0)</f>
        <v>0</v>
      </c>
      <c r="V39" s="49">
        <f>IF(LOOKUP(6,$C$14:$I$14,$C39:$I39)=6,PRESUPUESTOS!$D$19/SMACTUAL,0)</f>
        <v>0</v>
      </c>
      <c r="W39" s="49">
        <f>IF(LOOKUP(7,$C$14:$I$14,$C39:$I39)=7,PRESUPUESTOS!$D$20/SMACTUAL,0)</f>
        <v>0</v>
      </c>
      <c r="X39" s="297">
        <f t="shared" ca="1" si="3"/>
        <v>596.79</v>
      </c>
      <c r="Y39" s="50">
        <f t="shared" ca="1" si="7"/>
        <v>537.11</v>
      </c>
      <c r="AA39" s="302"/>
      <c r="AB39" s="301"/>
      <c r="AD39" s="301"/>
    </row>
    <row r="40" spans="1:33">
      <c r="A40" s="51">
        <f t="shared" si="6"/>
        <v>26</v>
      </c>
      <c r="B40" s="381" t="str">
        <f>PROPONENTES!D44</f>
        <v> CONSORCIO INTERADMIVIAL - SANTANDER</v>
      </c>
      <c r="C40" s="639">
        <v>1</v>
      </c>
      <c r="D40" s="640">
        <v>2</v>
      </c>
      <c r="E40" s="640"/>
      <c r="F40" s="640"/>
      <c r="G40" s="640"/>
      <c r="H40" s="640"/>
      <c r="I40" s="640"/>
      <c r="J40" s="716">
        <f>IF(COUNT(C40:I40)=0,"",(VLOOKUP(C40,PRESUPUESTOS!$C$12:$D$20,2,FALSE)+VLOOKUP(D40,PRESUPUESTOS!$C$12:$D$20,2,FALSE)+VLOOKUP(E40,PRESUPUESTOS!$C$12:$D$20,2,FALSE)+VLOOKUP(F40,PRESUPUESTOS!$C$12:$D$20,2,FALSE)+VLOOKUP(G40,PRESUPUESTOS!$C$12:$D$20,2,FALSE)+VLOOKUP(H40,PRESUPUESTOS!$C$12:$D$20,2,FALSE)+VLOOKUP(I40,PRESUPUESTOS!$C$12:$D$20,2,FALSE)))</f>
        <v>494206430</v>
      </c>
      <c r="K40" s="717"/>
      <c r="L40" s="717"/>
      <c r="M40" s="717"/>
      <c r="N40" s="717"/>
      <c r="O40" s="717"/>
      <c r="P40" s="718"/>
      <c r="Q40" s="48">
        <f ca="1">IF(LOOKUP(1,$C$14:$I$14,C40:I40)=1,PRESUPUESTOS!$D$13/SMACTUAL,0)</f>
        <v>342.54</v>
      </c>
      <c r="R40" s="49">
        <f ca="1">IF(LOOKUP(2,$C$14:$I$14,$C40:$I40)=2,PRESUPUESTOS!$D$14/SMACTUAL,0)</f>
        <v>254.25</v>
      </c>
      <c r="S40" s="48">
        <f>IF(LOOKUP(3,$C$14:$I$14,$C40:$I40)=3,PRESUPUESTOS!$D$16/SMACTUAL,0)</f>
        <v>0</v>
      </c>
      <c r="T40" s="47">
        <f>IF(LOOKUP(4,$C$14:$I$14,$C40:$I40)=4,PRESUPUESTOS!$D$17/SMACTUAL,0)</f>
        <v>0</v>
      </c>
      <c r="U40" s="49">
        <f>IF(LOOKUP(5,$C$14:$I$14,$C40:$I40)=5,PRESUPUESTOS!$D$18/SMACTUAL,0)</f>
        <v>0</v>
      </c>
      <c r="V40" s="49">
        <f>IF(LOOKUP(6,$C$14:$I$14,$C40:$I40)=6,PRESUPUESTOS!$D$19/SMACTUAL,0)</f>
        <v>0</v>
      </c>
      <c r="W40" s="49">
        <f>IF(LOOKUP(7,$C$14:$I$14,$C40:$I40)=7,PRESUPUESTOS!$D$20/SMACTUAL,0)</f>
        <v>0</v>
      </c>
      <c r="X40" s="297">
        <f t="shared" ca="1" si="3"/>
        <v>596.79</v>
      </c>
      <c r="Y40" s="50">
        <f t="shared" ca="1" si="7"/>
        <v>537.11</v>
      </c>
      <c r="AA40" s="302"/>
      <c r="AD40" s="301"/>
    </row>
    <row r="41" spans="1:33" s="52" customFormat="1">
      <c r="A41" s="51">
        <f t="shared" si="6"/>
        <v>27</v>
      </c>
      <c r="B41" s="381" t="str">
        <f>PROPONENTES!D45</f>
        <v>CONSORCIO CAR-JASB</v>
      </c>
      <c r="C41" s="639">
        <v>1</v>
      </c>
      <c r="D41" s="641">
        <v>2</v>
      </c>
      <c r="E41" s="641"/>
      <c r="F41" s="641"/>
      <c r="G41" s="641"/>
      <c r="H41" s="641"/>
      <c r="I41" s="641"/>
      <c r="J41" s="716">
        <f>IF(COUNT(C41:I41)=0,"",(VLOOKUP(C41,PRESUPUESTOS!$C$12:$D$20,2,FALSE)+VLOOKUP(D41,PRESUPUESTOS!$C$12:$D$20,2,FALSE)+VLOOKUP(E41,PRESUPUESTOS!$C$12:$D$20,2,FALSE)+VLOOKUP(F41,PRESUPUESTOS!$C$12:$D$20,2,FALSE)+VLOOKUP(G41,PRESUPUESTOS!$C$12:$D$20,2,FALSE)+VLOOKUP(H41,PRESUPUESTOS!$C$12:$D$20,2,FALSE)+VLOOKUP(I41,PRESUPUESTOS!$C$12:$D$20,2,FALSE)))</f>
        <v>494206430</v>
      </c>
      <c r="K41" s="717"/>
      <c r="L41" s="717"/>
      <c r="M41" s="717"/>
      <c r="N41" s="717"/>
      <c r="O41" s="717"/>
      <c r="P41" s="718"/>
      <c r="Q41" s="48">
        <f ca="1">IF(LOOKUP(1,$C$14:$I$14,C41:I41)=1,PRESUPUESTOS!$D$13/SMACTUAL,0)</f>
        <v>342.54</v>
      </c>
      <c r="R41" s="49">
        <f ca="1">IF(LOOKUP(2,$C$14:$I$14,$C41:$I41)=2,PRESUPUESTOS!$D$14/SMACTUAL,0)</f>
        <v>254.25</v>
      </c>
      <c r="S41" s="48">
        <f>IF(LOOKUP(3,$C$14:$I$14,$C41:$I41)=3,PRESUPUESTOS!$D$16/SMACTUAL,0)</f>
        <v>0</v>
      </c>
      <c r="T41" s="47">
        <f>IF(LOOKUP(4,$C$14:$I$14,$C41:$I41)=4,PRESUPUESTOS!$D$17/SMACTUAL,0)</f>
        <v>0</v>
      </c>
      <c r="U41" s="49">
        <f>IF(LOOKUP(5,$C$14:$I$14,$C41:$I41)=5,PRESUPUESTOS!$D$18/SMACTUAL,0)</f>
        <v>0</v>
      </c>
      <c r="V41" s="49">
        <f>IF(LOOKUP(6,$C$14:$I$14,$C41:$I41)=6,PRESUPUESTOS!$D$19/SMACTUAL,0)</f>
        <v>0</v>
      </c>
      <c r="W41" s="49">
        <f>IF(LOOKUP(7,$C$14:$I$14,$C41:$I41)=7,PRESUPUESTOS!$D$20/SMACTUAL,0)</f>
        <v>0</v>
      </c>
      <c r="X41" s="297">
        <f t="shared" ca="1" si="3"/>
        <v>596.79</v>
      </c>
      <c r="Y41" s="50">
        <f t="shared" ca="1" si="7"/>
        <v>537.11</v>
      </c>
      <c r="AA41" s="303"/>
      <c r="AB41" s="303"/>
      <c r="AC41" s="304"/>
      <c r="AD41" s="301"/>
      <c r="AE41" s="304"/>
      <c r="AF41" s="304"/>
      <c r="AG41" s="304"/>
    </row>
    <row r="42" spans="1:33">
      <c r="A42" s="51">
        <f t="shared" si="6"/>
        <v>28</v>
      </c>
      <c r="B42" s="381" t="str">
        <f>PROPONENTES!D46</f>
        <v>CONSORCIO CJD</v>
      </c>
      <c r="C42" s="642">
        <v>1</v>
      </c>
      <c r="D42" s="643">
        <v>2</v>
      </c>
      <c r="E42" s="643"/>
      <c r="F42" s="643"/>
      <c r="G42" s="643"/>
      <c r="H42" s="643"/>
      <c r="I42" s="643"/>
      <c r="J42" s="716">
        <f>IF(COUNT(C42:I42)=0,"",(VLOOKUP(C42,PRESUPUESTOS!$C$12:$D$20,2,FALSE)+VLOOKUP(D42,PRESUPUESTOS!$C$12:$D$20,2,FALSE)+VLOOKUP(E42,PRESUPUESTOS!$C$12:$D$20,2,FALSE)+VLOOKUP(F42,PRESUPUESTOS!$C$12:$D$20,2,FALSE)+VLOOKUP(G42,PRESUPUESTOS!$C$12:$D$20,2,FALSE)+VLOOKUP(H42,PRESUPUESTOS!$C$12:$D$20,2,FALSE)+VLOOKUP(I42,PRESUPUESTOS!$C$12:$D$20,2,FALSE)))</f>
        <v>494206430</v>
      </c>
      <c r="K42" s="717"/>
      <c r="L42" s="717"/>
      <c r="M42" s="717"/>
      <c r="N42" s="717"/>
      <c r="O42" s="717"/>
      <c r="P42" s="718"/>
      <c r="Q42" s="48">
        <f ca="1">IF(LOOKUP(1,$C$14:$I$14,C42:I42)=1,PRESUPUESTOS!$D$13/SMACTUAL,0)</f>
        <v>342.54</v>
      </c>
      <c r="R42" s="49">
        <f ca="1">IF(LOOKUP(2,$C$14:$I$14,$C42:$I42)=2,PRESUPUESTOS!$D$14/SMACTUAL,0)</f>
        <v>254.25</v>
      </c>
      <c r="S42" s="48">
        <f>IF(LOOKUP(3,$C$14:$I$14,$C42:$I42)=3,PRESUPUESTOS!$D$16/SMACTUAL,0)</f>
        <v>0</v>
      </c>
      <c r="T42" s="47">
        <f>IF(LOOKUP(4,$C$14:$I$14,$C42:$I42)=4,PRESUPUESTOS!$D$17/SMACTUAL,0)</f>
        <v>0</v>
      </c>
      <c r="U42" s="49">
        <f>IF(LOOKUP(5,$C$14:$I$14,$C42:$I42)=5,PRESUPUESTOS!$D$18/SMACTUAL,0)</f>
        <v>0</v>
      </c>
      <c r="V42" s="49">
        <f>IF(LOOKUP(6,$C$14:$I$14,$C42:$I42)=6,PRESUPUESTOS!$D$19/SMACTUAL,0)</f>
        <v>0</v>
      </c>
      <c r="W42" s="49">
        <f>IF(LOOKUP(7,$C$14:$I$14,$C42:$I42)=7,PRESUPUESTOS!$D$20/SMACTUAL,0)</f>
        <v>0</v>
      </c>
      <c r="X42" s="297">
        <f t="shared" ca="1" si="3"/>
        <v>596.79</v>
      </c>
      <c r="Y42" s="50">
        <f t="shared" ca="1" si="7"/>
        <v>537.11</v>
      </c>
      <c r="AA42" s="302"/>
      <c r="AB42" s="301"/>
      <c r="AD42" s="301"/>
    </row>
    <row r="43" spans="1:33">
      <c r="A43" s="51">
        <f t="shared" si="6"/>
        <v>29</v>
      </c>
      <c r="B43" s="381" t="str">
        <f>PROPONENTES!D47</f>
        <v>GUILLERMO ALFONSO MEDINA ACEVEDO</v>
      </c>
      <c r="C43" s="642">
        <v>1</v>
      </c>
      <c r="D43" s="643">
        <v>2</v>
      </c>
      <c r="E43" s="643"/>
      <c r="F43" s="640"/>
      <c r="G43" s="640"/>
      <c r="H43" s="640"/>
      <c r="I43" s="640"/>
      <c r="J43" s="716">
        <f>IF(COUNT(C43:I43)=0,"",(VLOOKUP(C43,PRESUPUESTOS!$C$12:$D$20,2,FALSE)+VLOOKUP(D43,PRESUPUESTOS!$C$12:$D$20,2,FALSE)+VLOOKUP(E43,PRESUPUESTOS!$C$12:$D$20,2,FALSE)+VLOOKUP(F43,PRESUPUESTOS!$C$12:$D$20,2,FALSE)+VLOOKUP(G43,PRESUPUESTOS!$C$12:$D$20,2,FALSE)+VLOOKUP(H43,PRESUPUESTOS!$C$12:$D$20,2,FALSE)+VLOOKUP(I43,PRESUPUESTOS!$C$12:$D$20,2,FALSE)))</f>
        <v>494206430</v>
      </c>
      <c r="K43" s="717"/>
      <c r="L43" s="717"/>
      <c r="M43" s="717"/>
      <c r="N43" s="717"/>
      <c r="O43" s="717"/>
      <c r="P43" s="718"/>
      <c r="Q43" s="48">
        <f ca="1">IF(LOOKUP(1,$C$14:$I$14,C43:I43)=1,PRESUPUESTOS!$D$13/SMACTUAL,0)</f>
        <v>342.54</v>
      </c>
      <c r="R43" s="49">
        <f ca="1">IF(LOOKUP(2,$C$14:$I$14,$C43:$I43)=2,PRESUPUESTOS!$D$14/SMACTUAL,0)</f>
        <v>254.25</v>
      </c>
      <c r="S43" s="48">
        <f>IF(LOOKUP(3,$C$14:$I$14,$C43:$I43)=3,PRESUPUESTOS!$D$16/SMACTUAL,0)</f>
        <v>0</v>
      </c>
      <c r="T43" s="47">
        <f>IF(LOOKUP(4,$C$14:$I$14,$C43:$I43)=4,PRESUPUESTOS!$D$17/SMACTUAL,0)</f>
        <v>0</v>
      </c>
      <c r="U43" s="49">
        <f>IF(LOOKUP(5,$C$14:$I$14,$C43:$I43)=5,PRESUPUESTOS!$D$18/SMACTUAL,0)</f>
        <v>0</v>
      </c>
      <c r="V43" s="49">
        <f>IF(LOOKUP(6,$C$14:$I$14,$C43:$I43)=6,PRESUPUESTOS!$D$19/SMACTUAL,0)</f>
        <v>0</v>
      </c>
      <c r="W43" s="49">
        <f>IF(LOOKUP(7,$C$14:$I$14,$C43:$I43)=7,PRESUPUESTOS!$D$20/SMACTUAL,0)</f>
        <v>0</v>
      </c>
      <c r="X43" s="297">
        <f t="shared" ca="1" si="3"/>
        <v>596.79</v>
      </c>
      <c r="Y43" s="50">
        <f t="shared" ca="1" si="7"/>
        <v>537.11</v>
      </c>
      <c r="AA43" s="302"/>
      <c r="AD43" s="301"/>
    </row>
    <row r="44" spans="1:33">
      <c r="A44" s="51">
        <f t="shared" si="6"/>
        <v>30</v>
      </c>
      <c r="B44" s="381" t="str">
        <f>PROPONENTES!D48</f>
        <v>CONSORCIO PI</v>
      </c>
      <c r="C44" s="642">
        <v>1</v>
      </c>
      <c r="D44" s="643">
        <v>2</v>
      </c>
      <c r="E44" s="643"/>
      <c r="F44" s="640"/>
      <c r="G44" s="640"/>
      <c r="H44" s="640"/>
      <c r="I44" s="640"/>
      <c r="J44" s="716">
        <f>IF(COUNT(C44:I44)=0,"",(VLOOKUP(C44,PRESUPUESTOS!$C$12:$D$20,2,FALSE)+VLOOKUP(D44,PRESUPUESTOS!$C$12:$D$20,2,FALSE)+VLOOKUP(E44,PRESUPUESTOS!$C$12:$D$20,2,FALSE)+VLOOKUP(F44,PRESUPUESTOS!$C$12:$D$20,2,FALSE)+VLOOKUP(G44,PRESUPUESTOS!$C$12:$D$20,2,FALSE)+VLOOKUP(H44,PRESUPUESTOS!$C$12:$D$20,2,FALSE)+VLOOKUP(I44,PRESUPUESTOS!$C$12:$D$20,2,FALSE)))</f>
        <v>494206430</v>
      </c>
      <c r="K44" s="717"/>
      <c r="L44" s="717"/>
      <c r="M44" s="717"/>
      <c r="N44" s="717"/>
      <c r="O44" s="717"/>
      <c r="P44" s="718"/>
      <c r="Q44" s="48">
        <f ca="1">IF(LOOKUP(1,$C$14:$I$14,C44:I44)=1,PRESUPUESTOS!$D$13/SMACTUAL,0)</f>
        <v>342.54</v>
      </c>
      <c r="R44" s="49">
        <f ca="1">IF(LOOKUP(2,$C$14:$I$14,$C44:$I44)=2,PRESUPUESTOS!$D$14/SMACTUAL,0)</f>
        <v>254.25</v>
      </c>
      <c r="S44" s="48">
        <f>IF(LOOKUP(3,$C$14:$I$14,$C44:$I44)=3,PRESUPUESTOS!$D$16/SMACTUAL,0)</f>
        <v>0</v>
      </c>
      <c r="T44" s="47">
        <f>IF(LOOKUP(4,$C$14:$I$14,$C44:$I44)=4,PRESUPUESTOS!$D$17/SMACTUAL,0)</f>
        <v>0</v>
      </c>
      <c r="U44" s="49">
        <f>IF(LOOKUP(5,$C$14:$I$14,$C44:$I44)=5,PRESUPUESTOS!$D$18/SMACTUAL,0)</f>
        <v>0</v>
      </c>
      <c r="V44" s="49">
        <f>IF(LOOKUP(6,$C$14:$I$14,$C44:$I44)=6,PRESUPUESTOS!$D$19/SMACTUAL,0)</f>
        <v>0</v>
      </c>
      <c r="W44" s="49">
        <f>IF(LOOKUP(7,$C$14:$I$14,$C44:$I44)=7,PRESUPUESTOS!$D$20/SMACTUAL,0)</f>
        <v>0</v>
      </c>
      <c r="X44" s="297">
        <f t="shared" ca="1" si="3"/>
        <v>596.79</v>
      </c>
      <c r="Y44" s="50">
        <f t="shared" ca="1" si="7"/>
        <v>537.11</v>
      </c>
      <c r="AA44" s="302"/>
      <c r="AB44" s="302"/>
      <c r="AD44" s="301"/>
    </row>
    <row r="45" spans="1:33">
      <c r="A45" s="51">
        <f>IF(B45&lt;&gt;0,A44+1,)</f>
        <v>31</v>
      </c>
      <c r="B45" s="381" t="str">
        <f>PROPONENTES!D49</f>
        <v>CONSORCIO VIAL SANTANDER</v>
      </c>
      <c r="C45" s="637">
        <v>1</v>
      </c>
      <c r="D45" s="638">
        <v>2</v>
      </c>
      <c r="E45" s="638"/>
      <c r="F45" s="638"/>
      <c r="G45" s="638"/>
      <c r="H45" s="638"/>
      <c r="I45" s="638"/>
      <c r="J45" s="716">
        <f>IF(COUNT(C45:I45)=0,"",(VLOOKUP(C45,PRESUPUESTOS!$C$12:$D$20,2,FALSE)+VLOOKUP(D45,PRESUPUESTOS!$C$12:$D$20,2,FALSE)+VLOOKUP(E45,PRESUPUESTOS!$C$12:$D$20,2,FALSE)+VLOOKUP(F45,PRESUPUESTOS!$C$12:$D$20,2,FALSE)+VLOOKUP(G45,PRESUPUESTOS!$C$12:$D$20,2,FALSE)+VLOOKUP(H45,PRESUPUESTOS!$C$12:$D$20,2,FALSE)+VLOOKUP(I45,PRESUPUESTOS!$C$12:$D$20,2,FALSE)))</f>
        <v>494206430</v>
      </c>
      <c r="K45" s="717"/>
      <c r="L45" s="717"/>
      <c r="M45" s="717"/>
      <c r="N45" s="717"/>
      <c r="O45" s="717"/>
      <c r="P45" s="718"/>
      <c r="Q45" s="48">
        <f ca="1">IF(LOOKUP(1,$C$14:$I$14,$C45:$I45)=1,PRESUPUESTOS!$D$13/SMACTUAL,0)</f>
        <v>342.54</v>
      </c>
      <c r="R45" s="49">
        <f ca="1">IF(LOOKUP(2,$C$14:$I$14,$C45:$I45)=2,PRESUPUESTOS!$D$14/SMACTUAL,0)</f>
        <v>254.25</v>
      </c>
      <c r="S45" s="48">
        <f>IF(LOOKUP(3,$C$14:$I$14,$C45:$I45)=3,PRESUPUESTOS!$D$16/SMACTUAL,0)</f>
        <v>0</v>
      </c>
      <c r="T45" s="47">
        <f>IF(LOOKUP(4,$C$14:$I$14,$C45:$I45)=4,PRESUPUESTOS!$D$17/SMACTUAL,0)</f>
        <v>0</v>
      </c>
      <c r="U45" s="49">
        <f>IF(LOOKUP(5,$C$14:$I$14,$C45:$I45)=5,PRESUPUESTOS!$D$18/SMACTUAL,0)</f>
        <v>0</v>
      </c>
      <c r="V45" s="49">
        <f>IF(LOOKUP(6,$C$14:$I$14,$C45:$I45)=6,PRESUPUESTOS!$D$19/SMACTUAL,0)</f>
        <v>0</v>
      </c>
      <c r="W45" s="49">
        <f>IF(LOOKUP(7,$C$14:$I$14,$C45:$I45)=7,PRESUPUESTOS!$D$20/SMACTUAL,0)</f>
        <v>0</v>
      </c>
      <c r="X45" s="297">
        <f t="shared" ref="X45:X50" ca="1" si="8">IF(COUNT(Q45:W45)=0,"",SUM(Q45+R45+S45+T45+U45+V45+W45))</f>
        <v>596.79</v>
      </c>
      <c r="Y45" s="50">
        <f ca="1">IF(COUNT(C45:I45)=1,X45*1,IF(COUNT(C45:I45)=2,X45*0.9,IF(COUNT(C45:I45)=3,X45*0.7,IF(COUNT(C45:I45)=4,X45*0.6,IF(COUNT(C45:I45)=5,X45*0.5,IF(COUNT(C45:I45)=6,X45*0.45,IF(COUNT(C45:I45)=7,X45*0.4,"NO")))))))</f>
        <v>537.11</v>
      </c>
      <c r="AA45" s="286"/>
      <c r="AB45" s="287"/>
      <c r="AC45" s="301"/>
      <c r="AD45" s="301"/>
    </row>
    <row r="46" spans="1:33">
      <c r="A46" s="51">
        <f t="shared" ref="A46:A50" si="9">IF(B46&lt;&gt;0,A45+1,)</f>
        <v>32</v>
      </c>
      <c r="B46" s="381" t="str">
        <f>PROPONENTES!D50</f>
        <v>CONSORCIO DP-SANTANDER 2019</v>
      </c>
      <c r="C46" s="639">
        <v>1</v>
      </c>
      <c r="D46" s="640"/>
      <c r="E46" s="640"/>
      <c r="F46" s="640"/>
      <c r="G46" s="640"/>
      <c r="H46" s="640"/>
      <c r="I46" s="640"/>
      <c r="J46" s="716">
        <f>IF(COUNT(C46:I46)=0,"",(VLOOKUP(C46,PRESUPUESTOS!$C$12:$D$20,2,FALSE)+VLOOKUP(D46,PRESUPUESTOS!$C$12:$D$20,2,FALSE)+VLOOKUP(E46,PRESUPUESTOS!$C$12:$D$20,2,FALSE)+VLOOKUP(F46,PRESUPUESTOS!$C$12:$D$20,2,FALSE)+VLOOKUP(G46,PRESUPUESTOS!$C$12:$D$20,2,FALSE)+VLOOKUP(H46,PRESUPUESTOS!$C$12:$D$20,2,FALSE)+VLOOKUP(I46,PRESUPUESTOS!$C$12:$D$20,2,FALSE)))</f>
        <v>283659428</v>
      </c>
      <c r="K46" s="717"/>
      <c r="L46" s="717"/>
      <c r="M46" s="717"/>
      <c r="N46" s="717"/>
      <c r="O46" s="717"/>
      <c r="P46" s="718"/>
      <c r="Q46" s="48">
        <f ca="1">IF(LOOKUP(1,$C$14:$I$14,C46:I46)=1,PRESUPUESTOS!$D$13/SMACTUAL,0)</f>
        <v>342.54</v>
      </c>
      <c r="R46" s="49">
        <f>IF(LOOKUP(2,$C$14:$I$14,$C46:$I46)=2,PRESUPUESTOS!$D$14/SMACTUAL,0)</f>
        <v>0</v>
      </c>
      <c r="S46" s="48">
        <f>IF(LOOKUP(3,$C$14:$I$14,$C46:$I46)=3,PRESUPUESTOS!$D$16/SMACTUAL,0)</f>
        <v>0</v>
      </c>
      <c r="T46" s="47">
        <f>IF(LOOKUP(4,$C$14:$I$14,$C46:$I46)=4,PRESUPUESTOS!$D$17/SMACTUAL,0)</f>
        <v>0</v>
      </c>
      <c r="U46" s="49">
        <f>IF(LOOKUP(5,$C$14:$I$14,$C46:$I46)=5,PRESUPUESTOS!$D$18/SMACTUAL,0)</f>
        <v>0</v>
      </c>
      <c r="V46" s="49">
        <f>IF(LOOKUP(6,$C$14:$I$14,$C46:$I46)=6,PRESUPUESTOS!$D$19/SMACTUAL,0)</f>
        <v>0</v>
      </c>
      <c r="W46" s="49">
        <f>IF(LOOKUP(7,$C$14:$I$14,$C46:$I46)=7,PRESUPUESTOS!$D$20/SMACTUAL,0)</f>
        <v>0</v>
      </c>
      <c r="X46" s="297">
        <f t="shared" ca="1" si="8"/>
        <v>342.54</v>
      </c>
      <c r="Y46" s="50">
        <f t="shared" ref="Y46:Y50" ca="1" si="10">IF(COUNT(C46:I46)=1,X46*1,IF(COUNT(C46:I46)=2,X46*0.9,IF(COUNT(C46:I46)=3,X46*0.7,IF(COUNT(C46:I46)=4,X46*0.6,IF(COUNT(C46:I46)=5,X46*0.5,"NO")))))</f>
        <v>342.54</v>
      </c>
      <c r="AA46" s="286"/>
      <c r="AB46" s="287"/>
      <c r="AD46" s="301"/>
    </row>
    <row r="47" spans="1:33">
      <c r="A47" s="51">
        <f t="shared" si="9"/>
        <v>33</v>
      </c>
      <c r="B47" s="381" t="str">
        <f>PROPONENTES!D51</f>
        <v>CONSORCIO ADM SANTANDER</v>
      </c>
      <c r="C47" s="639"/>
      <c r="D47" s="640">
        <v>2</v>
      </c>
      <c r="E47" s="640"/>
      <c r="F47" s="640"/>
      <c r="G47" s="640"/>
      <c r="H47" s="640"/>
      <c r="I47" s="640"/>
      <c r="J47" s="716">
        <f>IF(COUNT(C47:I47)=0,"",(VLOOKUP(C47,PRESUPUESTOS!$C$12:$D$20,2,FALSE)+VLOOKUP(D47,PRESUPUESTOS!$C$12:$D$20,2,FALSE)+VLOOKUP(E47,PRESUPUESTOS!$C$12:$D$20,2,FALSE)+VLOOKUP(F47,PRESUPUESTOS!$C$12:$D$20,2,FALSE)+VLOOKUP(G47,PRESUPUESTOS!$C$12:$D$20,2,FALSE)+VLOOKUP(H47,PRESUPUESTOS!$C$12:$D$20,2,FALSE)+VLOOKUP(I47,PRESUPUESTOS!$C$12:$D$20,2,FALSE)))</f>
        <v>210547002</v>
      </c>
      <c r="K47" s="717"/>
      <c r="L47" s="717"/>
      <c r="M47" s="717"/>
      <c r="N47" s="717"/>
      <c r="O47" s="717"/>
      <c r="P47" s="718"/>
      <c r="Q47" s="48">
        <f>IF(LOOKUP(1,$C$14:$I$14,C47:I47)=1,PRESUPUESTOS!$D$13/SMACTUAL,0)</f>
        <v>0</v>
      </c>
      <c r="R47" s="49">
        <f ca="1">IF(LOOKUP(2,$C$14:$I$14,$C47:$I47)=2,PRESUPUESTOS!$D$14/SMACTUAL,0)</f>
        <v>254.25</v>
      </c>
      <c r="S47" s="48">
        <f>IF(LOOKUP(3,$C$14:$I$14,$C47:$I47)=3,PRESUPUESTOS!$D$16/SMACTUAL,0)</f>
        <v>0</v>
      </c>
      <c r="T47" s="47">
        <f>IF(LOOKUP(4,$C$14:$I$14,$C47:$I47)=4,PRESUPUESTOS!$D$17/SMACTUAL,0)</f>
        <v>0</v>
      </c>
      <c r="U47" s="49">
        <f>IF(LOOKUP(5,$C$14:$I$14,$C47:$I47)=5,PRESUPUESTOS!$D$18/SMACTUAL,0)</f>
        <v>0</v>
      </c>
      <c r="V47" s="49">
        <f>IF(LOOKUP(6,$C$14:$I$14,$C47:$I47)=6,PRESUPUESTOS!$D$19/SMACTUAL,0)</f>
        <v>0</v>
      </c>
      <c r="W47" s="49">
        <f>IF(LOOKUP(7,$C$14:$I$14,$C47:$I47)=7,PRESUPUESTOS!$D$20/SMACTUAL,0)</f>
        <v>0</v>
      </c>
      <c r="X47" s="297">
        <f t="shared" ca="1" si="8"/>
        <v>254.25</v>
      </c>
      <c r="Y47" s="50">
        <f t="shared" ca="1" si="10"/>
        <v>254.25</v>
      </c>
      <c r="AA47" s="286"/>
      <c r="AB47" s="287"/>
      <c r="AD47" s="301"/>
    </row>
    <row r="48" spans="1:33">
      <c r="A48" s="51">
        <f t="shared" si="9"/>
        <v>34</v>
      </c>
      <c r="B48" s="381" t="str">
        <f>PROPONENTES!D52</f>
        <v>ARQUITECTURA E INGENIERIA DE CONSULTA S.A.S.</v>
      </c>
      <c r="C48" s="639">
        <v>1</v>
      </c>
      <c r="D48" s="640">
        <v>2</v>
      </c>
      <c r="E48" s="640"/>
      <c r="F48" s="640"/>
      <c r="G48" s="640"/>
      <c r="H48" s="640"/>
      <c r="I48" s="640"/>
      <c r="J48" s="716">
        <f>IF(COUNT(C48:I48)=0,"",(VLOOKUP(C48,PRESUPUESTOS!$C$12:$D$20,2,FALSE)+VLOOKUP(D48,PRESUPUESTOS!$C$12:$D$20,2,FALSE)+VLOOKUP(E48,PRESUPUESTOS!$C$12:$D$20,2,FALSE)+VLOOKUP(F48,PRESUPUESTOS!$C$12:$D$20,2,FALSE)+VLOOKUP(G48,PRESUPUESTOS!$C$12:$D$20,2,FALSE)+VLOOKUP(H48,PRESUPUESTOS!$C$12:$D$20,2,FALSE)+VLOOKUP(I48,PRESUPUESTOS!$C$12:$D$20,2,FALSE)))</f>
        <v>494206430</v>
      </c>
      <c r="K48" s="717"/>
      <c r="L48" s="717"/>
      <c r="M48" s="717"/>
      <c r="N48" s="717"/>
      <c r="O48" s="717"/>
      <c r="P48" s="718"/>
      <c r="Q48" s="48">
        <f ca="1">IF(LOOKUP(1,$C$14:$I$14,C48:I48)=1,PRESUPUESTOS!$D$13/SMACTUAL,0)</f>
        <v>342.54</v>
      </c>
      <c r="R48" s="49">
        <f ca="1">IF(LOOKUP(2,$C$14:$I$14,$C48:$I48)=2,PRESUPUESTOS!$D$14/SMACTUAL,0)</f>
        <v>254.25</v>
      </c>
      <c r="S48" s="48">
        <f>IF(LOOKUP(3,$C$14:$I$14,$C48:$I48)=3,PRESUPUESTOS!$D$16/SMACTUAL,0)</f>
        <v>0</v>
      </c>
      <c r="T48" s="47">
        <f>IF(LOOKUP(4,$C$14:$I$14,$C48:$I48)=4,PRESUPUESTOS!$D$17/SMACTUAL,0)</f>
        <v>0</v>
      </c>
      <c r="U48" s="49">
        <f>IF(LOOKUP(5,$C$14:$I$14,$C48:$I48)=5,PRESUPUESTOS!$D$18/SMACTUAL,0)</f>
        <v>0</v>
      </c>
      <c r="V48" s="49">
        <f>IF(LOOKUP(6,$C$14:$I$14,$C48:$I48)=6,PRESUPUESTOS!$D$19/SMACTUAL,0)</f>
        <v>0</v>
      </c>
      <c r="W48" s="49">
        <f>IF(LOOKUP(7,$C$14:$I$14,$C48:$I48)=7,PRESUPUESTOS!$D$20/SMACTUAL,0)</f>
        <v>0</v>
      </c>
      <c r="X48" s="297">
        <f t="shared" ca="1" si="8"/>
        <v>596.79</v>
      </c>
      <c r="Y48" s="50">
        <f t="shared" ca="1" si="10"/>
        <v>537.11</v>
      </c>
      <c r="AA48" s="286"/>
      <c r="AB48" s="287"/>
      <c r="AD48" s="301"/>
    </row>
    <row r="49" spans="1:30">
      <c r="A49" s="51">
        <f t="shared" si="9"/>
        <v>35</v>
      </c>
      <c r="B49" s="381" t="str">
        <f>PROPONENTES!D53</f>
        <v>CONSTRUCCIONES INTERVENTORIAS ISAZA INGENIERIA SAS</v>
      </c>
      <c r="C49" s="639">
        <v>1</v>
      </c>
      <c r="D49" s="640">
        <v>2</v>
      </c>
      <c r="E49" s="640"/>
      <c r="F49" s="640"/>
      <c r="G49" s="640"/>
      <c r="H49" s="640"/>
      <c r="I49" s="640"/>
      <c r="J49" s="716">
        <f>IF(COUNT(C49:I49)=0,"",(VLOOKUP(C49,PRESUPUESTOS!$C$12:$D$20,2,FALSE)+VLOOKUP(D49,PRESUPUESTOS!$C$12:$D$20,2,FALSE)+VLOOKUP(E49,PRESUPUESTOS!$C$12:$D$20,2,FALSE)+VLOOKUP(F49,PRESUPUESTOS!$C$12:$D$20,2,FALSE)+VLOOKUP(G49,PRESUPUESTOS!$C$12:$D$20,2,FALSE)+VLOOKUP(H49,PRESUPUESTOS!$C$12:$D$20,2,FALSE)+VLOOKUP(I49,PRESUPUESTOS!$C$12:$D$20,2,FALSE)))</f>
        <v>494206430</v>
      </c>
      <c r="K49" s="717"/>
      <c r="L49" s="717"/>
      <c r="M49" s="717"/>
      <c r="N49" s="717"/>
      <c r="O49" s="717"/>
      <c r="P49" s="718"/>
      <c r="Q49" s="48">
        <f ca="1">IF(LOOKUP(1,$C$14:$I$14,C49:I49)=1,PRESUPUESTOS!$D$13/SMACTUAL,0)</f>
        <v>342.54</v>
      </c>
      <c r="R49" s="49">
        <f ca="1">IF(LOOKUP(2,$C$14:$I$14,$C49:$I49)=2,PRESUPUESTOS!$D$14/SMACTUAL,0)</f>
        <v>254.25</v>
      </c>
      <c r="S49" s="48">
        <f>IF(LOOKUP(3,$C$14:$I$14,$C49:$I49)=3,PRESUPUESTOS!$D$16/SMACTUAL,0)</f>
        <v>0</v>
      </c>
      <c r="T49" s="47">
        <f>IF(LOOKUP(4,$C$14:$I$14,$C49:$I49)=4,PRESUPUESTOS!$D$17/SMACTUAL,0)</f>
        <v>0</v>
      </c>
      <c r="U49" s="49">
        <f>IF(LOOKUP(5,$C$14:$I$14,$C49:$I49)=5,PRESUPUESTOS!$D$18/SMACTUAL,0)</f>
        <v>0</v>
      </c>
      <c r="V49" s="49">
        <f>IF(LOOKUP(6,$C$14:$I$14,$C49:$I49)=6,PRESUPUESTOS!$D$19/SMACTUAL,0)</f>
        <v>0</v>
      </c>
      <c r="W49" s="49">
        <f>IF(LOOKUP(7,$C$14:$I$14,$C49:$I49)=7,PRESUPUESTOS!$D$20/SMACTUAL,0)</f>
        <v>0</v>
      </c>
      <c r="X49" s="297">
        <f t="shared" ca="1" si="8"/>
        <v>596.79</v>
      </c>
      <c r="Y49" s="50">
        <f t="shared" ca="1" si="10"/>
        <v>537.11</v>
      </c>
      <c r="AA49" s="302"/>
      <c r="AB49" s="301"/>
      <c r="AD49" s="301"/>
    </row>
    <row r="50" spans="1:30">
      <c r="A50" s="51">
        <f t="shared" si="9"/>
        <v>36</v>
      </c>
      <c r="B50" s="381" t="str">
        <f>PROPONENTES!D54</f>
        <v>CONSORCIO ADMINISTRADOR HS</v>
      </c>
      <c r="C50" s="639">
        <v>1</v>
      </c>
      <c r="D50" s="640">
        <v>2</v>
      </c>
      <c r="E50" s="640"/>
      <c r="F50" s="640"/>
      <c r="G50" s="640"/>
      <c r="H50" s="640"/>
      <c r="I50" s="640"/>
      <c r="J50" s="716">
        <f>IF(COUNT(C50:I50)=0,"",(VLOOKUP(C50,PRESUPUESTOS!$C$12:$D$20,2,FALSE)+VLOOKUP(D50,PRESUPUESTOS!$C$12:$D$20,2,FALSE)+VLOOKUP(E50,PRESUPUESTOS!$C$12:$D$20,2,FALSE)+VLOOKUP(F50,PRESUPUESTOS!$C$12:$D$20,2,FALSE)+VLOOKUP(G50,PRESUPUESTOS!$C$12:$D$20,2,FALSE)+VLOOKUP(H50,PRESUPUESTOS!$C$12:$D$20,2,FALSE)+VLOOKUP(I50,PRESUPUESTOS!$C$12:$D$20,2,FALSE)))</f>
        <v>494206430</v>
      </c>
      <c r="K50" s="717"/>
      <c r="L50" s="717"/>
      <c r="M50" s="717"/>
      <c r="N50" s="717"/>
      <c r="O50" s="717"/>
      <c r="P50" s="718"/>
      <c r="Q50" s="48">
        <f ca="1">IF(LOOKUP(1,$C$14:$I$14,C50:I50)=1,PRESUPUESTOS!$D$13/SMACTUAL,0)</f>
        <v>342.54</v>
      </c>
      <c r="R50" s="49">
        <f ca="1">IF(LOOKUP(2,$C$14:$I$14,$C50:$I50)=2,PRESUPUESTOS!$D$14/SMACTUAL,0)</f>
        <v>254.25</v>
      </c>
      <c r="S50" s="48">
        <f>IF(LOOKUP(3,$C$14:$I$14,$C50:$I50)=3,PRESUPUESTOS!$D$16/SMACTUAL,0)</f>
        <v>0</v>
      </c>
      <c r="T50" s="47">
        <f>IF(LOOKUP(4,$C$14:$I$14,$C50:$I50)=4,PRESUPUESTOS!$D$17/SMACTUAL,0)</f>
        <v>0</v>
      </c>
      <c r="U50" s="49">
        <f>IF(LOOKUP(5,$C$14:$I$14,$C50:$I50)=5,PRESUPUESTOS!$D$18/SMACTUAL,0)</f>
        <v>0</v>
      </c>
      <c r="V50" s="49">
        <f>IF(LOOKUP(6,$C$14:$I$14,$C50:$I50)=6,PRESUPUESTOS!$D$19/SMACTUAL,0)</f>
        <v>0</v>
      </c>
      <c r="W50" s="49">
        <f>IF(LOOKUP(7,$C$14:$I$14,$C50:$I50)=7,PRESUPUESTOS!$D$20/SMACTUAL,0)</f>
        <v>0</v>
      </c>
      <c r="X50" s="297">
        <f t="shared" ca="1" si="8"/>
        <v>596.79</v>
      </c>
      <c r="Y50" s="50">
        <f t="shared" ca="1" si="10"/>
        <v>537.11</v>
      </c>
      <c r="AA50" s="302"/>
      <c r="AD50" s="301"/>
    </row>
    <row r="51" spans="1:30" ht="3.95" customHeight="1" thickBot="1">
      <c r="A51" s="378">
        <v>1</v>
      </c>
      <c r="B51" s="713"/>
      <c r="C51" s="714"/>
      <c r="D51" s="714"/>
      <c r="E51" s="714"/>
      <c r="F51" s="714"/>
      <c r="G51" s="714"/>
      <c r="H51" s="714"/>
      <c r="I51" s="714"/>
      <c r="J51" s="714"/>
      <c r="K51" s="714"/>
      <c r="L51" s="714"/>
      <c r="M51" s="714"/>
      <c r="N51" s="714"/>
      <c r="O51" s="714"/>
      <c r="P51" s="714"/>
      <c r="Q51" s="714"/>
      <c r="R51" s="714"/>
      <c r="S51" s="714"/>
      <c r="T51" s="714"/>
      <c r="U51" s="714"/>
      <c r="V51" s="714"/>
      <c r="W51" s="714"/>
      <c r="X51" s="714"/>
      <c r="Y51" s="715"/>
    </row>
    <row r="52" spans="1:30" ht="13.5" thickTop="1"/>
  </sheetData>
  <sheetProtection algorithmName="SHA-512" hashValue="kgqzQVQ0pvdeSE/GWXWLes10/zBCIpJMdsZv6XLnPpRutP76LXWgXyE3qjWmsD/+WKU/jeFRFgNGe0GiD5qO5g==" saltValue="btB+Lu/h497Hz54PK50guQ==" spinCount="100000" sheet="1" selectLockedCells="1"/>
  <customSheetViews>
    <customSheetView guid="{4FD7B380-97FE-41A2-99C1-9E1A481B7C5B}" scale="85" showPageBreaks="1" zeroValues="0" showRuler="0">
      <selection activeCell="W15" sqref="W15:AC15"/>
      <rowBreaks count="2" manualBreakCount="2">
        <brk id="37" max="16383" man="1"/>
        <brk id="57" max="16383" man="1"/>
      </rowBreaks>
      <pageMargins left="0.43307086614173229" right="0.27559055118110237" top="0.74803149606299213" bottom="1.3779527559055118" header="0.51181102362204722" footer="0.51181102362204722"/>
      <printOptions horizontalCentered="1" verticalCentered="1"/>
      <pageSetup scale="95" orientation="landscape" r:id="rId1"/>
      <headerFooter alignWithMargins="0"/>
    </customSheetView>
    <customSheetView guid="{DDA08836-FFF7-4F47-B058-4616FC9BD320}" scale="85" showPageBreaks="1" zeroValues="0" showRuler="0" topLeftCell="A2">
      <selection activeCell="R24" sqref="R24"/>
      <pageMargins left="0.43307086614173229" right="0.27559055118110237" top="0.74803149606299213" bottom="1.3779527559055118" header="0.51181102362204722" footer="0.51181102362204722"/>
      <printOptions horizontalCentered="1" verticalCentered="1"/>
      <pageSetup scale="95" orientation="landscape" r:id="rId2"/>
      <headerFooter alignWithMargins="0"/>
    </customSheetView>
  </customSheetViews>
  <mergeCells count="44">
    <mergeCell ref="J48:P48"/>
    <mergeCell ref="J49:P49"/>
    <mergeCell ref="J50:P50"/>
    <mergeCell ref="J25:P25"/>
    <mergeCell ref="J31:P31"/>
    <mergeCell ref="J32:P32"/>
    <mergeCell ref="J33:P33"/>
    <mergeCell ref="J27:P27"/>
    <mergeCell ref="J28:P28"/>
    <mergeCell ref="J34:P34"/>
    <mergeCell ref="J35:P35"/>
    <mergeCell ref="J36:P36"/>
    <mergeCell ref="J37:P37"/>
    <mergeCell ref="J38:P38"/>
    <mergeCell ref="J39:P39"/>
    <mergeCell ref="J40:P40"/>
    <mergeCell ref="J41:P41"/>
    <mergeCell ref="Y12:Y13"/>
    <mergeCell ref="J12:P13"/>
    <mergeCell ref="X12:X13"/>
    <mergeCell ref="C12:I13"/>
    <mergeCell ref="J26:P26"/>
    <mergeCell ref="J15:P15"/>
    <mergeCell ref="J42:P42"/>
    <mergeCell ref="J43:P43"/>
    <mergeCell ref="J44:P44"/>
    <mergeCell ref="J45:P45"/>
    <mergeCell ref="J46:P46"/>
    <mergeCell ref="B51:Y51"/>
    <mergeCell ref="J47:P47"/>
    <mergeCell ref="J30:P30"/>
    <mergeCell ref="J16:P16"/>
    <mergeCell ref="A7:P7"/>
    <mergeCell ref="A10:P10"/>
    <mergeCell ref="B12:B13"/>
    <mergeCell ref="J29:P29"/>
    <mergeCell ref="J21:P21"/>
    <mergeCell ref="J22:P22"/>
    <mergeCell ref="J23:P23"/>
    <mergeCell ref="J24:P24"/>
    <mergeCell ref="J17:P17"/>
    <mergeCell ref="J18:P18"/>
    <mergeCell ref="J19:P19"/>
    <mergeCell ref="J20:P20"/>
  </mergeCells>
  <phoneticPr fontId="5" type="noConversion"/>
  <conditionalFormatting sqref="A15:B50">
    <cfRule type="cellIs" dxfId="2978" priority="305" stopIfTrue="1" operator="greaterThan">
      <formula>0</formula>
    </cfRule>
  </conditionalFormatting>
  <conditionalFormatting sqref="Q15:Q24 U15:W24 S15:S24">
    <cfRule type="cellIs" dxfId="2977" priority="306" stopIfTrue="1" operator="greaterThan">
      <formula>0</formula>
    </cfRule>
  </conditionalFormatting>
  <conditionalFormatting sqref="R15:R24 T15:T24">
    <cfRule type="cellIs" dxfId="2976" priority="307" stopIfTrue="1" operator="greaterThan">
      <formula>0</formula>
    </cfRule>
  </conditionalFormatting>
  <conditionalFormatting sqref="X15:Y24">
    <cfRule type="cellIs" dxfId="2975" priority="308" stopIfTrue="1" operator="greaterThan">
      <formula>0</formula>
    </cfRule>
  </conditionalFormatting>
  <conditionalFormatting sqref="C15:F24 I15:I24 D25:D37">
    <cfRule type="cellIs" dxfId="2974" priority="309" stopIfTrue="1" operator="greaterThanOrEqual">
      <formula>1</formula>
    </cfRule>
    <cfRule type="cellIs" dxfId="2973" priority="310" stopIfTrue="1" operator="equal">
      <formula>0</formula>
    </cfRule>
  </conditionalFormatting>
  <conditionalFormatting sqref="A12:A13 C12:F13 B12 I12:Y13">
    <cfRule type="cellIs" dxfId="2972" priority="311" stopIfTrue="1" operator="greaterThan">
      <formula>0</formula>
    </cfRule>
  </conditionalFormatting>
  <conditionalFormatting sqref="H15:H24">
    <cfRule type="cellIs" dxfId="2971" priority="174" stopIfTrue="1" operator="greaterThanOrEqual">
      <formula>1</formula>
    </cfRule>
    <cfRule type="cellIs" dxfId="2970" priority="175" stopIfTrue="1" operator="equal">
      <formula>0</formula>
    </cfRule>
  </conditionalFormatting>
  <conditionalFormatting sqref="H12:H13">
    <cfRule type="cellIs" dxfId="2969" priority="176" stopIfTrue="1" operator="greaterThan">
      <formula>0</formula>
    </cfRule>
  </conditionalFormatting>
  <conditionalFormatting sqref="G15:G24">
    <cfRule type="cellIs" dxfId="2968" priority="169" stopIfTrue="1" operator="greaterThanOrEqual">
      <formula>1</formula>
    </cfRule>
    <cfRule type="cellIs" dxfId="2967" priority="170" stopIfTrue="1" operator="equal">
      <formula>0</formula>
    </cfRule>
  </conditionalFormatting>
  <conditionalFormatting sqref="G12:G13">
    <cfRule type="cellIs" dxfId="2966" priority="171" stopIfTrue="1" operator="greaterThan">
      <formula>0</formula>
    </cfRule>
  </conditionalFormatting>
  <conditionalFormatting sqref="A25:B34">
    <cfRule type="cellIs" dxfId="2965" priority="25" stopIfTrue="1" operator="greaterThan">
      <formula>0</formula>
    </cfRule>
  </conditionalFormatting>
  <conditionalFormatting sqref="Q25:Q34 U25:W34 S25:S34">
    <cfRule type="cellIs" dxfId="2964" priority="26" stopIfTrue="1" operator="greaterThan">
      <formula>0</formula>
    </cfRule>
  </conditionalFormatting>
  <conditionalFormatting sqref="R25:R34 T25:T34">
    <cfRule type="cellIs" dxfId="2963" priority="27" stopIfTrue="1" operator="greaterThan">
      <formula>0</formula>
    </cfRule>
  </conditionalFormatting>
  <conditionalFormatting sqref="X25:Y34">
    <cfRule type="cellIs" dxfId="2962" priority="28" stopIfTrue="1" operator="greaterThan">
      <formula>0</formula>
    </cfRule>
  </conditionalFormatting>
  <conditionalFormatting sqref="C25:C34 I25:I34 E25:F34">
    <cfRule type="cellIs" dxfId="2961" priority="29" stopIfTrue="1" operator="greaterThanOrEqual">
      <formula>1</formula>
    </cfRule>
    <cfRule type="cellIs" dxfId="2960" priority="30" stopIfTrue="1" operator="equal">
      <formula>0</formula>
    </cfRule>
  </conditionalFormatting>
  <conditionalFormatting sqref="H25:H34">
    <cfRule type="cellIs" dxfId="2959" priority="23" stopIfTrue="1" operator="greaterThanOrEqual">
      <formula>1</formula>
    </cfRule>
    <cfRule type="cellIs" dxfId="2958" priority="24" stopIfTrue="1" operator="equal">
      <formula>0</formula>
    </cfRule>
  </conditionalFormatting>
  <conditionalFormatting sqref="G25:G34">
    <cfRule type="cellIs" dxfId="2957" priority="21" stopIfTrue="1" operator="greaterThanOrEqual">
      <formula>1</formula>
    </cfRule>
    <cfRule type="cellIs" dxfId="2956" priority="22" stopIfTrue="1" operator="equal">
      <formula>0</formula>
    </cfRule>
  </conditionalFormatting>
  <conditionalFormatting sqref="A35:B44">
    <cfRule type="cellIs" dxfId="2955" priority="15" stopIfTrue="1" operator="greaterThan">
      <formula>0</formula>
    </cfRule>
  </conditionalFormatting>
  <conditionalFormatting sqref="Q35:Q44 U35:W44 S35:S44">
    <cfRule type="cellIs" dxfId="2954" priority="16" stopIfTrue="1" operator="greaterThan">
      <formula>0</formula>
    </cfRule>
  </conditionalFormatting>
  <conditionalFormatting sqref="R35:R44 T35:T44">
    <cfRule type="cellIs" dxfId="2953" priority="17" stopIfTrue="1" operator="greaterThan">
      <formula>0</formula>
    </cfRule>
  </conditionalFormatting>
  <conditionalFormatting sqref="X35:Y44">
    <cfRule type="cellIs" dxfId="2952" priority="18" stopIfTrue="1" operator="greaterThan">
      <formula>0</formula>
    </cfRule>
  </conditionalFormatting>
  <conditionalFormatting sqref="C38:F44 I35:I44 C35:C37 E35:F37">
    <cfRule type="cellIs" dxfId="2951" priority="19" stopIfTrue="1" operator="greaterThanOrEqual">
      <formula>1</formula>
    </cfRule>
    <cfRule type="cellIs" dxfId="2950" priority="20" stopIfTrue="1" operator="equal">
      <formula>0</formula>
    </cfRule>
  </conditionalFormatting>
  <conditionalFormatting sqref="H35:H44">
    <cfRule type="cellIs" dxfId="2949" priority="13" stopIfTrue="1" operator="greaterThanOrEqual">
      <formula>1</formula>
    </cfRule>
    <cfRule type="cellIs" dxfId="2948" priority="14" stopIfTrue="1" operator="equal">
      <formula>0</formula>
    </cfRule>
  </conditionalFormatting>
  <conditionalFormatting sqref="G35:G44">
    <cfRule type="cellIs" dxfId="2947" priority="11" stopIfTrue="1" operator="greaterThanOrEqual">
      <formula>1</formula>
    </cfRule>
    <cfRule type="cellIs" dxfId="2946" priority="12" stopIfTrue="1" operator="equal">
      <formula>0</formula>
    </cfRule>
  </conditionalFormatting>
  <conditionalFormatting sqref="A45:B50">
    <cfRule type="cellIs" dxfId="2945" priority="5" stopIfTrue="1" operator="greaterThan">
      <formula>0</formula>
    </cfRule>
  </conditionalFormatting>
  <conditionalFormatting sqref="Q45:Q50 U45:W50 S45:S50">
    <cfRule type="cellIs" dxfId="2944" priority="6" stopIfTrue="1" operator="greaterThan">
      <formula>0</formula>
    </cfRule>
  </conditionalFormatting>
  <conditionalFormatting sqref="R45:R50 T45:T50">
    <cfRule type="cellIs" dxfId="2943" priority="7" stopIfTrue="1" operator="greaterThan">
      <formula>0</formula>
    </cfRule>
  </conditionalFormatting>
  <conditionalFormatting sqref="X45:Y50">
    <cfRule type="cellIs" dxfId="2942" priority="8" stopIfTrue="1" operator="greaterThan">
      <formula>0</formula>
    </cfRule>
  </conditionalFormatting>
  <conditionalFormatting sqref="C45:F50 I45:I50">
    <cfRule type="cellIs" dxfId="2941" priority="9" stopIfTrue="1" operator="greaterThanOrEqual">
      <formula>1</formula>
    </cfRule>
    <cfRule type="cellIs" dxfId="2940" priority="10" stopIfTrue="1" operator="equal">
      <formula>0</formula>
    </cfRule>
  </conditionalFormatting>
  <conditionalFormatting sqref="H45:H50">
    <cfRule type="cellIs" dxfId="2939" priority="3" stopIfTrue="1" operator="greaterThanOrEqual">
      <formula>1</formula>
    </cfRule>
    <cfRule type="cellIs" dxfId="2938" priority="4" stopIfTrue="1" operator="equal">
      <formula>0</formula>
    </cfRule>
  </conditionalFormatting>
  <conditionalFormatting sqref="G45:G50">
    <cfRule type="cellIs" dxfId="2937" priority="1" stopIfTrue="1" operator="greaterThanOrEqual">
      <formula>1</formula>
    </cfRule>
    <cfRule type="cellIs" dxfId="2936" priority="2" stopIfTrue="1" operator="equal">
      <formula>0</formula>
    </cfRule>
  </conditionalFormatting>
  <printOptions horizontalCentered="1" verticalCentered="1"/>
  <pageMargins left="0.43307086614173229" right="0.27559055118110237" top="0.39370078740157483" bottom="0.19685039370078741" header="0" footer="0"/>
  <pageSetup scale="79" pageOrder="overThenDown" orientation="landscape"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F668"/>
  <sheetViews>
    <sheetView topLeftCell="A206" zoomScale="84" zoomScaleNormal="84" zoomScaleSheetLayoutView="100" workbookViewId="0">
      <selection activeCell="L223" sqref="L223"/>
    </sheetView>
  </sheetViews>
  <sheetFormatPr baseColWidth="10" defaultRowHeight="12.75"/>
  <cols>
    <col min="1" max="1" width="4.7109375" style="314" customWidth="1"/>
    <col min="2" max="2" width="6.7109375" style="30" customWidth="1"/>
    <col min="3" max="3" width="6.140625" style="30" customWidth="1"/>
    <col min="4" max="4" width="18.5703125" style="30" customWidth="1"/>
    <col min="5" max="5" width="11.7109375" style="30" customWidth="1"/>
    <col min="6" max="6" width="25.140625" style="30" customWidth="1"/>
    <col min="7" max="8" width="11.7109375" style="30" bestFit="1" customWidth="1"/>
    <col min="9" max="9" width="13.5703125" style="30" customWidth="1"/>
    <col min="10" max="10" width="30.28515625" style="30" customWidth="1"/>
    <col min="11" max="11" width="12.7109375" style="30" customWidth="1"/>
    <col min="12" max="12" width="19.7109375" style="30" customWidth="1"/>
    <col min="13" max="13" width="18.85546875" style="30" customWidth="1"/>
    <col min="14" max="14" width="14.7109375" style="30" customWidth="1"/>
    <col min="15" max="15" width="53.7109375" style="30" customWidth="1"/>
    <col min="16" max="16" width="11.42578125" style="30"/>
    <col min="17" max="17" width="13.7109375" style="30" customWidth="1"/>
    <col min="18" max="18" width="12.7109375" style="30" customWidth="1"/>
    <col min="19" max="19" width="14.140625" style="30" customWidth="1"/>
    <col min="20" max="21" width="9.42578125" style="30" customWidth="1"/>
    <col min="22" max="22" width="11.42578125" style="30"/>
    <col min="23" max="23" width="4.28515625" style="30" customWidth="1"/>
    <col min="24" max="24" width="29.28515625" style="30" customWidth="1"/>
    <col min="25" max="25" width="14.7109375" style="30" customWidth="1"/>
    <col min="26" max="26" width="11.42578125" style="30"/>
    <col min="27" max="27" width="26.7109375" style="30" customWidth="1"/>
    <col min="28" max="28" width="5.7109375" style="30" customWidth="1"/>
    <col min="29" max="29" width="11.42578125" style="30"/>
    <col min="30" max="30" width="5.7109375" style="30" customWidth="1"/>
    <col min="31" max="16384" width="11.42578125" style="30"/>
  </cols>
  <sheetData>
    <row r="1" spans="2:25" ht="18.75" customHeight="1">
      <c r="B1" s="7" t="str">
        <f>PRESUPUESTOS!B1</f>
        <v>INSTITUTO NACIONAL DE VÍAS</v>
      </c>
      <c r="C1" s="7"/>
      <c r="D1" s="7"/>
      <c r="E1" s="7"/>
      <c r="F1" s="7"/>
      <c r="G1" s="7"/>
      <c r="H1" s="7"/>
      <c r="I1" s="7"/>
      <c r="J1" s="7"/>
      <c r="K1" s="315"/>
      <c r="L1" s="315"/>
      <c r="M1" s="315"/>
      <c r="N1" s="315"/>
      <c r="O1" s="315"/>
      <c r="P1" s="315"/>
      <c r="Q1" s="315"/>
      <c r="R1" s="315"/>
      <c r="S1" s="315"/>
      <c r="T1" s="315"/>
      <c r="U1" s="315"/>
      <c r="V1" s="315"/>
      <c r="W1" s="315"/>
      <c r="X1" s="315"/>
      <c r="Y1" s="315"/>
    </row>
    <row r="2" spans="2:25" ht="15.75" customHeight="1">
      <c r="B2" s="54"/>
      <c r="C2" s="54"/>
      <c r="D2" s="54"/>
      <c r="E2" s="54"/>
      <c r="F2" s="54"/>
      <c r="G2" s="54"/>
      <c r="H2" s="54"/>
      <c r="I2" s="54"/>
      <c r="J2" s="54"/>
      <c r="K2" s="316"/>
      <c r="L2" s="316"/>
      <c r="M2" s="316"/>
      <c r="N2" s="316"/>
      <c r="O2" s="316"/>
      <c r="P2" s="316"/>
      <c r="Q2" s="316"/>
      <c r="R2" s="316"/>
      <c r="S2" s="316"/>
      <c r="T2" s="316"/>
      <c r="U2" s="316"/>
      <c r="V2" s="316"/>
      <c r="W2" s="316"/>
      <c r="X2" s="316"/>
      <c r="Y2" s="316"/>
    </row>
    <row r="3" spans="2:25" ht="15.75" customHeight="1">
      <c r="B3" s="54"/>
      <c r="C3" s="54"/>
      <c r="D3" s="54"/>
      <c r="E3" s="54"/>
      <c r="F3" s="54"/>
      <c r="G3" s="54"/>
      <c r="H3" s="54"/>
      <c r="I3" s="54"/>
      <c r="J3" s="54"/>
      <c r="K3" s="316"/>
      <c r="L3" s="316"/>
      <c r="M3" s="316"/>
      <c r="N3" s="316"/>
      <c r="O3" s="316"/>
      <c r="P3" s="316"/>
      <c r="Q3" s="316"/>
      <c r="R3" s="316"/>
      <c r="S3" s="316"/>
      <c r="T3" s="316"/>
      <c r="U3" s="316"/>
      <c r="V3" s="316"/>
      <c r="W3" s="316"/>
      <c r="X3" s="316"/>
      <c r="Y3" s="316"/>
    </row>
    <row r="4" spans="2:25" ht="15.75" customHeight="1">
      <c r="B4" s="10" t="str">
        <f>PRESUPUESTOS!B3</f>
        <v>CONCURSO DE MÉRITOS ABIERTO</v>
      </c>
      <c r="C4" s="54"/>
      <c r="D4" s="54"/>
      <c r="E4" s="54"/>
      <c r="F4" s="54"/>
      <c r="G4" s="54"/>
      <c r="H4" s="54"/>
      <c r="I4" s="54"/>
      <c r="J4" s="54"/>
      <c r="K4" s="316"/>
      <c r="L4" s="316"/>
      <c r="M4" s="316"/>
      <c r="N4" s="316"/>
      <c r="O4" s="316"/>
      <c r="P4" s="316"/>
      <c r="Q4" s="316"/>
      <c r="R4" s="316"/>
      <c r="S4" s="316"/>
      <c r="T4" s="316"/>
      <c r="U4" s="316"/>
      <c r="V4" s="316"/>
      <c r="W4" s="316"/>
      <c r="X4" s="316"/>
      <c r="Y4" s="316"/>
    </row>
    <row r="5" spans="2:25" ht="15.75" customHeight="1">
      <c r="B5" s="54" t="str">
        <f>VFrequerido!A4</f>
        <v>CONCURSO DE MERITOS CMA-DO-SRN-100-2019</v>
      </c>
      <c r="C5" s="54"/>
      <c r="D5" s="54"/>
      <c r="E5" s="54"/>
      <c r="F5" s="54"/>
      <c r="G5" s="54"/>
      <c r="H5" s="54"/>
      <c r="I5" s="54"/>
      <c r="J5" s="54"/>
      <c r="K5" s="316"/>
      <c r="L5" s="316"/>
      <c r="M5" s="316"/>
      <c r="N5" s="316"/>
      <c r="O5" s="316"/>
      <c r="P5" s="316"/>
      <c r="Q5" s="316"/>
      <c r="R5" s="316"/>
      <c r="S5" s="316"/>
      <c r="T5" s="316"/>
      <c r="U5" s="316"/>
      <c r="V5" s="316"/>
      <c r="W5" s="316"/>
      <c r="X5" s="316"/>
      <c r="Y5" s="316"/>
    </row>
    <row r="6" spans="2:25" ht="15.75" customHeight="1">
      <c r="B6" s="54"/>
      <c r="C6" s="54"/>
      <c r="D6" s="54"/>
      <c r="E6" s="54"/>
      <c r="F6" s="54"/>
      <c r="G6" s="54"/>
      <c r="H6" s="54"/>
      <c r="I6" s="54"/>
      <c r="J6" s="54"/>
      <c r="K6" s="316"/>
      <c r="L6" s="316"/>
      <c r="M6" s="316"/>
      <c r="N6" s="316"/>
      <c r="O6" s="316"/>
      <c r="P6" s="316"/>
      <c r="Q6" s="316"/>
      <c r="R6" s="316"/>
      <c r="S6" s="316"/>
      <c r="T6" s="316"/>
      <c r="U6" s="316"/>
      <c r="V6" s="316"/>
      <c r="W6" s="316"/>
      <c r="X6" s="316"/>
      <c r="Y6" s="316"/>
    </row>
    <row r="7" spans="2:25" ht="70.5" customHeight="1">
      <c r="B7" s="54" t="str">
        <f>PRESUPUESTOS!B6</f>
        <v>ADMINISTRACIÓN VIAL DE LAS CARRETERAS A CARGO DE LA TERRITORIAL SANTANDER</v>
      </c>
      <c r="C7" s="54"/>
      <c r="D7" s="54"/>
      <c r="E7" s="54"/>
      <c r="F7" s="54"/>
      <c r="G7" s="54"/>
      <c r="H7" s="54"/>
      <c r="I7" s="54"/>
      <c r="J7" s="54"/>
      <c r="K7" s="316"/>
      <c r="L7" s="316"/>
      <c r="M7" s="316"/>
      <c r="N7" s="316"/>
      <c r="O7" s="316"/>
      <c r="P7" s="316"/>
      <c r="Q7" s="316"/>
      <c r="R7" s="316"/>
      <c r="S7" s="316"/>
      <c r="T7" s="316"/>
      <c r="U7" s="316"/>
      <c r="V7" s="316"/>
      <c r="W7" s="316"/>
      <c r="X7" s="316"/>
      <c r="Y7" s="316"/>
    </row>
    <row r="8" spans="2:25" ht="15.75" customHeight="1">
      <c r="B8" s="54"/>
      <c r="C8" s="54"/>
      <c r="D8" s="54"/>
      <c r="E8" s="54"/>
      <c r="F8" s="54"/>
      <c r="G8" s="54"/>
      <c r="H8" s="54"/>
      <c r="I8" s="54"/>
      <c r="J8" s="54"/>
      <c r="K8" s="316"/>
      <c r="L8" s="316"/>
      <c r="M8" s="316"/>
      <c r="N8" s="316"/>
      <c r="O8" s="316"/>
      <c r="P8" s="316"/>
      <c r="Q8" s="316"/>
      <c r="R8" s="316"/>
      <c r="S8" s="316"/>
      <c r="T8" s="316"/>
      <c r="U8" s="316"/>
      <c r="V8" s="316"/>
      <c r="W8" s="316"/>
      <c r="X8" s="316"/>
      <c r="Y8" s="316"/>
    </row>
    <row r="9" spans="2:25" ht="15.75" customHeight="1">
      <c r="B9" s="60" t="s">
        <v>15</v>
      </c>
      <c r="C9" s="60"/>
      <c r="D9" s="60"/>
      <c r="E9" s="60"/>
      <c r="F9" s="60"/>
      <c r="G9" s="60"/>
      <c r="H9" s="60"/>
      <c r="I9" s="60"/>
      <c r="J9" s="60"/>
      <c r="K9" s="317"/>
      <c r="L9" s="317"/>
      <c r="M9" s="317"/>
      <c r="N9" s="317"/>
      <c r="O9" s="317"/>
      <c r="P9" s="317"/>
      <c r="Q9" s="317"/>
      <c r="R9" s="317"/>
      <c r="S9" s="317"/>
      <c r="T9" s="317"/>
      <c r="U9" s="317"/>
      <c r="V9" s="317"/>
      <c r="W9" s="317"/>
      <c r="X9" s="317"/>
      <c r="Y9" s="317"/>
    </row>
    <row r="10" spans="2:25" ht="12.75" customHeight="1">
      <c r="B10" s="61"/>
      <c r="C10" s="61"/>
      <c r="D10" s="61"/>
      <c r="E10" s="61"/>
      <c r="F10" s="61"/>
      <c r="G10" s="61"/>
      <c r="H10" s="61"/>
      <c r="I10" s="61"/>
      <c r="J10" s="61"/>
      <c r="K10" s="318"/>
      <c r="L10" s="318"/>
      <c r="M10" s="318"/>
      <c r="N10" s="318"/>
      <c r="O10" s="318"/>
      <c r="P10" s="318"/>
      <c r="Q10" s="318"/>
      <c r="R10" s="318"/>
      <c r="S10" s="318"/>
      <c r="T10" s="318"/>
      <c r="U10" s="318"/>
      <c r="V10" s="318"/>
      <c r="W10" s="318"/>
      <c r="X10" s="318"/>
      <c r="Y10" s="318"/>
    </row>
    <row r="11" spans="2:25" ht="23.25" customHeight="1">
      <c r="B11" s="62" t="str">
        <f>PRESUPUESTOS!B7</f>
        <v xml:space="preserve">MODULO </v>
      </c>
      <c r="C11" s="62"/>
      <c r="D11" s="62"/>
      <c r="E11" s="62"/>
      <c r="F11" s="62"/>
      <c r="G11" s="62"/>
      <c r="H11" s="62"/>
      <c r="I11" s="62"/>
      <c r="J11" s="62"/>
      <c r="K11" s="319"/>
      <c r="L11" s="319"/>
      <c r="M11" s="319"/>
      <c r="N11" s="319"/>
      <c r="O11" s="319"/>
      <c r="P11" s="319"/>
      <c r="Q11" s="319"/>
      <c r="R11" s="319"/>
      <c r="S11" s="319"/>
      <c r="T11" s="319"/>
      <c r="U11" s="319"/>
      <c r="V11" s="319"/>
      <c r="W11" s="319"/>
      <c r="X11" s="319"/>
      <c r="Y11" s="319"/>
    </row>
    <row r="12" spans="2:25" ht="12.75" customHeight="1">
      <c r="B12" s="55"/>
      <c r="C12" s="55"/>
      <c r="D12" s="55"/>
      <c r="E12" s="55"/>
      <c r="F12" s="55"/>
      <c r="G12" s="55"/>
      <c r="H12" s="55"/>
      <c r="I12" s="55"/>
      <c r="J12" s="55"/>
      <c r="K12" s="320"/>
      <c r="L12" s="320"/>
      <c r="M12" s="320"/>
      <c r="N12" s="320"/>
      <c r="O12" s="320"/>
      <c r="P12" s="320"/>
      <c r="Q12" s="320"/>
      <c r="R12" s="320"/>
      <c r="S12" s="320"/>
      <c r="T12" s="320"/>
      <c r="U12" s="320"/>
      <c r="V12" s="320"/>
      <c r="W12" s="320"/>
      <c r="X12" s="320"/>
      <c r="Y12" s="320"/>
    </row>
    <row r="13" spans="2:25" ht="13.5" customHeight="1" thickBot="1">
      <c r="B13" s="55"/>
      <c r="C13" s="55"/>
      <c r="D13" s="55"/>
      <c r="E13" s="55"/>
      <c r="F13" s="55"/>
      <c r="G13" s="55"/>
      <c r="H13" s="55"/>
      <c r="I13" s="55"/>
      <c r="J13" s="55"/>
      <c r="K13" s="320"/>
      <c r="L13" s="320"/>
      <c r="M13" s="320"/>
      <c r="N13" s="320"/>
      <c r="O13" s="320"/>
      <c r="P13" s="320"/>
      <c r="Q13" s="320"/>
      <c r="R13" s="320"/>
      <c r="S13" s="320"/>
      <c r="T13" s="320"/>
      <c r="U13" s="320"/>
      <c r="V13" s="320"/>
      <c r="W13" s="320"/>
      <c r="X13" s="320"/>
      <c r="Y13" s="320"/>
    </row>
    <row r="14" spans="2:25" ht="24.95" customHeight="1" thickTop="1">
      <c r="B14" s="321"/>
      <c r="C14" s="321"/>
      <c r="D14" s="321"/>
      <c r="E14" s="321"/>
      <c r="F14" s="321"/>
      <c r="G14" s="321"/>
      <c r="H14" s="321"/>
      <c r="I14" s="321"/>
      <c r="J14" s="321"/>
      <c r="K14" s="321"/>
      <c r="L14" s="322" t="s">
        <v>125</v>
      </c>
      <c r="M14" s="323" t="s">
        <v>124</v>
      </c>
      <c r="N14" s="324" t="s">
        <v>126</v>
      </c>
      <c r="O14" s="561"/>
      <c r="Q14" s="321"/>
      <c r="R14" s="321"/>
    </row>
    <row r="15" spans="2:25" ht="13.5" thickBot="1">
      <c r="B15" s="325"/>
      <c r="C15" s="325"/>
      <c r="D15" s="325"/>
      <c r="E15" s="325"/>
      <c r="F15" s="325"/>
      <c r="G15" s="325"/>
      <c r="H15" s="325"/>
      <c r="I15" s="325"/>
      <c r="J15" s="326"/>
      <c r="K15" s="326"/>
      <c r="L15" s="327">
        <v>35796</v>
      </c>
      <c r="M15" s="676">
        <v>41821</v>
      </c>
      <c r="N15" s="677">
        <v>43705</v>
      </c>
      <c r="O15" s="326"/>
      <c r="Q15" s="326"/>
      <c r="R15" s="326"/>
      <c r="X15" s="588"/>
    </row>
    <row r="16" spans="2:25" ht="13.5" thickTop="1">
      <c r="F16" s="757">
        <v>1</v>
      </c>
      <c r="G16" s="758" t="str">
        <f>VLOOKUP(F16,PROPO,2,FALSE)</f>
        <v>CONSORCIO C &amp; J</v>
      </c>
      <c r="H16" s="758"/>
      <c r="I16" s="758"/>
      <c r="J16" s="758"/>
      <c r="K16" s="52"/>
      <c r="O16" s="52"/>
      <c r="Q16" s="52"/>
      <c r="R16" s="52"/>
    </row>
    <row r="17" spans="1:32">
      <c r="B17" s="328"/>
      <c r="C17" s="328"/>
      <c r="D17" s="328"/>
      <c r="E17" s="328"/>
      <c r="F17" s="757"/>
      <c r="G17" s="758"/>
      <c r="H17" s="758"/>
      <c r="I17" s="758"/>
      <c r="J17" s="758"/>
      <c r="K17" s="52"/>
      <c r="N17" s="567"/>
      <c r="O17" s="52"/>
      <c r="Q17" s="52"/>
      <c r="R17" s="52"/>
    </row>
    <row r="18" spans="1:32" ht="13.5" thickBot="1">
      <c r="B18" s="329"/>
      <c r="C18" s="329"/>
      <c r="D18" s="56"/>
      <c r="E18" s="56"/>
      <c r="F18" s="56"/>
      <c r="G18" s="56"/>
      <c r="H18" s="56"/>
      <c r="I18" s="56"/>
      <c r="J18" s="56"/>
      <c r="K18" s="330"/>
      <c r="L18" s="331"/>
      <c r="M18" s="331"/>
      <c r="N18" s="330"/>
      <c r="O18" s="330"/>
      <c r="Q18" s="330"/>
      <c r="R18" s="330"/>
      <c r="W18" s="31"/>
    </row>
    <row r="19" spans="1:32" ht="50.1" customHeight="1" thickTop="1" thickBot="1">
      <c r="B19" s="332" t="s">
        <v>16</v>
      </c>
      <c r="C19" s="744" t="s">
        <v>121</v>
      </c>
      <c r="D19" s="333" t="s">
        <v>17</v>
      </c>
      <c r="E19" s="746" t="s">
        <v>18</v>
      </c>
      <c r="F19" s="747"/>
      <c r="G19" s="748" t="s">
        <v>117</v>
      </c>
      <c r="H19" s="749"/>
      <c r="I19" s="744" t="s">
        <v>39</v>
      </c>
      <c r="J19" s="744" t="s">
        <v>0</v>
      </c>
      <c r="K19" s="665" t="s">
        <v>19</v>
      </c>
      <c r="L19" s="750" t="s">
        <v>20</v>
      </c>
      <c r="M19" s="751"/>
      <c r="N19" s="68" t="s">
        <v>52</v>
      </c>
      <c r="O19" s="501" t="s">
        <v>151</v>
      </c>
      <c r="Q19" s="665" t="s">
        <v>127</v>
      </c>
      <c r="R19" s="665" t="s">
        <v>138</v>
      </c>
      <c r="S19" s="665" t="s">
        <v>163</v>
      </c>
      <c r="T19" s="565">
        <f>IF(VLOOKUP(F16,PROPONENTES!$C$19:$E$54,3,0)="","",VLOOKUP(F16,PROPONENTES!$C$19:$E$54,3,0))</f>
        <v>2</v>
      </c>
      <c r="U19" s="582"/>
      <c r="W19" s="737" t="s">
        <v>167</v>
      </c>
      <c r="X19" s="738"/>
      <c r="Y19" s="738"/>
      <c r="Z19" s="738"/>
      <c r="AA19" s="738"/>
      <c r="AB19" s="738"/>
      <c r="AC19" s="738"/>
      <c r="AD19" s="738"/>
      <c r="AE19" s="739"/>
    </row>
    <row r="20" spans="1:32" ht="50.1" customHeight="1" thickTop="1" thickBot="1">
      <c r="B20" s="334" t="s">
        <v>21</v>
      </c>
      <c r="C20" s="745"/>
      <c r="D20" s="335" t="s">
        <v>22</v>
      </c>
      <c r="E20" s="366" t="s">
        <v>23</v>
      </c>
      <c r="F20" s="336" t="s">
        <v>24</v>
      </c>
      <c r="G20" s="337" t="s">
        <v>118</v>
      </c>
      <c r="H20" s="338" t="s">
        <v>119</v>
      </c>
      <c r="I20" s="745"/>
      <c r="J20" s="745"/>
      <c r="K20" s="663" t="s">
        <v>120</v>
      </c>
      <c r="L20" s="339" t="s">
        <v>150</v>
      </c>
      <c r="M20" s="340" t="s">
        <v>14</v>
      </c>
      <c r="N20" s="341" t="s">
        <v>14</v>
      </c>
      <c r="O20" s="502" t="s">
        <v>152</v>
      </c>
      <c r="Q20" s="663" t="s">
        <v>128</v>
      </c>
      <c r="R20" s="663" t="s">
        <v>139</v>
      </c>
      <c r="S20" s="663" t="s">
        <v>164</v>
      </c>
      <c r="T20" s="575" t="s">
        <v>83</v>
      </c>
      <c r="U20" s="583"/>
      <c r="W20" s="742" t="s">
        <v>166</v>
      </c>
      <c r="X20" s="743"/>
      <c r="Y20" s="670" t="s">
        <v>168</v>
      </c>
      <c r="Z20" s="670" t="s">
        <v>169</v>
      </c>
      <c r="AA20" s="660" t="s">
        <v>174</v>
      </c>
      <c r="AB20" s="740" t="s">
        <v>523</v>
      </c>
      <c r="AC20" s="741"/>
      <c r="AD20" s="742" t="s">
        <v>522</v>
      </c>
      <c r="AE20" s="741"/>
      <c r="AF20" s="669"/>
    </row>
    <row r="21" spans="1:32" ht="14.25" hidden="1" customHeight="1" thickTop="1" thickBot="1">
      <c r="B21" s="342">
        <v>0</v>
      </c>
      <c r="C21" s="347"/>
      <c r="D21" s="343"/>
      <c r="E21" s="367"/>
      <c r="F21" s="344"/>
      <c r="G21" s="345"/>
      <c r="H21" s="346"/>
      <c r="I21" s="347"/>
      <c r="J21" s="347"/>
      <c r="K21" s="347"/>
      <c r="L21" s="348"/>
      <c r="M21" s="349"/>
      <c r="N21" s="350"/>
      <c r="O21" s="347"/>
      <c r="Q21" s="347"/>
      <c r="R21" s="347"/>
      <c r="S21" s="347"/>
      <c r="T21" s="563"/>
      <c r="U21" s="584"/>
      <c r="W21" s="502" t="s">
        <v>166</v>
      </c>
      <c r="X21" s="502"/>
      <c r="Y21" s="502" t="s">
        <v>168</v>
      </c>
      <c r="Z21" s="502" t="s">
        <v>169</v>
      </c>
      <c r="AA21" s="661" t="s">
        <v>170</v>
      </c>
      <c r="AB21" s="661" t="s">
        <v>170</v>
      </c>
      <c r="AC21" s="661" t="s">
        <v>170</v>
      </c>
      <c r="AD21" s="661" t="s">
        <v>170</v>
      </c>
      <c r="AE21" s="661" t="s">
        <v>170</v>
      </c>
      <c r="AF21" s="591" t="s">
        <v>171</v>
      </c>
    </row>
    <row r="22" spans="1:32" s="353" customFormat="1" ht="22.5" customHeight="1" thickTop="1">
      <c r="A22" s="351"/>
      <c r="B22" s="342">
        <v>1</v>
      </c>
      <c r="C22" s="609">
        <v>12</v>
      </c>
      <c r="D22" s="610">
        <v>36</v>
      </c>
      <c r="E22" s="611" t="s">
        <v>212</v>
      </c>
      <c r="F22" s="612" t="s">
        <v>213</v>
      </c>
      <c r="G22" s="613" t="s">
        <v>172</v>
      </c>
      <c r="H22" s="614">
        <v>0.4</v>
      </c>
      <c r="I22" s="615" t="s">
        <v>173</v>
      </c>
      <c r="J22" s="616" t="s">
        <v>214</v>
      </c>
      <c r="K22" s="617">
        <v>43434</v>
      </c>
      <c r="L22" s="618">
        <v>636.71</v>
      </c>
      <c r="M22" s="494">
        <f>IF(OR(K22="",L22=""),"",IF(I22="SI",H22*L22,""))</f>
        <v>254.684</v>
      </c>
      <c r="N22" s="503">
        <f>IF(OR(I22="",M22=""),"",IF(I22="NO",0,IF(I22="SI",ROUND(M22,3),0)))</f>
        <v>254.684</v>
      </c>
      <c r="O22" s="636"/>
      <c r="Q22" s="352" t="str">
        <f>IF(K22="","",IF(AND(YEAR(K22)&gt;=YEAR($M$15), I22="SI",K22&lt;=$N$15),"CUMPLE","NO CUMPLE"))</f>
        <v>CUMPLE</v>
      </c>
      <c r="R22" s="636" t="s">
        <v>140</v>
      </c>
      <c r="S22" s="352" t="str">
        <f>IF(T22="","",IF(T22&gt;=20%,"CUMPLE","NO CUMPLE"))</f>
        <v>CUMPLE</v>
      </c>
      <c r="T22" s="656">
        <f t="shared" ref="T22:T27" si="0">IF(R22="","",VLOOKUP(J22,INTEGRAN,2,FALSE))</f>
        <v>0.6</v>
      </c>
      <c r="U22" s="585"/>
      <c r="W22" s="594">
        <v>1</v>
      </c>
      <c r="X22" s="595" t="str">
        <f>IF(AND(W22&lt;=$T19,$T19&gt;1,$T19&lt;&gt;""),VLOOKUP(VALUE($F16&amp;","&amp;W22),INTEGRANTES!$D$19:$G$106,2,0),"")</f>
        <v>CYCOV SAS</v>
      </c>
      <c r="Y22" s="596">
        <f>IF(X22&lt;&gt;"",VLOOKUP(VALUE($F16&amp;","&amp;$W22),INTEGRANTES!$D$19:$G$106,3,0),"")</f>
        <v>0.6</v>
      </c>
      <c r="Z22" s="597">
        <f>IF(X22="","",SUMIF($J$22:$J$27,X$22,N22:N$27))</f>
        <v>254.684</v>
      </c>
      <c r="AA22" s="592" t="str">
        <f>IF($Y22="","",IF(AND($Y22&gt;=20%,$Z22&gt;=$Z28),"CUMPLE","NO CUMPLE"))</f>
        <v>CUMPLE</v>
      </c>
      <c r="AB22" s="679" t="s">
        <v>526</v>
      </c>
      <c r="AC22" s="675" t="str">
        <f>IF(X22="","",IF(AND(Y22&gt;=40%,AB22="SI"),"CUMPLE","NO CUMPLE"))</f>
        <v>NO CUMPLE</v>
      </c>
      <c r="AD22" s="679" t="s">
        <v>525</v>
      </c>
      <c r="AE22" s="675" t="str">
        <f>IF(X22="","",IF(AD22="SI","CUMPLE","NO CUMPLE"))</f>
        <v>CUMPLE</v>
      </c>
      <c r="AF22" s="598"/>
    </row>
    <row r="23" spans="1:32" s="353" customFormat="1" ht="22.5" customHeight="1">
      <c r="A23" s="351"/>
      <c r="B23" s="342" t="str">
        <f t="shared" ref="B23:B25" si="1">IF(D23="","",B22+1)</f>
        <v/>
      </c>
      <c r="C23" s="619"/>
      <c r="D23" s="620"/>
      <c r="E23" s="621"/>
      <c r="F23" s="622"/>
      <c r="G23" s="623"/>
      <c r="H23" s="624"/>
      <c r="I23" s="625"/>
      <c r="J23" s="626"/>
      <c r="K23" s="627"/>
      <c r="L23" s="618"/>
      <c r="M23" s="556" t="str">
        <f>IF(OR(K23="",L23=""),"",IF(I23="SI",H23*L23,""))</f>
        <v/>
      </c>
      <c r="N23" s="504" t="str">
        <f>IF(OR(I23="",M23=""),"",IF(I23="SI",ROUND(M23,3),0))</f>
        <v/>
      </c>
      <c r="O23" s="636"/>
      <c r="Q23" s="352" t="str">
        <f t="shared" ref="Q23:Q28" si="2">IF(K23="","",IF(AND(YEAR(K23)&gt;=YEAR($M$15), I23="SI",K23&lt;=$N$15),"CUMPLE","NO CUMPLE"))</f>
        <v/>
      </c>
      <c r="R23" s="636"/>
      <c r="S23" s="352" t="str">
        <f t="shared" ref="S23:S27" si="3">IF(T23="","",IF(T23&gt;=20%,"CUMPLE","NO CUMPLE"))</f>
        <v/>
      </c>
      <c r="T23" s="564" t="str">
        <f t="shared" si="0"/>
        <v/>
      </c>
      <c r="U23" s="586"/>
      <c r="W23" s="594">
        <v>2</v>
      </c>
      <c r="X23" s="595" t="str">
        <f>IF(AND(W23&lt;=$T20,$T20&gt;1,$T20&lt;&gt;""),VLOOKUP(VALUE($F$16&amp;","&amp;W23),INTEGRANTES!$D$19:$G$106,2,0),"")</f>
        <v>JORGE EIVAR TULCAN LOSADA</v>
      </c>
      <c r="Y23" s="596">
        <f>IF(X23&lt;&gt;"",VLOOKUP(VALUE($F$16&amp;","&amp;$W23),INTEGRANTES!$D$19:$G$106,3,0),"")</f>
        <v>0.4</v>
      </c>
      <c r="Z23" s="597">
        <f>IF($X23="","",SUMIF($J22:$J27,$X23,N22:N$27))</f>
        <v>0</v>
      </c>
      <c r="AA23" s="593" t="str">
        <f t="shared" ref="AA23:AA27" si="4">IF(Y23="","",IF(AND(Y23&gt;=20%,Z23&gt;=$Z$28),"CUMPLE","NO CUMPLE"))</f>
        <v>NO CUMPLE</v>
      </c>
      <c r="AB23" s="680" t="s">
        <v>525</v>
      </c>
      <c r="AC23" s="593" t="str">
        <f t="shared" ref="AC23:AC27" si="5">IF(X23="","",IF(AND(Y23&gt;=40%,AB23="SI"),"CUMPLE","NO CUMPLE"))</f>
        <v>CUMPLE</v>
      </c>
      <c r="AD23" s="680" t="s">
        <v>525</v>
      </c>
      <c r="AE23" s="593" t="str">
        <f t="shared" ref="AE23:AE27" si="6">IF(X23="","",IF(AD23="SI","CUMPLE","NO CUMPLE"))</f>
        <v>CUMPLE</v>
      </c>
      <c r="AF23" s="598"/>
    </row>
    <row r="24" spans="1:32" s="353" customFormat="1" ht="22.5" customHeight="1">
      <c r="A24" s="351"/>
      <c r="B24" s="342" t="str">
        <f t="shared" si="1"/>
        <v/>
      </c>
      <c r="C24" s="619"/>
      <c r="D24" s="620"/>
      <c r="E24" s="628"/>
      <c r="F24" s="622"/>
      <c r="G24" s="623"/>
      <c r="H24" s="624"/>
      <c r="I24" s="625"/>
      <c r="J24" s="626"/>
      <c r="K24" s="627"/>
      <c r="L24" s="618"/>
      <c r="M24" s="556" t="str">
        <f t="shared" ref="M24:M25" si="7">IF(OR(K24="",L24=""),"",IF(I24="SI",H24*L24,""))</f>
        <v/>
      </c>
      <c r="N24" s="504" t="str">
        <f>IF(OR(I24="",M24=""),"",IF(I24="SI",ROUND(M24,3),0))</f>
        <v/>
      </c>
      <c r="O24" s="636"/>
      <c r="Q24" s="352" t="str">
        <f t="shared" si="2"/>
        <v/>
      </c>
      <c r="R24" s="636"/>
      <c r="S24" s="352" t="str">
        <f t="shared" si="3"/>
        <v/>
      </c>
      <c r="T24" s="564" t="str">
        <f t="shared" si="0"/>
        <v/>
      </c>
      <c r="U24" s="586"/>
      <c r="W24" s="594">
        <v>3</v>
      </c>
      <c r="X24" s="595" t="str">
        <f>IF(AND(W24&lt;=$T21,$T21&gt;1,$T21&lt;&gt;""),VLOOKUP(VALUE($F$16&amp;","&amp;W24),INTEGRANTES!$D$19:$G$106,2,0),"")</f>
        <v/>
      </c>
      <c r="Y24" s="596" t="str">
        <f>IF(X24&lt;&gt;"",VLOOKUP(VALUE($F$16&amp;","&amp;$W24),INTEGRANTES!$D$19:$G$106,3,0),"")</f>
        <v/>
      </c>
      <c r="Z24" s="597" t="str">
        <f>IF(X24="","",SUMIF($J$22:$J$27,X$22,N24:N$27))</f>
        <v/>
      </c>
      <c r="AA24" s="593" t="str">
        <f t="shared" si="4"/>
        <v/>
      </c>
      <c r="AB24" s="680"/>
      <c r="AC24" s="593" t="str">
        <f t="shared" si="5"/>
        <v/>
      </c>
      <c r="AD24" s="680"/>
      <c r="AE24" s="593" t="str">
        <f t="shared" si="6"/>
        <v/>
      </c>
      <c r="AF24" s="598"/>
    </row>
    <row r="25" spans="1:32" s="353" customFormat="1" ht="22.5" customHeight="1">
      <c r="A25" s="351"/>
      <c r="B25" s="342" t="str">
        <f t="shared" si="1"/>
        <v/>
      </c>
      <c r="C25" s="619"/>
      <c r="D25" s="620"/>
      <c r="E25" s="628"/>
      <c r="F25" s="622"/>
      <c r="G25" s="623"/>
      <c r="H25" s="624"/>
      <c r="I25" s="625"/>
      <c r="J25" s="629"/>
      <c r="K25" s="627"/>
      <c r="L25" s="618"/>
      <c r="M25" s="555" t="str">
        <f t="shared" si="7"/>
        <v/>
      </c>
      <c r="N25" s="504" t="str">
        <f>IF(OR(I25="",M25=""),"",IF(I25="SI",ROUND(M25,3),0))</f>
        <v/>
      </c>
      <c r="O25" s="636"/>
      <c r="Q25" s="352" t="str">
        <f t="shared" si="2"/>
        <v/>
      </c>
      <c r="R25" s="636"/>
      <c r="S25" s="352" t="str">
        <f t="shared" si="3"/>
        <v/>
      </c>
      <c r="T25" s="564" t="str">
        <f t="shared" si="0"/>
        <v/>
      </c>
      <c r="U25" s="586"/>
      <c r="W25" s="594">
        <v>4</v>
      </c>
      <c r="X25" s="595" t="str">
        <f>IF(AND(W25&lt;=$T22,$T22&gt;1,$T22&lt;&gt;""),VLOOKUP(VALUE($F$16&amp;","&amp;W25),INTEGRANTES!$D$19:$G$106,2,0),"")</f>
        <v/>
      </c>
      <c r="Y25" s="596" t="str">
        <f>IF(X25&lt;&gt;"",VLOOKUP(VALUE($F$16&amp;","&amp;$W25),INTEGRANTES!$D$19:$G$106,3,0),"")</f>
        <v/>
      </c>
      <c r="Z25" s="597" t="str">
        <f>IF(X25="","",SUMIF($J$22:$J$27,X$22,N25:N$27))</f>
        <v/>
      </c>
      <c r="AA25" s="593" t="str">
        <f t="shared" si="4"/>
        <v/>
      </c>
      <c r="AB25" s="680"/>
      <c r="AC25" s="593" t="str">
        <f t="shared" si="5"/>
        <v/>
      </c>
      <c r="AD25" s="680"/>
      <c r="AE25" s="593" t="str">
        <f t="shared" si="6"/>
        <v/>
      </c>
      <c r="AF25" s="598"/>
    </row>
    <row r="26" spans="1:32" s="353" customFormat="1" ht="22.5" customHeight="1">
      <c r="A26" s="351"/>
      <c r="B26" s="342" t="str">
        <f t="shared" ref="B26:B27" si="8">IF(D26="","",B25+1)</f>
        <v/>
      </c>
      <c r="C26" s="619"/>
      <c r="D26" s="620"/>
      <c r="E26" s="628"/>
      <c r="F26" s="622"/>
      <c r="G26" s="623"/>
      <c r="H26" s="624"/>
      <c r="I26" s="625"/>
      <c r="J26" s="629"/>
      <c r="K26" s="627"/>
      <c r="L26" s="618"/>
      <c r="M26" s="556" t="str">
        <f t="shared" ref="M26:M27" si="9">IF(OR(K26="",L26=""),"",IF(I26="SI",H26*L26,""))</f>
        <v/>
      </c>
      <c r="N26" s="504" t="str">
        <f>IF(OR(I26="",M26=""),"",IF(I26="SI",ROUND(M26,3),0))</f>
        <v/>
      </c>
      <c r="O26" s="636"/>
      <c r="Q26" s="352" t="str">
        <f t="shared" si="2"/>
        <v/>
      </c>
      <c r="R26" s="636"/>
      <c r="S26" s="352" t="str">
        <f t="shared" si="3"/>
        <v/>
      </c>
      <c r="T26" s="564" t="str">
        <f t="shared" si="0"/>
        <v/>
      </c>
      <c r="U26" s="586"/>
      <c r="W26" s="594">
        <v>5</v>
      </c>
      <c r="X26" s="595" t="str">
        <f>IF(AND(W26&lt;=$T23,$T23&gt;1,$T23&lt;&gt;""),VLOOKUP(VALUE($F$16&amp;","&amp;W26),INTEGRANTES!$D$19:$G$106,2,0),"")</f>
        <v/>
      </c>
      <c r="Y26" s="596" t="str">
        <f>IF(X26&lt;&gt;"",VLOOKUP(VALUE($F$16&amp;","&amp;$W26),INTEGRANTES!$D$19:$G$106,3,0),"")</f>
        <v/>
      </c>
      <c r="Z26" s="597" t="str">
        <f>IF(X26="","",SUMIF($J$22:$J$27,X$22,N26:N$27))</f>
        <v/>
      </c>
      <c r="AA26" s="593" t="str">
        <f t="shared" si="4"/>
        <v/>
      </c>
      <c r="AB26" s="680"/>
      <c r="AC26" s="593" t="str">
        <f t="shared" si="5"/>
        <v/>
      </c>
      <c r="AD26" s="680"/>
      <c r="AE26" s="593" t="str">
        <f t="shared" si="6"/>
        <v/>
      </c>
      <c r="AF26" s="598"/>
    </row>
    <row r="27" spans="1:32" s="353" customFormat="1" ht="22.5" customHeight="1">
      <c r="A27" s="351"/>
      <c r="B27" s="342" t="str">
        <f t="shared" si="8"/>
        <v/>
      </c>
      <c r="C27" s="619"/>
      <c r="D27" s="620"/>
      <c r="E27" s="628"/>
      <c r="F27" s="622"/>
      <c r="G27" s="623"/>
      <c r="H27" s="624"/>
      <c r="I27" s="625"/>
      <c r="J27" s="629"/>
      <c r="K27" s="627"/>
      <c r="L27" s="618"/>
      <c r="M27" s="555" t="str">
        <f t="shared" si="9"/>
        <v/>
      </c>
      <c r="N27" s="504" t="str">
        <f>IF(OR(I27="",M27=""),"",IF(I27="SI",ROUND(M27,3),0))</f>
        <v/>
      </c>
      <c r="O27" s="636"/>
      <c r="Q27" s="352" t="str">
        <f t="shared" si="2"/>
        <v/>
      </c>
      <c r="R27" s="636"/>
      <c r="S27" s="352" t="str">
        <f t="shared" si="3"/>
        <v/>
      </c>
      <c r="T27" s="564" t="str">
        <f t="shared" si="0"/>
        <v/>
      </c>
      <c r="U27" s="586"/>
      <c r="W27" s="599">
        <v>6</v>
      </c>
      <c r="X27" s="595" t="str">
        <f>IF(AND(W27&lt;=$T24,$T24&gt;1,$T24&lt;&gt;""),VLOOKUP(VALUE($F$16&amp;","&amp;W27),INTEGRANTES!$D$19:$G$106,2,0),"")</f>
        <v/>
      </c>
      <c r="Y27" s="596" t="str">
        <f>IF(X27&lt;&gt;"",VLOOKUP(VALUE($F$16&amp;","&amp;$W27),INTEGRANTES!$D$19:$G$106,3,0),"")</f>
        <v/>
      </c>
      <c r="Z27" s="597" t="str">
        <f>IF(X27="","",SUMIF($J$22:$J$27,X$22,N27:N$27))</f>
        <v/>
      </c>
      <c r="AA27" s="593" t="str">
        <f t="shared" si="4"/>
        <v/>
      </c>
      <c r="AB27" s="680"/>
      <c r="AC27" s="593" t="str">
        <f t="shared" si="5"/>
        <v/>
      </c>
      <c r="AD27" s="680"/>
      <c r="AE27" s="593" t="str">
        <f t="shared" si="6"/>
        <v/>
      </c>
      <c r="AF27" s="598"/>
    </row>
    <row r="28" spans="1:32" ht="22.5" customHeight="1" thickBot="1">
      <c r="B28" s="354"/>
      <c r="C28" s="630"/>
      <c r="D28" s="631"/>
      <c r="E28" s="632"/>
      <c r="F28" s="631"/>
      <c r="G28" s="631"/>
      <c r="H28" s="631"/>
      <c r="I28" s="633"/>
      <c r="J28" s="634"/>
      <c r="K28" s="635"/>
      <c r="L28" s="631"/>
      <c r="M28" s="356"/>
      <c r="N28" s="360"/>
      <c r="O28" s="636" t="str">
        <f>IF(L28="","",IF(AND(L28&gt;=YEAR($M$15), J28="SI",L28&lt;=S22),"CUMPLE","NO CUMPLE"))</f>
        <v/>
      </c>
      <c r="Q28" s="352" t="str">
        <f t="shared" si="2"/>
        <v/>
      </c>
      <c r="R28" s="636" t="str">
        <f>IF(P28="","",IF(AND(P28&gt;=YEAR($M$15), M28="SI",P28&lt;=W21),"CUMPLE","NO CUMPLE"))</f>
        <v/>
      </c>
      <c r="S28" s="352" t="str">
        <f>IF(P28="","",IF(AND(P28&gt;=YEAR($M$15), N28="SI",P28&lt;=X21),"CUMPLE","NO CUMPLE"))</f>
        <v/>
      </c>
      <c r="T28" s="564"/>
      <c r="U28" s="586"/>
      <c r="W28" s="600"/>
      <c r="X28" s="600"/>
      <c r="Y28" s="600"/>
      <c r="Z28" s="601">
        <f>MAX(Z22:Z27)</f>
        <v>254.684</v>
      </c>
      <c r="AA28" s="602"/>
      <c r="AB28" s="602"/>
      <c r="AC28" s="602"/>
      <c r="AD28" s="602"/>
      <c r="AE28" s="602"/>
      <c r="AF28" s="603"/>
    </row>
    <row r="29" spans="1:32" s="52" customFormat="1" ht="17.100000000000001" customHeight="1" thickTop="1" thickBot="1">
      <c r="A29" s="361">
        <f>F16</f>
        <v>1</v>
      </c>
      <c r="B29" s="364"/>
      <c r="C29" s="379"/>
      <c r="D29" s="664"/>
      <c r="E29" s="752"/>
      <c r="F29" s="752"/>
      <c r="G29" s="752"/>
      <c r="H29" s="752"/>
      <c r="I29" s="752"/>
      <c r="J29" s="752"/>
      <c r="K29" s="752"/>
      <c r="L29" s="753"/>
      <c r="M29" s="754"/>
      <c r="N29" s="365">
        <f>SUM(N22:N28)</f>
        <v>254.684</v>
      </c>
      <c r="O29" s="373"/>
      <c r="Q29" s="374" t="str">
        <f>IF(COUNTIF(Q22:Q28,"CUMPLE")&gt;0,"CUMPLE","NO CUMPLE")</f>
        <v>CUMPLE</v>
      </c>
      <c r="R29" s="374" t="str">
        <f>IF(COUNTIF(R22:R25,"COLOMBIA")&gt;0,"CUMPLE","NO CUMPLE")</f>
        <v>CUMPLE</v>
      </c>
      <c r="S29" s="373" t="str">
        <f>IF(COUNTIF(S22:S25,"CUMPLE")&gt;0,"CUMPLE","NO CUMPLE")</f>
        <v>CUMPLE</v>
      </c>
      <c r="T29" s="566"/>
      <c r="U29" s="587"/>
      <c r="AA29" s="589" t="str">
        <f>IF(COUNTIF(AA22:AA27,"CUMPLE")&gt;0,"CUMPLE","NO CUMPLE")</f>
        <v>CUMPLE</v>
      </c>
      <c r="AB29" s="735" t="str">
        <f>IF(COUNTIF(AC22:AC27,"CUMPLE")&gt;0,"CUMPLE","NO CUMPLE")</f>
        <v>CUMPLE</v>
      </c>
      <c r="AC29" s="736"/>
      <c r="AD29" s="735" t="str">
        <f>IF(COUNTIF(AE22:AE27,"CUMPLE")&gt;0,"CUMPLE","NO CUMPLE")</f>
        <v>CUMPLE</v>
      </c>
      <c r="AE29" s="736"/>
    </row>
    <row r="30" spans="1:32" ht="16.5" thickTop="1">
      <c r="B30" s="557"/>
      <c r="C30" s="558"/>
      <c r="D30" s="558"/>
      <c r="E30" s="558"/>
      <c r="F30" s="558"/>
      <c r="G30" s="558"/>
      <c r="H30" s="558"/>
      <c r="I30" s="558"/>
      <c r="J30" s="558"/>
      <c r="K30" s="558"/>
      <c r="L30" s="80"/>
      <c r="M30" s="666" t="s">
        <v>516</v>
      </c>
      <c r="N30" s="369">
        <f ca="1">VFrequerido!Y15</f>
        <v>254.25</v>
      </c>
      <c r="O30" s="568"/>
      <c r="Q30" s="570"/>
      <c r="R30" s="571"/>
      <c r="S30" s="572"/>
      <c r="T30" s="573"/>
      <c r="U30" s="80"/>
    </row>
    <row r="31" spans="1:32" ht="15.75" thickBot="1">
      <c r="A31" s="490" t="str">
        <f>"E"&amp;F16</f>
        <v>E1</v>
      </c>
      <c r="B31" s="559"/>
      <c r="C31" s="560"/>
      <c r="D31" s="560"/>
      <c r="E31" s="560"/>
      <c r="F31" s="560"/>
      <c r="G31" s="560"/>
      <c r="H31" s="560"/>
      <c r="I31" s="560"/>
      <c r="J31" s="560"/>
      <c r="K31" s="560"/>
      <c r="L31" s="363"/>
      <c r="M31" s="755" t="str">
        <f ca="1">IF(OR(N29=0,N29&lt;N30),"NO CUMPLE","CUMPLE")</f>
        <v>CUMPLE</v>
      </c>
      <c r="N31" s="756"/>
      <c r="O31" s="569"/>
      <c r="Q31" s="492"/>
      <c r="R31" s="493"/>
      <c r="S31" s="363"/>
      <c r="T31" s="574"/>
      <c r="U31" s="80"/>
    </row>
    <row r="32" spans="1:32" ht="13.5" thickTop="1"/>
    <row r="34" spans="1:31">
      <c r="F34" s="757">
        <f>F16+1</f>
        <v>2</v>
      </c>
      <c r="G34" s="758" t="str">
        <f>VLOOKUP(F34,PROPO,2,FALSE)</f>
        <v>CONSORCIO RUTA SANTANDER 100</v>
      </c>
      <c r="H34" s="758"/>
      <c r="I34" s="758"/>
      <c r="J34" s="758"/>
      <c r="K34" s="52"/>
      <c r="O34" s="52"/>
      <c r="Q34" s="52"/>
      <c r="R34" s="52"/>
    </row>
    <row r="35" spans="1:31">
      <c r="B35" s="328"/>
      <c r="C35" s="328"/>
      <c r="D35" s="328"/>
      <c r="E35" s="328"/>
      <c r="F35" s="757"/>
      <c r="G35" s="758"/>
      <c r="H35" s="758"/>
      <c r="I35" s="758"/>
      <c r="J35" s="758"/>
      <c r="K35" s="52"/>
      <c r="N35" s="567"/>
      <c r="O35" s="52"/>
      <c r="Q35" s="52"/>
      <c r="R35" s="52"/>
    </row>
    <row r="36" spans="1:31" ht="13.5" thickBot="1">
      <c r="B36" s="329"/>
      <c r="C36" s="329"/>
      <c r="D36" s="56"/>
      <c r="E36" s="56"/>
      <c r="F36" s="56"/>
      <c r="G36" s="56"/>
      <c r="H36" s="56"/>
      <c r="I36" s="56"/>
      <c r="J36" s="56"/>
      <c r="K36" s="330"/>
      <c r="L36" s="331"/>
      <c r="M36" s="331"/>
      <c r="N36" s="330"/>
      <c r="O36" s="330"/>
      <c r="Q36" s="330"/>
      <c r="R36" s="330"/>
    </row>
    <row r="37" spans="1:31" ht="50.1" customHeight="1" thickTop="1" thickBot="1">
      <c r="B37" s="332" t="s">
        <v>16</v>
      </c>
      <c r="C37" s="744" t="s">
        <v>121</v>
      </c>
      <c r="D37" s="333" t="s">
        <v>17</v>
      </c>
      <c r="E37" s="746" t="s">
        <v>18</v>
      </c>
      <c r="F37" s="747"/>
      <c r="G37" s="748" t="s">
        <v>117</v>
      </c>
      <c r="H37" s="749"/>
      <c r="I37" s="744" t="s">
        <v>39</v>
      </c>
      <c r="J37" s="744" t="s">
        <v>0</v>
      </c>
      <c r="K37" s="665" t="s">
        <v>19</v>
      </c>
      <c r="L37" s="750" t="s">
        <v>20</v>
      </c>
      <c r="M37" s="751"/>
      <c r="N37" s="68" t="s">
        <v>52</v>
      </c>
      <c r="O37" s="501" t="s">
        <v>151</v>
      </c>
      <c r="Q37" s="665" t="s">
        <v>127</v>
      </c>
      <c r="R37" s="665" t="s">
        <v>138</v>
      </c>
      <c r="S37" s="665" t="s">
        <v>163</v>
      </c>
      <c r="T37" s="565">
        <f>IF(VLOOKUP(F34,PROPONENTES!$C$19:$E$54,3,0)="","",VLOOKUP(F34,PROPONENTES!$C$19:$E$54,3,0))</f>
        <v>2</v>
      </c>
      <c r="U37" s="582"/>
      <c r="W37" s="737" t="s">
        <v>167</v>
      </c>
      <c r="X37" s="738"/>
      <c r="Y37" s="738"/>
      <c r="Z37" s="738"/>
      <c r="AA37" s="738"/>
      <c r="AB37" s="738"/>
      <c r="AC37" s="738"/>
      <c r="AD37" s="738"/>
      <c r="AE37" s="739"/>
    </row>
    <row r="38" spans="1:31" ht="50.1" customHeight="1" thickTop="1" thickBot="1">
      <c r="B38" s="334" t="s">
        <v>21</v>
      </c>
      <c r="C38" s="745"/>
      <c r="D38" s="335" t="s">
        <v>22</v>
      </c>
      <c r="E38" s="366" t="s">
        <v>23</v>
      </c>
      <c r="F38" s="336" t="s">
        <v>24</v>
      </c>
      <c r="G38" s="337" t="s">
        <v>118</v>
      </c>
      <c r="H38" s="338" t="s">
        <v>119</v>
      </c>
      <c r="I38" s="745"/>
      <c r="J38" s="745"/>
      <c r="K38" s="663" t="s">
        <v>120</v>
      </c>
      <c r="L38" s="339" t="s">
        <v>150</v>
      </c>
      <c r="M38" s="340" t="s">
        <v>14</v>
      </c>
      <c r="N38" s="341" t="s">
        <v>14</v>
      </c>
      <c r="O38" s="502" t="s">
        <v>152</v>
      </c>
      <c r="Q38" s="663" t="s">
        <v>128</v>
      </c>
      <c r="R38" s="663" t="s">
        <v>139</v>
      </c>
      <c r="S38" s="663" t="s">
        <v>164</v>
      </c>
      <c r="T38" s="575" t="s">
        <v>83</v>
      </c>
      <c r="U38" s="583"/>
      <c r="W38" s="740" t="s">
        <v>166</v>
      </c>
      <c r="X38" s="743"/>
      <c r="Y38" s="663" t="s">
        <v>168</v>
      </c>
      <c r="Z38" s="663" t="s">
        <v>169</v>
      </c>
      <c r="AA38" s="663" t="s">
        <v>170</v>
      </c>
      <c r="AB38" s="740" t="s">
        <v>524</v>
      </c>
      <c r="AC38" s="741"/>
      <c r="AD38" s="742" t="s">
        <v>522</v>
      </c>
      <c r="AE38" s="741"/>
    </row>
    <row r="39" spans="1:31" ht="14.25" hidden="1" customHeight="1">
      <c r="B39" s="342">
        <v>0</v>
      </c>
      <c r="C39" s="347"/>
      <c r="D39" s="343"/>
      <c r="E39" s="367"/>
      <c r="F39" s="344"/>
      <c r="G39" s="345"/>
      <c r="H39" s="346"/>
      <c r="I39" s="347"/>
      <c r="J39" s="347"/>
      <c r="K39" s="347"/>
      <c r="L39" s="348"/>
      <c r="M39" s="349"/>
      <c r="N39" s="350"/>
      <c r="O39" s="347"/>
      <c r="Q39" s="347"/>
      <c r="R39" s="347"/>
      <c r="S39" s="347"/>
      <c r="T39" s="563"/>
      <c r="U39" s="584"/>
      <c r="W39" s="502" t="s">
        <v>166</v>
      </c>
      <c r="X39" s="502"/>
      <c r="Y39" s="502" t="s">
        <v>168</v>
      </c>
      <c r="Z39" s="502" t="s">
        <v>169</v>
      </c>
      <c r="AA39" s="502" t="s">
        <v>174</v>
      </c>
      <c r="AB39" s="661" t="s">
        <v>170</v>
      </c>
      <c r="AC39" s="661" t="s">
        <v>170</v>
      </c>
      <c r="AD39" s="661" t="s">
        <v>170</v>
      </c>
      <c r="AE39" s="661" t="s">
        <v>170</v>
      </c>
    </row>
    <row r="40" spans="1:31" s="353" customFormat="1" ht="22.5" customHeight="1" thickTop="1">
      <c r="A40" s="351"/>
      <c r="B40" s="342">
        <f>IF(D40="","",B39+1)</f>
        <v>1</v>
      </c>
      <c r="C40" s="609">
        <v>25</v>
      </c>
      <c r="D40" s="610" t="s">
        <v>217</v>
      </c>
      <c r="E40" s="611" t="s">
        <v>218</v>
      </c>
      <c r="F40" s="612" t="s">
        <v>219</v>
      </c>
      <c r="G40" s="613" t="s">
        <v>226</v>
      </c>
      <c r="H40" s="614">
        <v>1</v>
      </c>
      <c r="I40" s="615" t="s">
        <v>173</v>
      </c>
      <c r="J40" s="616" t="s">
        <v>227</v>
      </c>
      <c r="K40" s="617">
        <v>41247</v>
      </c>
      <c r="L40" s="618">
        <v>69.2</v>
      </c>
      <c r="M40" s="494">
        <f>IF(OR(K40="",L40=""),"",IF(I40="SI",H40*L40,""))</f>
        <v>69.2</v>
      </c>
      <c r="N40" s="503">
        <f>IF(OR(I40="",M40=""),"",IF(I40="NO",0,IF(I40="SI",ROUND(M40,3),0)))</f>
        <v>69.2</v>
      </c>
      <c r="O40" s="636"/>
      <c r="Q40" s="352" t="str">
        <f>IF(K40="","",IF(AND(YEAR(K40)&gt;=YEAR($M$15), I40="SI",K40&lt;=$N$15),"CUMPLE","NO CUMPLE"))</f>
        <v>NO CUMPLE</v>
      </c>
      <c r="R40" s="636" t="s">
        <v>140</v>
      </c>
      <c r="S40" s="352" t="str">
        <f>IF(T40="","",IF(T40&gt;=20%,"CUMPLE","NO CUMPLE"))</f>
        <v>CUMPLE</v>
      </c>
      <c r="T40" s="656">
        <f t="shared" ref="T40:T45" si="10">IF(R40="","",VLOOKUP(J40,INTEGRAN,2,FALSE))</f>
        <v>0.2</v>
      </c>
      <c r="U40" s="585"/>
      <c r="W40" s="594">
        <v>1</v>
      </c>
      <c r="X40" s="595" t="s">
        <v>228</v>
      </c>
      <c r="Y40" s="596">
        <f>IF(X40&lt;&gt;"",VLOOKUP(VALUE($F34&amp;","&amp;$W40),INTEGRANTES!$D$19:$G$106,3,0),"")</f>
        <v>0.8</v>
      </c>
      <c r="Z40" s="597">
        <f>IF(X40="","",SUMIF($J$22:$J$27,X$22,N$27:N40))</f>
        <v>0</v>
      </c>
      <c r="AA40" s="604" t="str">
        <f>IF($Y40="","",IF(AND($Y40&gt;=20%,$Z40&gt;=$Z46),"CUMPLE","NO CUMPLE"))</f>
        <v>NO CUMPLE</v>
      </c>
      <c r="AB40" s="679" t="s">
        <v>525</v>
      </c>
      <c r="AC40" s="592" t="str">
        <f t="shared" ref="AC40:AC45" si="11">IF(X40="","",IF(AND(Y40&gt;=40%,AB40="SI"),"CUMPLE","NO CUMPLE"))</f>
        <v>CUMPLE</v>
      </c>
      <c r="AD40" s="679" t="s">
        <v>525</v>
      </c>
      <c r="AE40" s="592" t="str">
        <f>IF(X40="","",IF(AD40="SI","CUMPLE","NO CUMPLE"))</f>
        <v>CUMPLE</v>
      </c>
    </row>
    <row r="41" spans="1:31" s="353" customFormat="1" ht="22.5" customHeight="1">
      <c r="A41" s="351"/>
      <c r="B41" s="342">
        <f>IF(D41="","",B40+1)</f>
        <v>2</v>
      </c>
      <c r="C41" s="619">
        <v>17</v>
      </c>
      <c r="D41" s="620" t="s">
        <v>217</v>
      </c>
      <c r="E41" s="621" t="s">
        <v>220</v>
      </c>
      <c r="F41" s="622" t="s">
        <v>221</v>
      </c>
      <c r="G41" s="623" t="s">
        <v>172</v>
      </c>
      <c r="H41" s="624">
        <v>0.5</v>
      </c>
      <c r="I41" s="625" t="s">
        <v>173</v>
      </c>
      <c r="J41" s="626" t="s">
        <v>227</v>
      </c>
      <c r="K41" s="627">
        <v>39813</v>
      </c>
      <c r="L41" s="618">
        <v>75.989999999999995</v>
      </c>
      <c r="M41" s="556">
        <f>IF(OR(K41="",L41=""),"",IF(I41="SI",H41*L41,""))</f>
        <v>37.994999999999997</v>
      </c>
      <c r="N41" s="504">
        <f>IF(OR(I41="",M41=""),"",IF(I41="SI",ROUND(M41,3),0))</f>
        <v>37.994999999999997</v>
      </c>
      <c r="O41" s="636"/>
      <c r="Q41" s="352" t="str">
        <f t="shared" ref="Q41:Q45" si="12">IF(K41="","",IF(AND(YEAR(K41)&gt;=YEAR($M$15), I41="SI",K41&lt;=$N$15),"CUMPLE","NO CUMPLE"))</f>
        <v>NO CUMPLE</v>
      </c>
      <c r="R41" s="636" t="s">
        <v>140</v>
      </c>
      <c r="S41" s="352" t="str">
        <f t="shared" ref="S41:S45" si="13">IF(T41="","",IF(T41&gt;=20%,"CUMPLE","NO CUMPLE"))</f>
        <v>CUMPLE</v>
      </c>
      <c r="T41" s="656">
        <f t="shared" si="10"/>
        <v>0.2</v>
      </c>
      <c r="U41" s="586"/>
      <c r="W41" s="594">
        <v>2</v>
      </c>
      <c r="X41" s="595" t="str">
        <f>IF(AND(W41&lt;=$T37,$T37&gt;1,$T37&lt;&gt;""),VLOOKUP(VALUE($F34&amp;","&amp;W41),INTEGRANTES!$D$19:$G$106,2,0),"")</f>
        <v>OCTAVIO GUILLERMO BENAVIDES BURBANO</v>
      </c>
      <c r="Y41" s="596">
        <f>IF(X41&lt;&gt;"",VLOOKUP(VALUE($F34&amp;","&amp;$W41),INTEGRANTES!$D$19:$G$106,3,0),"")</f>
        <v>0.2</v>
      </c>
      <c r="Z41" s="597">
        <f>IF(X41="","",SUMIF($J$40:$J$45,X$41,N$40:N45))</f>
        <v>107.19499999999999</v>
      </c>
      <c r="AA41" s="604" t="str">
        <f t="shared" ref="AA41" si="14">IF($Y41="","",IF(AND($Y41&gt;=20%,$Z41&gt;=$Z47),"CUMPLE","NO CUMPLE"))</f>
        <v>CUMPLE</v>
      </c>
      <c r="AB41" s="680" t="s">
        <v>525</v>
      </c>
      <c r="AC41" s="593" t="str">
        <f t="shared" si="11"/>
        <v>NO CUMPLE</v>
      </c>
      <c r="AD41" s="680" t="s">
        <v>525</v>
      </c>
      <c r="AE41" s="593" t="str">
        <f t="shared" ref="AE41:AE45" si="15">IF(X41="","",IF(AD41="SI","CUMPLE","NO CUMPLE"))</f>
        <v>CUMPLE</v>
      </c>
    </row>
    <row r="42" spans="1:31" s="353" customFormat="1" ht="22.5" customHeight="1">
      <c r="A42" s="351"/>
      <c r="B42" s="342">
        <f t="shared" ref="B42:B45" si="16">IF(D42="","",B41+1)</f>
        <v>3</v>
      </c>
      <c r="C42" s="619">
        <v>10</v>
      </c>
      <c r="D42" s="620" t="s">
        <v>217</v>
      </c>
      <c r="E42" s="628" t="s">
        <v>222</v>
      </c>
      <c r="F42" s="622" t="s">
        <v>223</v>
      </c>
      <c r="G42" s="623" t="s">
        <v>172</v>
      </c>
      <c r="H42" s="624">
        <v>0.5</v>
      </c>
      <c r="I42" s="625" t="s">
        <v>173</v>
      </c>
      <c r="J42" s="626" t="s">
        <v>228</v>
      </c>
      <c r="K42" s="627">
        <v>42004</v>
      </c>
      <c r="L42" s="618">
        <v>770.3</v>
      </c>
      <c r="M42" s="556">
        <f t="shared" ref="M42:M45" si="17">IF(OR(K42="",L42=""),"",IF(I42="SI",H42*L42,""))</f>
        <v>385.15</v>
      </c>
      <c r="N42" s="504">
        <f>IF(OR(I42="",M42=""),"",IF(I42="SI",ROUND(M42,3),0))</f>
        <v>385.15</v>
      </c>
      <c r="O42" s="636"/>
      <c r="Q42" s="352" t="str">
        <f t="shared" si="12"/>
        <v>CUMPLE</v>
      </c>
      <c r="R42" s="636" t="s">
        <v>140</v>
      </c>
      <c r="S42" s="352" t="str">
        <f t="shared" si="13"/>
        <v>CUMPLE</v>
      </c>
      <c r="T42" s="656">
        <f t="shared" si="10"/>
        <v>0.8</v>
      </c>
      <c r="U42" s="586"/>
      <c r="W42" s="594">
        <v>3</v>
      </c>
      <c r="X42" s="595" t="str">
        <f>IF(AND(W42&lt;=$T37,$T37&gt;1,$T37&lt;&gt;""),VLOOKUP(VALUE($F34&amp;","&amp;W42),INTEGRANTES!$D$19:$G$106,2,0),"")</f>
        <v/>
      </c>
      <c r="Y42" s="596" t="str">
        <f>IF(X42&lt;&gt;"",VLOOKUP(VALUE($F34&amp;","&amp;$W42),INTEGRANTES!$D$19:$G$106,3,0),"")</f>
        <v/>
      </c>
      <c r="Z42" s="597" t="str">
        <f>IF(X42="","",SUMIF($J$40:$J$45,X$22,N$40:N45))</f>
        <v/>
      </c>
      <c r="AA42" s="604" t="str">
        <f>IF($Y42="","",IF(AND($Y42&gt;=20%,$Z42&gt;=$Z48),"CUMPLE","NO CUMPLE"))</f>
        <v/>
      </c>
      <c r="AB42" s="680"/>
      <c r="AC42" s="593" t="str">
        <f t="shared" si="11"/>
        <v/>
      </c>
      <c r="AD42" s="680"/>
      <c r="AE42" s="593" t="str">
        <f t="shared" si="15"/>
        <v/>
      </c>
    </row>
    <row r="43" spans="1:31" s="353" customFormat="1" ht="22.5" customHeight="1">
      <c r="A43" s="351"/>
      <c r="B43" s="342">
        <f t="shared" si="16"/>
        <v>4</v>
      </c>
      <c r="C43" s="619">
        <v>21</v>
      </c>
      <c r="D43" s="620" t="s">
        <v>217</v>
      </c>
      <c r="E43" s="628" t="s">
        <v>224</v>
      </c>
      <c r="F43" s="622" t="s">
        <v>225</v>
      </c>
      <c r="G43" s="623" t="s">
        <v>172</v>
      </c>
      <c r="H43" s="624">
        <v>0.75</v>
      </c>
      <c r="I43" s="625" t="s">
        <v>173</v>
      </c>
      <c r="J43" s="629" t="s">
        <v>228</v>
      </c>
      <c r="K43" s="627">
        <v>43130</v>
      </c>
      <c r="L43" s="618">
        <v>59.8</v>
      </c>
      <c r="M43" s="555">
        <f t="shared" si="17"/>
        <v>44.85</v>
      </c>
      <c r="N43" s="504">
        <f>IF(OR(I43="",M43=""),"",IF(I43="SI",ROUND(M43,3),0))</f>
        <v>44.85</v>
      </c>
      <c r="O43" s="636"/>
      <c r="Q43" s="352" t="str">
        <f t="shared" si="12"/>
        <v>CUMPLE</v>
      </c>
      <c r="R43" s="636" t="s">
        <v>140</v>
      </c>
      <c r="S43" s="352" t="str">
        <f t="shared" si="13"/>
        <v>CUMPLE</v>
      </c>
      <c r="T43" s="656">
        <f t="shared" si="10"/>
        <v>0.8</v>
      </c>
      <c r="U43" s="586"/>
      <c r="W43" s="594">
        <v>4</v>
      </c>
      <c r="X43" s="595" t="str">
        <f>IF(AND(W43&lt;=$T37,$T37&gt;1,$T37&lt;&gt;""),VLOOKUP(VALUE($F34&amp;","&amp;W43),INTEGRANTES!$D$19:$G$106,2,0),"")</f>
        <v/>
      </c>
      <c r="Y43" s="596" t="str">
        <f>IF(X43&lt;&gt;"",VLOOKUP(VALUE($F34&amp;","&amp;$W43),INTEGRANTES!$D$19:$G$106,3,0),"")</f>
        <v/>
      </c>
      <c r="Z43" s="597" t="str">
        <f>IF(X43="","",SUMIF($J$40:$J$45,X$22,N$40:N45))</f>
        <v/>
      </c>
      <c r="AA43" s="604" t="str">
        <f>IF($Y43="","",IF(AND($Y43&gt;=20%,$Z43&gt;=$Z49),"CUMPLE","NO CUMPLE"))</f>
        <v/>
      </c>
      <c r="AB43" s="680"/>
      <c r="AC43" s="593" t="str">
        <f t="shared" si="11"/>
        <v/>
      </c>
      <c r="AD43" s="680"/>
      <c r="AE43" s="593" t="str">
        <f t="shared" si="15"/>
        <v/>
      </c>
    </row>
    <row r="44" spans="1:31" s="353" customFormat="1" ht="22.5" customHeight="1">
      <c r="A44" s="351"/>
      <c r="B44" s="342" t="str">
        <f t="shared" si="16"/>
        <v/>
      </c>
      <c r="C44" s="619"/>
      <c r="D44" s="620"/>
      <c r="E44" s="628"/>
      <c r="F44" s="622"/>
      <c r="G44" s="623"/>
      <c r="H44" s="624"/>
      <c r="I44" s="625"/>
      <c r="J44" s="629"/>
      <c r="K44" s="627"/>
      <c r="L44" s="618"/>
      <c r="M44" s="556" t="str">
        <f t="shared" si="17"/>
        <v/>
      </c>
      <c r="N44" s="504" t="str">
        <f>IF(OR(I44="",M44=""),"",IF(I44="SI",ROUND(M44,3),0))</f>
        <v/>
      </c>
      <c r="O44" s="636"/>
      <c r="Q44" s="352" t="str">
        <f t="shared" si="12"/>
        <v/>
      </c>
      <c r="R44" s="636"/>
      <c r="S44" s="352" t="str">
        <f t="shared" si="13"/>
        <v/>
      </c>
      <c r="T44" s="656" t="str">
        <f t="shared" si="10"/>
        <v/>
      </c>
      <c r="U44" s="586"/>
      <c r="W44" s="594">
        <v>5</v>
      </c>
      <c r="X44" s="595" t="str">
        <f>IF(AND(W44&lt;=$T37,$T37&gt;1,$T37&lt;&gt;""),VLOOKUP(VALUE($F34&amp;","&amp;W44),INTEGRANTES!$D$19:$G$106,2,0),"")</f>
        <v/>
      </c>
      <c r="Y44" s="596" t="str">
        <f>IF(X44&lt;&gt;"",VLOOKUP(VALUE($F34&amp;","&amp;$W44),INTEGRANTES!$D$19:$G$106,3,0),"")</f>
        <v/>
      </c>
      <c r="Z44" s="597" t="str">
        <f>IF(X44="","",SUMIF($J$40:$J$45,X$22,N$40:N45))</f>
        <v/>
      </c>
      <c r="AA44" s="604" t="str">
        <f>IF($Y44="","",IF(AND($Y44&gt;=20%,$Z44&gt;=$Z50),"CUMPLE","NO CUMPLE"))</f>
        <v/>
      </c>
      <c r="AB44" s="680"/>
      <c r="AC44" s="593" t="str">
        <f t="shared" si="11"/>
        <v/>
      </c>
      <c r="AD44" s="680"/>
      <c r="AE44" s="593" t="str">
        <f t="shared" si="15"/>
        <v/>
      </c>
    </row>
    <row r="45" spans="1:31" s="353" customFormat="1" ht="22.5" customHeight="1">
      <c r="A45" s="351"/>
      <c r="B45" s="342" t="str">
        <f t="shared" si="16"/>
        <v/>
      </c>
      <c r="C45" s="619"/>
      <c r="D45" s="620"/>
      <c r="E45" s="628"/>
      <c r="F45" s="622"/>
      <c r="G45" s="623"/>
      <c r="H45" s="624"/>
      <c r="I45" s="625"/>
      <c r="J45" s="629"/>
      <c r="K45" s="627"/>
      <c r="L45" s="618"/>
      <c r="M45" s="555" t="str">
        <f t="shared" si="17"/>
        <v/>
      </c>
      <c r="N45" s="504" t="str">
        <f>IF(OR(I45="",M45=""),"",IF(I45="SI",ROUND(M45,3),0))</f>
        <v/>
      </c>
      <c r="O45" s="636"/>
      <c r="Q45" s="352" t="str">
        <f t="shared" si="12"/>
        <v/>
      </c>
      <c r="R45" s="636"/>
      <c r="S45" s="352" t="str">
        <f t="shared" si="13"/>
        <v/>
      </c>
      <c r="T45" s="656" t="str">
        <f t="shared" si="10"/>
        <v/>
      </c>
      <c r="U45" s="586"/>
      <c r="W45" s="599">
        <v>6</v>
      </c>
      <c r="X45" s="595" t="str">
        <f>IF(AND(W45&lt;=$T37,$T37&gt;1,$T37&lt;&gt;""),VLOOKUP(VALUE($F34&amp;","&amp;W45),INTEGRANTES!$D$19:$G$106,2,0),"")</f>
        <v/>
      </c>
      <c r="Y45" s="596" t="str">
        <f>IF(X45&lt;&gt;"",VLOOKUP(VALUE($F34&amp;","&amp;$W45),INTEGRANTES!$D$19:$G$106,3,0),"")</f>
        <v/>
      </c>
      <c r="Z45" s="597" t="str">
        <f>IF(X45="","",SUMIF($J$40:$J$45,X$22,N$40:N45))</f>
        <v/>
      </c>
      <c r="AA45" s="604" t="str">
        <f>IF($Y45="","",IF(AND($Y45&gt;=20%,$Z45&gt;=$Z51),"CUMPLE","NO CUMPLE"))</f>
        <v/>
      </c>
      <c r="AB45" s="680"/>
      <c r="AC45" s="593" t="str">
        <f t="shared" si="11"/>
        <v/>
      </c>
      <c r="AD45" s="680"/>
      <c r="AE45" s="593" t="str">
        <f t="shared" si="15"/>
        <v/>
      </c>
    </row>
    <row r="46" spans="1:31" ht="5.0999999999999996" customHeight="1" thickBot="1">
      <c r="B46" s="354"/>
      <c r="C46" s="359"/>
      <c r="D46" s="355"/>
      <c r="E46" s="368"/>
      <c r="F46" s="355"/>
      <c r="G46" s="355"/>
      <c r="H46" s="355"/>
      <c r="I46" s="356"/>
      <c r="J46" s="357"/>
      <c r="K46" s="358"/>
      <c r="L46" s="355"/>
      <c r="M46" s="356"/>
      <c r="N46" s="360"/>
      <c r="O46" s="352" t="str">
        <f>IF(L46="","",IF(AND(L46&gt;=YEAR($M$15), J46="SI",L46&lt;=S40),"CUMPLE","NO CUMPLE"))</f>
        <v/>
      </c>
      <c r="Q46" s="352" t="str">
        <f>IF(N46="","",IF(AND(N46&gt;=YEAR($M$15), L46="SI",N46&lt;=V40),"CUMPLE","NO CUMPLE"))</f>
        <v/>
      </c>
      <c r="R46" s="352" t="str">
        <f>IF(P46="","",IF(AND(P46&gt;=YEAR($M$15), M46="SI",P46&lt;=W40),"CUMPLE","NO CUMPLE"))</f>
        <v/>
      </c>
      <c r="S46" s="352" t="str">
        <f>IF(P46="","",IF(AND(P46&gt;=YEAR($M$15), N46="SI",P46&lt;=X40),"CUMPLE","NO CUMPLE"))</f>
        <v/>
      </c>
      <c r="T46" s="564"/>
      <c r="U46" s="586"/>
      <c r="W46" s="600"/>
      <c r="X46" s="600"/>
      <c r="Y46" s="600"/>
      <c r="Z46" s="601">
        <f>MAX(Z40:Z45)</f>
        <v>107.19499999999999</v>
      </c>
      <c r="AA46" s="600"/>
      <c r="AB46" s="602"/>
      <c r="AC46" s="602"/>
      <c r="AD46" s="602"/>
      <c r="AE46" s="602"/>
    </row>
    <row r="47" spans="1:31" s="52" customFormat="1" ht="17.100000000000001" customHeight="1" thickTop="1" thickBot="1">
      <c r="A47" s="361">
        <f>F34</f>
        <v>2</v>
      </c>
      <c r="B47" s="364"/>
      <c r="C47" s="379"/>
      <c r="D47" s="664"/>
      <c r="E47" s="752"/>
      <c r="F47" s="752"/>
      <c r="G47" s="752"/>
      <c r="H47" s="752"/>
      <c r="I47" s="752"/>
      <c r="J47" s="752"/>
      <c r="K47" s="752"/>
      <c r="L47" s="753"/>
      <c r="M47" s="754"/>
      <c r="N47" s="365">
        <f>SUM(N40:N45)</f>
        <v>537.19500000000005</v>
      </c>
      <c r="O47" s="373"/>
      <c r="Q47" s="373" t="str">
        <f>IF(COUNTIF(Q40:Q43,"CUMPLE")&gt;0,"CUMPLE","NO CUMPLE")</f>
        <v>CUMPLE</v>
      </c>
      <c r="R47" s="374" t="str">
        <f>IF(COUNTIF(R40:R43,"COLOMBIA")&gt;0,"CUMPLE","NO CUMPLE")</f>
        <v>CUMPLE</v>
      </c>
      <c r="S47" s="373" t="str">
        <f>IF(COUNTIF(S40:S46,"CUMPLE")&gt;0,"CUMPLE","NO CUMPLE")</f>
        <v>CUMPLE</v>
      </c>
      <c r="T47" s="566"/>
      <c r="U47" s="587"/>
      <c r="AA47" s="589" t="str">
        <f>IF(COUNTIF(AA40:AA45,"CUMPLE")&gt;0,"CUMPLE","NO CUMPLE")</f>
        <v>CUMPLE</v>
      </c>
      <c r="AB47" s="735" t="str">
        <f>IF(COUNTIF(AC40:AC45,"CUMPLE")&gt;0,"CUMPLE","NO CUMPLE")</f>
        <v>CUMPLE</v>
      </c>
      <c r="AC47" s="736"/>
      <c r="AD47" s="735" t="str">
        <f>IF(COUNTIF(AE40:AE45,"CUMPLE")&gt;0,"CUMPLE","NO CUMPLE")</f>
        <v>CUMPLE</v>
      </c>
      <c r="AE47" s="736"/>
    </row>
    <row r="48" spans="1:31" ht="16.5" thickTop="1">
      <c r="B48" s="557"/>
      <c r="C48" s="558"/>
      <c r="D48" s="558"/>
      <c r="E48" s="558"/>
      <c r="F48" s="558"/>
      <c r="G48" s="558"/>
      <c r="H48" s="558"/>
      <c r="I48" s="558"/>
      <c r="J48" s="558"/>
      <c r="K48" s="558"/>
      <c r="L48" s="80"/>
      <c r="M48" s="362" t="s">
        <v>516</v>
      </c>
      <c r="N48" s="369">
        <f ca="1">VFrequerido!Y16</f>
        <v>537.11</v>
      </c>
      <c r="O48" s="568"/>
      <c r="Q48" s="570"/>
      <c r="R48" s="571"/>
      <c r="S48" s="572"/>
      <c r="T48" s="573"/>
      <c r="U48" s="80"/>
    </row>
    <row r="49" spans="1:31" ht="15.75" thickBot="1">
      <c r="A49" s="490" t="str">
        <f>"E"&amp;F34</f>
        <v>E2</v>
      </c>
      <c r="B49" s="559"/>
      <c r="C49" s="560"/>
      <c r="D49" s="560"/>
      <c r="E49" s="560"/>
      <c r="F49" s="560"/>
      <c r="G49" s="560"/>
      <c r="H49" s="560"/>
      <c r="I49" s="560"/>
      <c r="J49" s="560"/>
      <c r="K49" s="560"/>
      <c r="L49" s="363"/>
      <c r="M49" s="755" t="str">
        <f ca="1">IF(OR(N47=0,N47&lt;N48),"NO CUMPLE","CUMPLE")</f>
        <v>CUMPLE</v>
      </c>
      <c r="N49" s="756"/>
      <c r="O49" s="569"/>
      <c r="Q49" s="492"/>
      <c r="R49" s="493"/>
      <c r="S49" s="363"/>
      <c r="T49" s="574"/>
      <c r="U49" s="80"/>
    </row>
    <row r="50" spans="1:31" ht="13.5" thickTop="1"/>
    <row r="52" spans="1:31">
      <c r="F52" s="757">
        <f>F34+1</f>
        <v>3</v>
      </c>
      <c r="G52" s="758" t="str">
        <f>VLOOKUP(F52,PROPO,2,FALSE)</f>
        <v>CONSORCIO SIETE</v>
      </c>
      <c r="H52" s="758"/>
      <c r="I52" s="758"/>
      <c r="J52" s="758"/>
      <c r="K52" s="52"/>
      <c r="O52" s="52"/>
      <c r="Q52" s="52"/>
      <c r="R52" s="52"/>
    </row>
    <row r="53" spans="1:31">
      <c r="B53" s="328"/>
      <c r="C53" s="328"/>
      <c r="D53" s="328"/>
      <c r="E53" s="328"/>
      <c r="F53" s="757"/>
      <c r="G53" s="758"/>
      <c r="H53" s="758"/>
      <c r="I53" s="758"/>
      <c r="J53" s="758"/>
      <c r="K53" s="52"/>
      <c r="N53" s="567"/>
      <c r="O53" s="52"/>
      <c r="Q53" s="52"/>
      <c r="R53" s="52"/>
    </row>
    <row r="54" spans="1:31" ht="13.5" thickBot="1">
      <c r="B54" s="329"/>
      <c r="C54" s="329"/>
      <c r="D54" s="56"/>
      <c r="E54" s="56"/>
      <c r="F54" s="56"/>
      <c r="G54" s="56"/>
      <c r="H54" s="56"/>
      <c r="I54" s="56"/>
      <c r="J54" s="56"/>
      <c r="K54" s="330"/>
      <c r="L54" s="331"/>
      <c r="M54" s="331"/>
      <c r="N54" s="330"/>
      <c r="O54" s="330"/>
      <c r="Q54" s="330"/>
      <c r="R54" s="330"/>
    </row>
    <row r="55" spans="1:31" ht="31.5" customHeight="1" thickTop="1" thickBot="1">
      <c r="B55" s="332" t="s">
        <v>16</v>
      </c>
      <c r="C55" s="744" t="s">
        <v>121</v>
      </c>
      <c r="D55" s="333" t="s">
        <v>17</v>
      </c>
      <c r="E55" s="746" t="s">
        <v>18</v>
      </c>
      <c r="F55" s="747"/>
      <c r="G55" s="748" t="s">
        <v>117</v>
      </c>
      <c r="H55" s="749"/>
      <c r="I55" s="744" t="s">
        <v>39</v>
      </c>
      <c r="J55" s="744" t="s">
        <v>0</v>
      </c>
      <c r="K55" s="665" t="s">
        <v>19</v>
      </c>
      <c r="L55" s="750" t="s">
        <v>20</v>
      </c>
      <c r="M55" s="751"/>
      <c r="N55" s="68" t="s">
        <v>52</v>
      </c>
      <c r="O55" s="501" t="s">
        <v>151</v>
      </c>
      <c r="Q55" s="665" t="s">
        <v>127</v>
      </c>
      <c r="R55" s="665" t="s">
        <v>138</v>
      </c>
      <c r="S55" s="665" t="s">
        <v>163</v>
      </c>
      <c r="T55" s="565">
        <f>IF(VLOOKUP(F52,PROPONENTES!$C$19:$E$54,3,0)="","",VLOOKUP(F52,PROPONENTES!$C$19:$E$54,3,0))</f>
        <v>3</v>
      </c>
      <c r="U55" s="582"/>
      <c r="W55" s="737" t="s">
        <v>167</v>
      </c>
      <c r="X55" s="738"/>
      <c r="Y55" s="738"/>
      <c r="Z55" s="738"/>
      <c r="AA55" s="738"/>
      <c r="AB55" s="738"/>
      <c r="AC55" s="738"/>
      <c r="AD55" s="738"/>
      <c r="AE55" s="739"/>
    </row>
    <row r="56" spans="1:31" ht="26.25" customHeight="1" thickTop="1" thickBot="1">
      <c r="B56" s="334" t="s">
        <v>21</v>
      </c>
      <c r="C56" s="745"/>
      <c r="D56" s="335" t="s">
        <v>22</v>
      </c>
      <c r="E56" s="366" t="s">
        <v>23</v>
      </c>
      <c r="F56" s="336" t="s">
        <v>24</v>
      </c>
      <c r="G56" s="337" t="s">
        <v>118</v>
      </c>
      <c r="H56" s="338" t="s">
        <v>119</v>
      </c>
      <c r="I56" s="745"/>
      <c r="J56" s="745"/>
      <c r="K56" s="663" t="s">
        <v>120</v>
      </c>
      <c r="L56" s="339" t="s">
        <v>150</v>
      </c>
      <c r="M56" s="340" t="s">
        <v>14</v>
      </c>
      <c r="N56" s="341" t="s">
        <v>14</v>
      </c>
      <c r="O56" s="502" t="s">
        <v>152</v>
      </c>
      <c r="Q56" s="663" t="s">
        <v>128</v>
      </c>
      <c r="R56" s="663" t="s">
        <v>139</v>
      </c>
      <c r="S56" s="663" t="s">
        <v>164</v>
      </c>
      <c r="T56" s="575" t="s">
        <v>83</v>
      </c>
      <c r="U56" s="583"/>
      <c r="W56" s="740" t="s">
        <v>166</v>
      </c>
      <c r="X56" s="743"/>
      <c r="Y56" s="663" t="s">
        <v>168</v>
      </c>
      <c r="Z56" s="663" t="s">
        <v>169</v>
      </c>
      <c r="AA56" s="663" t="s">
        <v>174</v>
      </c>
      <c r="AB56" s="740" t="s">
        <v>524</v>
      </c>
      <c r="AC56" s="741"/>
      <c r="AD56" s="742" t="s">
        <v>522</v>
      </c>
      <c r="AE56" s="741"/>
    </row>
    <row r="57" spans="1:31" ht="14.25" hidden="1" customHeight="1">
      <c r="B57" s="342">
        <v>0</v>
      </c>
      <c r="C57" s="347"/>
      <c r="D57" s="343"/>
      <c r="E57" s="367"/>
      <c r="F57" s="344"/>
      <c r="G57" s="345"/>
      <c r="H57" s="346"/>
      <c r="I57" s="347"/>
      <c r="J57" s="347"/>
      <c r="K57" s="347"/>
      <c r="L57" s="348"/>
      <c r="M57" s="349"/>
      <c r="N57" s="350"/>
      <c r="O57" s="347"/>
      <c r="Q57" s="347"/>
      <c r="R57" s="347"/>
      <c r="S57" s="347"/>
      <c r="T57" s="563"/>
      <c r="U57" s="584"/>
      <c r="W57" s="502" t="s">
        <v>166</v>
      </c>
      <c r="X57" s="502"/>
      <c r="Y57" s="502" t="s">
        <v>168</v>
      </c>
      <c r="Z57" s="502" t="s">
        <v>169</v>
      </c>
      <c r="AA57" s="502" t="s">
        <v>170</v>
      </c>
      <c r="AB57" s="661" t="s">
        <v>170</v>
      </c>
      <c r="AC57" s="661" t="s">
        <v>170</v>
      </c>
      <c r="AD57" s="661" t="s">
        <v>170</v>
      </c>
      <c r="AE57" s="661" t="s">
        <v>170</v>
      </c>
    </row>
    <row r="58" spans="1:31" s="353" customFormat="1" ht="53.25" customHeight="1" thickTop="1">
      <c r="A58" s="351"/>
      <c r="B58" s="342">
        <f>IF(D58="","",B57+1)</f>
        <v>1</v>
      </c>
      <c r="C58" s="609">
        <v>6</v>
      </c>
      <c r="D58" s="610" t="s">
        <v>248</v>
      </c>
      <c r="E58" s="611" t="s">
        <v>408</v>
      </c>
      <c r="F58" s="612" t="s">
        <v>412</v>
      </c>
      <c r="G58" s="613" t="s">
        <v>172</v>
      </c>
      <c r="H58" s="614">
        <v>0.9</v>
      </c>
      <c r="I58" s="615" t="s">
        <v>173</v>
      </c>
      <c r="J58" s="616" t="s">
        <v>229</v>
      </c>
      <c r="K58" s="617">
        <v>40356</v>
      </c>
      <c r="L58" s="618">
        <v>144.69</v>
      </c>
      <c r="M58" s="494">
        <f>IF(OR(K58="",L58=""),"",IF(I58="SI",H58*L58,""))</f>
        <v>130.221</v>
      </c>
      <c r="N58" s="503">
        <f>IF(OR(I58="",M58=""),"",IF(I58="NO",0,IF(I58="SI",ROUND(M58,3),0)))</f>
        <v>130.221</v>
      </c>
      <c r="O58" s="636"/>
      <c r="Q58" s="352" t="str">
        <f t="shared" ref="Q58:Q63" si="18">IF(K58="","",IF(AND(YEAR(K58)&gt;=YEAR($M$15), I58="SI",K58&lt;=$N$15),"CUMPLE","NO CUMPLE"))</f>
        <v>NO CUMPLE</v>
      </c>
      <c r="R58" s="636" t="s">
        <v>140</v>
      </c>
      <c r="S58" s="352" t="str">
        <f>IF(T58="","",IF(T58&gt;=20%,"CUMPLE","NO CUMPLE"))</f>
        <v>CUMPLE</v>
      </c>
      <c r="T58" s="656">
        <f t="shared" ref="T58:T63" si="19">IF(R58="","",VLOOKUP(J58,INTEGRAN,2,FALSE))</f>
        <v>0.7</v>
      </c>
      <c r="U58" s="585"/>
      <c r="W58" s="594">
        <v>1</v>
      </c>
      <c r="X58" s="595" t="str">
        <f>IF(AND(W58&lt;=$T55,$T55&gt;1,$T55&lt;&gt;""),VLOOKUP(VALUE($F52&amp;","&amp;W58),INTEGRANTES!$D$19:$G$106,2,0),"")</f>
        <v>RAFAEL JAVIER GUISA RUEDA</v>
      </c>
      <c r="Y58" s="596">
        <f>IF(X58&lt;&gt;"",VLOOKUP(VALUE($F52&amp;","&amp;$W58),INTEGRANTES!$D$19:$G$106,3,0),"")</f>
        <v>0.7</v>
      </c>
      <c r="Z58" s="597">
        <f>IF(X58="","",SUMIF($J$58:$J$63,X$58,N$58:N$63))</f>
        <v>130.221</v>
      </c>
      <c r="AA58" s="604" t="str">
        <f>IF($Y58="","",IF(AND($Y58&gt;=20%,$Z58&gt;=$Z64),"CUMPLE","NO CUMPLE"))</f>
        <v>CUMPLE</v>
      </c>
      <c r="AB58" s="679" t="s">
        <v>525</v>
      </c>
      <c r="AC58" s="592" t="str">
        <f t="shared" ref="AC58:AC63" si="20">IF(X58="","",IF(AND(Y58&gt;=40%,AB58="SI"),"CUMPLE","NO CUMPLE"))</f>
        <v>CUMPLE</v>
      </c>
      <c r="AD58" s="679" t="s">
        <v>525</v>
      </c>
      <c r="AE58" s="593" t="str">
        <f t="shared" ref="AE58:AE63" si="21">IF(X58="","",IF(AD58="SI","CUMPLE","NO CUMPLE"))</f>
        <v>CUMPLE</v>
      </c>
    </row>
    <row r="59" spans="1:31" s="353" customFormat="1" ht="69" customHeight="1">
      <c r="A59" s="351"/>
      <c r="B59" s="342">
        <f>IF(D59="","",B58+1)</f>
        <v>2</v>
      </c>
      <c r="C59" s="619">
        <v>16</v>
      </c>
      <c r="D59" s="620" t="s">
        <v>405</v>
      </c>
      <c r="E59" s="621" t="s">
        <v>409</v>
      </c>
      <c r="F59" s="622" t="s">
        <v>413</v>
      </c>
      <c r="G59" s="623" t="s">
        <v>226</v>
      </c>
      <c r="H59" s="624">
        <v>1</v>
      </c>
      <c r="I59" s="625" t="s">
        <v>404</v>
      </c>
      <c r="J59" s="629" t="s">
        <v>229</v>
      </c>
      <c r="K59" s="627">
        <v>41698</v>
      </c>
      <c r="L59" s="618">
        <v>716.84</v>
      </c>
      <c r="M59" s="556" t="str">
        <f>IF(OR(K59="",L59=""),"",IF(I59="SI",H59*L59,""))</f>
        <v/>
      </c>
      <c r="N59" s="504" t="str">
        <f>IF(OR(I59="",M59=""),"",IF(I59="SI",ROUND(M59,3),0))</f>
        <v/>
      </c>
      <c r="O59" s="636"/>
      <c r="Q59" s="352" t="str">
        <f t="shared" si="18"/>
        <v>NO CUMPLE</v>
      </c>
      <c r="R59" s="636" t="s">
        <v>140</v>
      </c>
      <c r="S59" s="352" t="str">
        <f>IF(T59="","",IF(T59&gt;=20%,"CUMPLE","NO CUMPLE"))</f>
        <v>CUMPLE</v>
      </c>
      <c r="T59" s="656">
        <f t="shared" si="19"/>
        <v>0.7</v>
      </c>
      <c r="U59" s="586"/>
      <c r="W59" s="594">
        <v>2</v>
      </c>
      <c r="X59" s="595" t="str">
        <f>IF(AND(W59&lt;=$T55,$T55&gt;1,$T55&lt;&gt;""),VLOOKUP(VALUE($F52&amp;","&amp;W59),INTEGRANTES!$D$19:$G$106,2,0),"")</f>
        <v>JAIME HERNANDO RINCÓN CHAPARRO</v>
      </c>
      <c r="Y59" s="596">
        <f>IF(X59&lt;&gt;"",VLOOKUP(VALUE($F$52&amp;","&amp;$W59),INTEGRANTES!$D$19:$G$106,3,0),"")</f>
        <v>0.2</v>
      </c>
      <c r="Z59" s="597">
        <f>IF(X59="","",SUMIF($J$58:$J$63,X59,N$58:N$63))</f>
        <v>0</v>
      </c>
      <c r="AA59" s="604" t="str">
        <f>IF($Y59="","",IF(AND($Y59&gt;=20%,$Z59&gt;=$Z64),"CUMPLE","NO CUMPLE"))</f>
        <v>NO CUMPLE</v>
      </c>
      <c r="AB59" s="680"/>
      <c r="AC59" s="593" t="str">
        <f t="shared" si="20"/>
        <v>NO CUMPLE</v>
      </c>
      <c r="AD59" s="680"/>
      <c r="AE59" s="593" t="str">
        <f t="shared" si="21"/>
        <v>NO CUMPLE</v>
      </c>
    </row>
    <row r="60" spans="1:31" s="353" customFormat="1" ht="75.75" customHeight="1">
      <c r="A60" s="351"/>
      <c r="B60" s="342">
        <f t="shared" ref="B60:B63" si="22">IF(D60="","",B59+1)</f>
        <v>3</v>
      </c>
      <c r="C60" s="619">
        <v>17</v>
      </c>
      <c r="D60" s="620" t="s">
        <v>406</v>
      </c>
      <c r="E60" s="628" t="s">
        <v>411</v>
      </c>
      <c r="F60" s="622" t="s">
        <v>414</v>
      </c>
      <c r="G60" s="623" t="s">
        <v>226</v>
      </c>
      <c r="H60" s="624">
        <v>1</v>
      </c>
      <c r="I60" s="625" t="s">
        <v>404</v>
      </c>
      <c r="J60" s="629" t="s">
        <v>231</v>
      </c>
      <c r="K60" s="627">
        <v>42508</v>
      </c>
      <c r="L60" s="618">
        <v>161.83000000000001</v>
      </c>
      <c r="M60" s="556" t="str">
        <f t="shared" ref="M60:M63" si="23">IF(OR(K60="",L60=""),"",IF(I60="SI",H60*L60,""))</f>
        <v/>
      </c>
      <c r="N60" s="504" t="str">
        <f>IF(OR(I60="",M60=""),"",IF(I60="SI",ROUND(M60,3),0))</f>
        <v/>
      </c>
      <c r="O60" s="636"/>
      <c r="Q60" s="352" t="str">
        <f t="shared" si="18"/>
        <v>NO CUMPLE</v>
      </c>
      <c r="R60" s="636" t="s">
        <v>140</v>
      </c>
      <c r="S60" s="352" t="str">
        <f t="shared" ref="S60:S63" si="24">IF(T60="","",IF(T60&gt;=20%,"CUMPLE","NO CUMPLE"))</f>
        <v>NO CUMPLE</v>
      </c>
      <c r="T60" s="656">
        <f t="shared" si="19"/>
        <v>0.1</v>
      </c>
      <c r="U60" s="586"/>
      <c r="W60" s="594">
        <v>3</v>
      </c>
      <c r="X60" s="595" t="str">
        <f>IF(AND(W60&lt;=$T55,$T55&gt;1,$T55&lt;&gt;""),VLOOKUP(VALUE($F$52&amp;","&amp;W60),INTEGRANTES!$D$19:$G$106,2,0),"")</f>
        <v>GERMAN GERARDO GUIZA ROSERO</v>
      </c>
      <c r="Y60" s="596">
        <f>IF(X60&lt;&gt;"",VLOOKUP(VALUE($F$52&amp;","&amp;$W60),INTEGRANTES!$D$19:$G$106,3,0),"")</f>
        <v>0.1</v>
      </c>
      <c r="Z60" s="597">
        <f t="shared" ref="Z60:Z62" si="25">IF(X60="","",SUMIF($J$58:$J$63,X60,N$58:N$63))</f>
        <v>94.75</v>
      </c>
      <c r="AA60" s="604" t="str">
        <f>IF($Y60="","",IF(AND($Y60&gt;=20%,$Z60&gt;=$Z60),"CUMPLE","NO CUMPLE"))</f>
        <v>NO CUMPLE</v>
      </c>
      <c r="AB60" s="680"/>
      <c r="AC60" s="593" t="str">
        <f t="shared" si="20"/>
        <v>NO CUMPLE</v>
      </c>
      <c r="AD60" s="680"/>
      <c r="AE60" s="593" t="str">
        <f t="shared" si="21"/>
        <v>NO CUMPLE</v>
      </c>
    </row>
    <row r="61" spans="1:31" s="353" customFormat="1" ht="50.25" customHeight="1">
      <c r="A61" s="351"/>
      <c r="B61" s="342">
        <f t="shared" si="22"/>
        <v>4</v>
      </c>
      <c r="C61" s="619">
        <v>23</v>
      </c>
      <c r="D61" s="620" t="s">
        <v>407</v>
      </c>
      <c r="E61" s="628" t="s">
        <v>410</v>
      </c>
      <c r="F61" s="622" t="s">
        <v>415</v>
      </c>
      <c r="G61" s="623" t="s">
        <v>226</v>
      </c>
      <c r="H61" s="624">
        <v>1</v>
      </c>
      <c r="I61" s="625" t="s">
        <v>173</v>
      </c>
      <c r="J61" s="629" t="s">
        <v>231</v>
      </c>
      <c r="K61" s="627">
        <v>42438</v>
      </c>
      <c r="L61" s="618">
        <v>94.75</v>
      </c>
      <c r="M61" s="555">
        <f t="shared" si="23"/>
        <v>94.75</v>
      </c>
      <c r="N61" s="504">
        <f>IF(OR(I61="",M61=""),"",IF(I61="SI",ROUND(M61,3),0))</f>
        <v>94.75</v>
      </c>
      <c r="O61" s="636"/>
      <c r="Q61" s="352" t="str">
        <f t="shared" si="18"/>
        <v>CUMPLE</v>
      </c>
      <c r="R61" s="636" t="s">
        <v>140</v>
      </c>
      <c r="S61" s="352" t="str">
        <f t="shared" si="24"/>
        <v>NO CUMPLE</v>
      </c>
      <c r="T61" s="656">
        <f t="shared" si="19"/>
        <v>0.1</v>
      </c>
      <c r="U61" s="586"/>
      <c r="W61" s="594">
        <v>4</v>
      </c>
      <c r="X61" s="595" t="str">
        <f>IF(AND(W61&lt;=$T57,$T57&gt;1,$T57&lt;&gt;""),VLOOKUP(VALUE($F52&amp;","&amp;W61),INTEGRANTES!$D$19:$G$106,2,0),"")</f>
        <v/>
      </c>
      <c r="Y61" s="596" t="str">
        <f>IF(X61&lt;&gt;"",VLOOKUP(VALUE($F52&amp;","&amp;$W61),INTEGRANTES!$D$19:$G$106,3,0),"")</f>
        <v/>
      </c>
      <c r="Z61" s="597" t="str">
        <f t="shared" si="25"/>
        <v/>
      </c>
      <c r="AA61" s="604" t="str">
        <f>IF($Y61="","",IF(AND($Y61&gt;=20%,$Z61&gt;=$Z64),"CUMPLE","NO CUMPLE"))</f>
        <v/>
      </c>
      <c r="AB61" s="680"/>
      <c r="AC61" s="593" t="str">
        <f t="shared" si="20"/>
        <v/>
      </c>
      <c r="AD61" s="680"/>
      <c r="AE61" s="593" t="str">
        <f t="shared" si="21"/>
        <v/>
      </c>
    </row>
    <row r="62" spans="1:31" s="353" customFormat="1" ht="22.5" customHeight="1">
      <c r="A62" s="351"/>
      <c r="B62" s="342" t="str">
        <f t="shared" si="22"/>
        <v/>
      </c>
      <c r="C62" s="619"/>
      <c r="D62" s="620"/>
      <c r="E62" s="628"/>
      <c r="F62" s="622"/>
      <c r="G62" s="623"/>
      <c r="H62" s="624"/>
      <c r="I62" s="625"/>
      <c r="J62" s="629"/>
      <c r="K62" s="627"/>
      <c r="L62" s="618"/>
      <c r="M62" s="556" t="str">
        <f t="shared" si="23"/>
        <v/>
      </c>
      <c r="N62" s="504" t="str">
        <f>IF(OR(I62="",M62=""),"",IF(I62="SI",ROUND(M62,3),0))</f>
        <v/>
      </c>
      <c r="O62" s="636"/>
      <c r="Q62" s="352" t="str">
        <f t="shared" si="18"/>
        <v/>
      </c>
      <c r="R62" s="636"/>
      <c r="S62" s="352" t="str">
        <f t="shared" si="24"/>
        <v/>
      </c>
      <c r="T62" s="656" t="str">
        <f t="shared" si="19"/>
        <v/>
      </c>
      <c r="U62" s="586"/>
      <c r="W62" s="594">
        <v>5</v>
      </c>
      <c r="X62" s="595" t="str">
        <f>IF(AND(W62&lt;=$T58,$T58&gt;1,$T58&lt;&gt;""),VLOOKUP(VALUE($F52&amp;","&amp;W62),INTEGRANTES!$D$19:$G$106,2,0),"")</f>
        <v/>
      </c>
      <c r="Y62" s="596" t="str">
        <f>IF(X62&lt;&gt;"",VLOOKUP(VALUE($F52&amp;","&amp;$W62),INTEGRANTES!$D$19:$G$106,3,0),"")</f>
        <v/>
      </c>
      <c r="Z62" s="597" t="str">
        <f t="shared" si="25"/>
        <v/>
      </c>
      <c r="AA62" s="604" t="str">
        <f>IF($Y62="","",IF(AND($Y62&gt;=20%,$Z62&gt;=$Z64),"CUMPLE","NO CUMPLE"))</f>
        <v/>
      </c>
      <c r="AB62" s="680"/>
      <c r="AC62" s="593" t="str">
        <f t="shared" si="20"/>
        <v/>
      </c>
      <c r="AD62" s="680"/>
      <c r="AE62" s="593" t="str">
        <f t="shared" si="21"/>
        <v/>
      </c>
    </row>
    <row r="63" spans="1:31" s="353" customFormat="1" ht="22.5" customHeight="1">
      <c r="A63" s="351"/>
      <c r="B63" s="342" t="str">
        <f t="shared" si="22"/>
        <v/>
      </c>
      <c r="C63" s="619"/>
      <c r="D63" s="620"/>
      <c r="E63" s="628"/>
      <c r="F63" s="622"/>
      <c r="G63" s="623"/>
      <c r="H63" s="624"/>
      <c r="I63" s="625"/>
      <c r="J63" s="629"/>
      <c r="K63" s="627"/>
      <c r="L63" s="618"/>
      <c r="M63" s="555" t="str">
        <f t="shared" si="23"/>
        <v/>
      </c>
      <c r="N63" s="504" t="str">
        <f>IF(OR(I63="",M63=""),"",IF(I63="SI",ROUND(M63,3),0))</f>
        <v/>
      </c>
      <c r="O63" s="636"/>
      <c r="Q63" s="352" t="str">
        <f t="shared" si="18"/>
        <v/>
      </c>
      <c r="R63" s="636"/>
      <c r="S63" s="352" t="str">
        <f t="shared" si="24"/>
        <v/>
      </c>
      <c r="T63" s="656" t="str">
        <f t="shared" si="19"/>
        <v/>
      </c>
      <c r="U63" s="586"/>
      <c r="W63" s="599">
        <v>6</v>
      </c>
      <c r="X63" s="595" t="str">
        <f>IF(AND(W63&lt;=$T59,$T59&gt;1,$T59&lt;&gt;""),VLOOKUP(VALUE($F52&amp;","&amp;W63),INTEGRANTES!$D$19:$G$106,2,0),"")</f>
        <v/>
      </c>
      <c r="Y63" s="596" t="str">
        <f>IF(X63&lt;&gt;"",VLOOKUP(VALUE($F52&amp;","&amp;$W63),INTEGRANTES!$D$19:$G$106,3,0),"")</f>
        <v/>
      </c>
      <c r="Z63" s="597" t="str">
        <f>IF(X63="","",SUMIF($J$58:$J$63,X63,N$58:N$63))</f>
        <v/>
      </c>
      <c r="AA63" s="604" t="str">
        <f>IF($Y63="","",IF(AND($Y63&gt;=20%,$Z63&gt;=$Z64),"CUMPLE","NO CUMPLE"))</f>
        <v/>
      </c>
      <c r="AB63" s="680"/>
      <c r="AC63" s="593" t="str">
        <f t="shared" si="20"/>
        <v/>
      </c>
      <c r="AD63" s="680"/>
      <c r="AE63" s="593" t="str">
        <f t="shared" si="21"/>
        <v/>
      </c>
    </row>
    <row r="64" spans="1:31" ht="5.0999999999999996" customHeight="1" thickBot="1">
      <c r="B64" s="354"/>
      <c r="C64" s="359"/>
      <c r="D64" s="355"/>
      <c r="E64" s="368"/>
      <c r="F64" s="355"/>
      <c r="G64" s="355"/>
      <c r="H64" s="355"/>
      <c r="I64" s="356"/>
      <c r="J64" s="357"/>
      <c r="K64" s="358"/>
      <c r="L64" s="355"/>
      <c r="M64" s="356"/>
      <c r="N64" s="360"/>
      <c r="O64" s="352" t="str">
        <f>IF(L64="","",IF(AND(L64&gt;=YEAR($M$15), J64="SI",L64&lt;=S58),"CUMPLE","NO CUMPLE"))</f>
        <v/>
      </c>
      <c r="Q64" s="352" t="str">
        <f>IF(N64="","",IF(AND(N64&gt;=YEAR($M$15), L64="SI",N64&lt;=V58),"CUMPLE","NO CUMPLE"))</f>
        <v/>
      </c>
      <c r="R64" s="352" t="str">
        <f>IF(P64="","",IF(AND(P64&gt;=YEAR($M$15), M64="SI",P64&lt;=W58),"CUMPLE","NO CUMPLE"))</f>
        <v/>
      </c>
      <c r="S64" s="352" t="str">
        <f>IF(P64="","",IF(AND(P64&gt;=YEAR($M$15), N64="SI",P64&lt;=X58),"CUMPLE","NO CUMPLE"))</f>
        <v/>
      </c>
      <c r="T64" s="564"/>
      <c r="U64" s="586"/>
      <c r="W64" s="600"/>
      <c r="X64" s="600"/>
      <c r="Y64" s="600"/>
      <c r="Z64" s="605">
        <f>MAX(Z58:Z63)</f>
        <v>130.221</v>
      </c>
      <c r="AA64" s="600"/>
      <c r="AB64" s="602"/>
      <c r="AC64" s="602"/>
      <c r="AD64" s="602"/>
      <c r="AE64" s="602"/>
    </row>
    <row r="65" spans="1:31" s="52" customFormat="1" ht="17.100000000000001" customHeight="1" thickTop="1" thickBot="1">
      <c r="A65" s="361">
        <f>F52</f>
        <v>3</v>
      </c>
      <c r="B65" s="364"/>
      <c r="C65" s="379"/>
      <c r="D65" s="664"/>
      <c r="E65" s="752"/>
      <c r="F65" s="752"/>
      <c r="G65" s="752"/>
      <c r="H65" s="752"/>
      <c r="I65" s="752"/>
      <c r="J65" s="752"/>
      <c r="K65" s="752"/>
      <c r="L65" s="753"/>
      <c r="M65" s="754"/>
      <c r="N65" s="365">
        <f>SUM(N58:N63)</f>
        <v>224.971</v>
      </c>
      <c r="O65" s="373"/>
      <c r="Q65" s="373" t="str">
        <f>IF(COUNTIF(Q58:Q61,"CUMPLE")&gt;0,"CUMPLE","NO CUMPLE")</f>
        <v>CUMPLE</v>
      </c>
      <c r="R65" s="374" t="str">
        <f>IF(COUNTIF(R58:R61,"COLOMBIA")&gt;0,"CUMPLE","NO CUMPLE")</f>
        <v>CUMPLE</v>
      </c>
      <c r="S65" s="373" t="str">
        <f>IF(COUNTIF(S58:S61,"CUMPLE")&gt;0,"CUMPLE","NO CUMPLE")</f>
        <v>CUMPLE</v>
      </c>
      <c r="T65" s="566"/>
      <c r="U65" s="587"/>
      <c r="AA65" s="589" t="str">
        <f>IF(COUNTIF(AA58:AA63,"CUMPLE")&gt;0,"CUMPLE","NO CUMPLE")</f>
        <v>CUMPLE</v>
      </c>
      <c r="AB65" s="735" t="str">
        <f>IF(COUNTIF(AC58:AC63,"CUMPLE")&gt;0,"CUMPLE","NO CUMPLE")</f>
        <v>CUMPLE</v>
      </c>
      <c r="AC65" s="736"/>
      <c r="AD65" s="735" t="str">
        <f>IF(COUNTIF(AE58:AE63,"CUMPLE")&gt;0,"CUMPLE","NO CUMPLE")</f>
        <v>CUMPLE</v>
      </c>
      <c r="AE65" s="736"/>
    </row>
    <row r="66" spans="1:31" ht="16.5" thickTop="1">
      <c r="B66" s="557"/>
      <c r="C66" s="558"/>
      <c r="D66" s="558"/>
      <c r="E66" s="558"/>
      <c r="F66" s="558"/>
      <c r="G66" s="558"/>
      <c r="H66" s="558"/>
      <c r="I66" s="558"/>
      <c r="J66" s="558"/>
      <c r="K66" s="558"/>
      <c r="L66" s="80"/>
      <c r="M66" s="362" t="s">
        <v>516</v>
      </c>
      <c r="N66" s="369">
        <f ca="1">VFrequerido!Y17</f>
        <v>537.11</v>
      </c>
      <c r="O66" s="568"/>
      <c r="Q66" s="570"/>
      <c r="R66" s="571"/>
      <c r="S66" s="572"/>
      <c r="T66" s="573"/>
      <c r="U66" s="80"/>
    </row>
    <row r="67" spans="1:31" ht="15.75" thickBot="1">
      <c r="A67" s="490" t="str">
        <f>"E"&amp;F52</f>
        <v>E3</v>
      </c>
      <c r="B67" s="559"/>
      <c r="C67" s="560"/>
      <c r="D67" s="560"/>
      <c r="E67" s="560"/>
      <c r="F67" s="560"/>
      <c r="G67" s="560"/>
      <c r="H67" s="560"/>
      <c r="I67" s="560"/>
      <c r="J67" s="560"/>
      <c r="K67" s="560"/>
      <c r="L67" s="363"/>
      <c r="M67" s="755" t="str">
        <f ca="1">IF(OR(N65=0,N65&lt;N66),"NO CUMPLE","CUMPLE")</f>
        <v>NO CUMPLE</v>
      </c>
      <c r="N67" s="756"/>
      <c r="O67" s="569"/>
      <c r="Q67" s="492"/>
      <c r="R67" s="493"/>
      <c r="S67" s="363"/>
      <c r="T67" s="574"/>
      <c r="U67" s="80"/>
    </row>
    <row r="68" spans="1:31" ht="13.5" thickTop="1"/>
    <row r="70" spans="1:31">
      <c r="F70" s="757">
        <f>F52+1</f>
        <v>4</v>
      </c>
      <c r="G70" s="758" t="str">
        <f>VLOOKUP(F70,PROPO,2,FALSE)</f>
        <v>GIA INGENIERIA S.A.S</v>
      </c>
      <c r="H70" s="758"/>
      <c r="I70" s="758"/>
      <c r="J70" s="758"/>
      <c r="K70" s="52"/>
      <c r="O70" s="52"/>
      <c r="Q70" s="52"/>
      <c r="R70" s="52"/>
    </row>
    <row r="71" spans="1:31">
      <c r="B71" s="328"/>
      <c r="C71" s="328"/>
      <c r="D71" s="328"/>
      <c r="E71" s="328"/>
      <c r="F71" s="757"/>
      <c r="G71" s="758"/>
      <c r="H71" s="758"/>
      <c r="I71" s="758"/>
      <c r="J71" s="758"/>
      <c r="K71" s="52"/>
      <c r="N71" s="567"/>
      <c r="O71" s="52"/>
      <c r="Q71" s="52"/>
      <c r="R71" s="52"/>
    </row>
    <row r="72" spans="1:31" ht="2.25" customHeight="1" thickBot="1">
      <c r="B72" s="329"/>
      <c r="C72" s="329"/>
      <c r="D72" s="56"/>
      <c r="E72" s="56"/>
      <c r="F72" s="56"/>
      <c r="G72" s="56"/>
      <c r="H72" s="56"/>
      <c r="I72" s="56"/>
      <c r="J72" s="56"/>
      <c r="K72" s="330"/>
      <c r="L72" s="331"/>
      <c r="M72" s="331"/>
      <c r="N72" s="330"/>
      <c r="O72" s="330"/>
      <c r="Q72" s="330"/>
      <c r="R72" s="330"/>
    </row>
    <row r="73" spans="1:31" ht="27.75" customHeight="1" thickTop="1" thickBot="1">
      <c r="B73" s="332" t="s">
        <v>16</v>
      </c>
      <c r="C73" s="744" t="s">
        <v>121</v>
      </c>
      <c r="D73" s="333" t="s">
        <v>17</v>
      </c>
      <c r="E73" s="746" t="s">
        <v>18</v>
      </c>
      <c r="F73" s="747"/>
      <c r="G73" s="748" t="s">
        <v>117</v>
      </c>
      <c r="H73" s="749"/>
      <c r="I73" s="744" t="s">
        <v>39</v>
      </c>
      <c r="J73" s="744" t="s">
        <v>0</v>
      </c>
      <c r="K73" s="665" t="s">
        <v>19</v>
      </c>
      <c r="L73" s="750" t="s">
        <v>20</v>
      </c>
      <c r="M73" s="751"/>
      <c r="N73" s="68" t="s">
        <v>52</v>
      </c>
      <c r="O73" s="501" t="s">
        <v>151</v>
      </c>
      <c r="Q73" s="665" t="s">
        <v>127</v>
      </c>
      <c r="R73" s="665" t="s">
        <v>138</v>
      </c>
      <c r="S73" s="665" t="s">
        <v>163</v>
      </c>
      <c r="T73" s="565">
        <f>IF(VLOOKUP(F70,PROPONENTES!$C$19:$E$54,3,0)="","",VLOOKUP(F70,PROPONENTES!$C$19:$E$54,3,0))</f>
        <v>1</v>
      </c>
      <c r="U73" s="582"/>
      <c r="W73" s="737" t="s">
        <v>167</v>
      </c>
      <c r="X73" s="738"/>
      <c r="Y73" s="738"/>
      <c r="Z73" s="738"/>
      <c r="AA73" s="738"/>
      <c r="AB73" s="738"/>
      <c r="AC73" s="738"/>
      <c r="AD73" s="738"/>
      <c r="AE73" s="739"/>
    </row>
    <row r="74" spans="1:31" ht="26.25" customHeight="1" thickTop="1" thickBot="1">
      <c r="B74" s="334" t="s">
        <v>21</v>
      </c>
      <c r="C74" s="745"/>
      <c r="D74" s="335" t="s">
        <v>22</v>
      </c>
      <c r="E74" s="366" t="s">
        <v>23</v>
      </c>
      <c r="F74" s="336" t="s">
        <v>24</v>
      </c>
      <c r="G74" s="337" t="s">
        <v>118</v>
      </c>
      <c r="H74" s="338" t="s">
        <v>119</v>
      </c>
      <c r="I74" s="745"/>
      <c r="J74" s="745"/>
      <c r="K74" s="663" t="s">
        <v>120</v>
      </c>
      <c r="L74" s="339" t="s">
        <v>150</v>
      </c>
      <c r="M74" s="340" t="s">
        <v>14</v>
      </c>
      <c r="N74" s="341" t="s">
        <v>14</v>
      </c>
      <c r="O74" s="502" t="s">
        <v>152</v>
      </c>
      <c r="Q74" s="663" t="s">
        <v>128</v>
      </c>
      <c r="R74" s="663" t="s">
        <v>139</v>
      </c>
      <c r="S74" s="663" t="s">
        <v>164</v>
      </c>
      <c r="T74" s="575" t="s">
        <v>83</v>
      </c>
      <c r="U74" s="583"/>
      <c r="W74" s="740" t="s">
        <v>166</v>
      </c>
      <c r="X74" s="743"/>
      <c r="Y74" s="663" t="s">
        <v>168</v>
      </c>
      <c r="Z74" s="663" t="s">
        <v>169</v>
      </c>
      <c r="AA74" s="663" t="s">
        <v>174</v>
      </c>
      <c r="AB74" s="740" t="s">
        <v>524</v>
      </c>
      <c r="AC74" s="741"/>
      <c r="AD74" s="742" t="s">
        <v>522</v>
      </c>
      <c r="AE74" s="741"/>
    </row>
    <row r="75" spans="1:31" ht="14.25" hidden="1" customHeight="1">
      <c r="B75" s="342">
        <v>0</v>
      </c>
      <c r="C75" s="347"/>
      <c r="D75" s="343"/>
      <c r="E75" s="367"/>
      <c r="F75" s="344"/>
      <c r="G75" s="345"/>
      <c r="H75" s="346"/>
      <c r="I75" s="347"/>
      <c r="J75" s="347"/>
      <c r="K75" s="347"/>
      <c r="L75" s="348"/>
      <c r="M75" s="349"/>
      <c r="N75" s="350"/>
      <c r="O75" s="347"/>
      <c r="Q75" s="347"/>
      <c r="R75" s="347"/>
      <c r="S75" s="347"/>
      <c r="T75" s="563"/>
      <c r="U75" s="584"/>
      <c r="W75" s="502" t="s">
        <v>166</v>
      </c>
      <c r="X75" s="502"/>
      <c r="Y75" s="502" t="s">
        <v>168</v>
      </c>
      <c r="Z75" s="502" t="s">
        <v>169</v>
      </c>
      <c r="AA75" s="502" t="s">
        <v>170</v>
      </c>
      <c r="AB75" s="661" t="s">
        <v>170</v>
      </c>
      <c r="AC75" s="661" t="s">
        <v>170</v>
      </c>
      <c r="AD75" s="661" t="s">
        <v>170</v>
      </c>
      <c r="AE75" s="661" t="s">
        <v>170</v>
      </c>
    </row>
    <row r="76" spans="1:31" s="353" customFormat="1" ht="22.5" customHeight="1" thickTop="1">
      <c r="A76" s="351"/>
      <c r="B76" s="342">
        <f>IF(D76="","",B75+1)</f>
        <v>1</v>
      </c>
      <c r="C76" s="609">
        <v>29</v>
      </c>
      <c r="D76" s="610" t="s">
        <v>217</v>
      </c>
      <c r="E76" s="611" t="s">
        <v>232</v>
      </c>
      <c r="F76" s="612" t="s">
        <v>233</v>
      </c>
      <c r="G76" s="613" t="s">
        <v>226</v>
      </c>
      <c r="H76" s="614">
        <v>1</v>
      </c>
      <c r="I76" s="615" t="s">
        <v>173</v>
      </c>
      <c r="J76" s="616" t="s">
        <v>179</v>
      </c>
      <c r="K76" s="617">
        <v>43148</v>
      </c>
      <c r="L76" s="618">
        <v>116.18</v>
      </c>
      <c r="M76" s="494">
        <f>IF(OR(K76="",L76=""),"",IF(I76="SI",H76*L76,""))</f>
        <v>116.18</v>
      </c>
      <c r="N76" s="503">
        <f>IF(OR(I76="",M76=""),"",IF(I76="NO",0,IF(I76="SI",ROUND(M76,3),0)))</f>
        <v>116.18</v>
      </c>
      <c r="O76" s="636"/>
      <c r="Q76" s="352" t="str">
        <f t="shared" ref="Q76:Q81" si="26">IF(K76="","",IF(AND(YEAR(K76)&gt;=YEAR($M$15), I76="SI",K76&lt;=$N$15),"CUMPLE","NO CUMPLE"))</f>
        <v>CUMPLE</v>
      </c>
      <c r="R76" s="636" t="s">
        <v>140</v>
      </c>
      <c r="S76" s="352" t="str">
        <f>IF(T76="","",IF(T76&gt;=20%,"CUMPLE","NO CUMPLE"))</f>
        <v>CUMPLE</v>
      </c>
      <c r="T76" s="656">
        <f t="shared" ref="T76:T81" si="27">IF(R76="","",VLOOKUP(J76,INTEGRAN,2,FALSE))</f>
        <v>1</v>
      </c>
      <c r="U76" s="585"/>
      <c r="W76" s="594">
        <v>1</v>
      </c>
      <c r="X76" s="595" t="str">
        <f>IF(AND(W76&lt;=$T73,$T73&gt;1,$T73&lt;&gt;""),VLOOKUP(VALUE($F$70&amp;","&amp;W76),INTEGRANTES!$D$19:$G$106,2,0),"")</f>
        <v/>
      </c>
      <c r="Y76" s="596" t="str">
        <f>IF(X76&lt;&gt;"",VLOOKUP(VALUE($F70&amp;","&amp;$W76),INTEGRANTES!$D$19:$G$106,3,0),"")</f>
        <v/>
      </c>
      <c r="Z76" s="597" t="str">
        <f>IF(X76="","",SUMIF($J$76:$J$81,X$58,N$76:N$81))</f>
        <v/>
      </c>
      <c r="AA76" s="604" t="str">
        <f>IF($Y76="","",IF(AND($Y76&gt;=20%,$Z76&gt;=$Z82),"CUMPLE","NO CUMPLE"))</f>
        <v/>
      </c>
      <c r="AB76" s="679" t="s">
        <v>525</v>
      </c>
      <c r="AC76" s="592" t="str">
        <f t="shared" ref="AC76:AC81" si="28">IF(X76="","",IF(AND(Y76&gt;=40%,AB76="SI"),"CUMPLE","NO CUMPLE"))</f>
        <v/>
      </c>
      <c r="AD76" s="679" t="s">
        <v>525</v>
      </c>
      <c r="AE76" s="593" t="str">
        <f t="shared" ref="AE76:AE81" si="29">IF(X76="","",IF(AD76="SI","CUMPLE","NO CUMPLE"))</f>
        <v/>
      </c>
    </row>
    <row r="77" spans="1:31" s="353" customFormat="1" ht="22.5" customHeight="1">
      <c r="A77" s="351"/>
      <c r="B77" s="342">
        <f>IF(D77="","",B76+1)</f>
        <v>2</v>
      </c>
      <c r="C77" s="619">
        <v>30</v>
      </c>
      <c r="D77" s="620" t="s">
        <v>217</v>
      </c>
      <c r="E77" s="621" t="s">
        <v>234</v>
      </c>
      <c r="F77" s="622" t="s">
        <v>235</v>
      </c>
      <c r="G77" s="623" t="s">
        <v>226</v>
      </c>
      <c r="H77" s="624">
        <v>1</v>
      </c>
      <c r="I77" s="615" t="s">
        <v>173</v>
      </c>
      <c r="J77" s="616" t="s">
        <v>179</v>
      </c>
      <c r="K77" s="627">
        <v>43200</v>
      </c>
      <c r="L77" s="618">
        <v>73.040000000000006</v>
      </c>
      <c r="M77" s="556">
        <f>IF(OR(K77="",L77=""),"",IF(I77="SI",H77*L77,""))</f>
        <v>73.040000000000006</v>
      </c>
      <c r="N77" s="504">
        <f>IF(OR(I77="",M77=""),"",IF(I77="SI",ROUND(M77,3),0))</f>
        <v>73.040000000000006</v>
      </c>
      <c r="O77" s="636"/>
      <c r="Q77" s="352" t="str">
        <f t="shared" si="26"/>
        <v>CUMPLE</v>
      </c>
      <c r="R77" s="636"/>
      <c r="S77" s="352" t="str">
        <f t="shared" ref="S77:S81" si="30">IF(T77="","",IF(T77&gt;=20%,"CUMPLE","NO CUMPLE"))</f>
        <v/>
      </c>
      <c r="T77" s="656" t="str">
        <f t="shared" si="27"/>
        <v/>
      </c>
      <c r="U77" s="586"/>
      <c r="W77" s="594">
        <v>2</v>
      </c>
      <c r="X77" s="595" t="str">
        <f>IF(AND(W77&lt;=$T73,$T73&gt;1,$T73&lt;&gt;""),VLOOKUP(VALUE($F$70&amp;","&amp;W77),INTEGRANTES!$D$19:$G$106,2,0),"")</f>
        <v/>
      </c>
      <c r="Y77" s="596" t="str">
        <f>IF(X77&lt;&gt;"",VLOOKUP(VALUE($F70&amp;","&amp;$W77),INTEGRANTES!$D$19:$G$106,3,0),"")</f>
        <v/>
      </c>
      <c r="Z77" s="597" t="str">
        <f>IF(X77="","",SUMIF($J$76:$J$81,$X77,N$76:N$81))</f>
        <v/>
      </c>
      <c r="AA77" s="604" t="str">
        <f>IF($Y77="","",IF(AND($Y77&gt;=20%,$Z77&gt;=$Z82),"CUMPLE","NO CUMPLE"))</f>
        <v/>
      </c>
      <c r="AB77" s="680" t="s">
        <v>525</v>
      </c>
      <c r="AC77" s="593" t="str">
        <f t="shared" si="28"/>
        <v/>
      </c>
      <c r="AD77" s="680" t="s">
        <v>525</v>
      </c>
      <c r="AE77" s="593" t="str">
        <f t="shared" si="29"/>
        <v/>
      </c>
    </row>
    <row r="78" spans="1:31" s="353" customFormat="1" ht="22.5" customHeight="1">
      <c r="A78" s="351"/>
      <c r="B78" s="342">
        <f t="shared" ref="B78:B81" si="31">IF(D78="","",B77+1)</f>
        <v>3</v>
      </c>
      <c r="C78" s="619">
        <v>32</v>
      </c>
      <c r="D78" s="620" t="s">
        <v>217</v>
      </c>
      <c r="E78" s="628" t="s">
        <v>236</v>
      </c>
      <c r="F78" s="622" t="s">
        <v>237</v>
      </c>
      <c r="G78" s="623" t="s">
        <v>226</v>
      </c>
      <c r="H78" s="624">
        <v>1</v>
      </c>
      <c r="I78" s="615" t="s">
        <v>173</v>
      </c>
      <c r="J78" s="616" t="s">
        <v>179</v>
      </c>
      <c r="K78" s="627">
        <v>43235</v>
      </c>
      <c r="L78" s="618">
        <v>71.540000000000006</v>
      </c>
      <c r="M78" s="556">
        <f t="shared" ref="M78:M81" si="32">IF(OR(K78="",L78=""),"",IF(I78="SI",H78*L78,""))</f>
        <v>71.540000000000006</v>
      </c>
      <c r="N78" s="504">
        <f>IF(OR(I78="",M78=""),"",IF(I78="SI",ROUND(M78,3),0))</f>
        <v>71.540000000000006</v>
      </c>
      <c r="O78" s="636"/>
      <c r="Q78" s="352" t="str">
        <f t="shared" si="26"/>
        <v>CUMPLE</v>
      </c>
      <c r="R78" s="636"/>
      <c r="S78" s="352" t="str">
        <f t="shared" si="30"/>
        <v/>
      </c>
      <c r="T78" s="656" t="str">
        <f t="shared" si="27"/>
        <v/>
      </c>
      <c r="U78" s="586"/>
      <c r="W78" s="594">
        <v>3</v>
      </c>
      <c r="X78" s="595" t="str">
        <f>IF(AND(W78&lt;=$T73,$T73&gt;1,$T73&lt;&gt;""),VLOOKUP(VALUE($F$70&amp;","&amp;W78),INTEGRANTES!$D$19:$G$106,2,0),"")</f>
        <v/>
      </c>
      <c r="Y78" s="596" t="str">
        <f>IF(X78&lt;&gt;"",VLOOKUP(VALUE($F70&amp;","&amp;$W78),INTEGRANTES!$D$19:$G$106,3,0),"")</f>
        <v/>
      </c>
      <c r="Z78" s="597" t="str">
        <f>IF(X78="","",SUMIF($J$76:$J$81,$X78,N$76:N$81))</f>
        <v/>
      </c>
      <c r="AA78" s="604" t="str">
        <f>IF($Y78="","",IF(AND($Y78&gt;=20%,$Z78&gt;=$Z82),"CUMPLE","NO CUMPLE"))</f>
        <v/>
      </c>
      <c r="AB78" s="680" t="s">
        <v>525</v>
      </c>
      <c r="AC78" s="593" t="str">
        <f t="shared" si="28"/>
        <v/>
      </c>
      <c r="AD78" s="680"/>
      <c r="AE78" s="593" t="str">
        <f t="shared" si="29"/>
        <v/>
      </c>
    </row>
    <row r="79" spans="1:31" s="353" customFormat="1" ht="22.5" customHeight="1">
      <c r="A79" s="351"/>
      <c r="B79" s="342">
        <f t="shared" si="31"/>
        <v>4</v>
      </c>
      <c r="C79" s="619">
        <v>33</v>
      </c>
      <c r="D79" s="620" t="s">
        <v>217</v>
      </c>
      <c r="E79" s="628" t="s">
        <v>238</v>
      </c>
      <c r="F79" s="622" t="s">
        <v>239</v>
      </c>
      <c r="G79" s="623" t="s">
        <v>226</v>
      </c>
      <c r="H79" s="624">
        <v>1</v>
      </c>
      <c r="I79" s="615" t="s">
        <v>173</v>
      </c>
      <c r="J79" s="616" t="s">
        <v>179</v>
      </c>
      <c r="K79" s="627">
        <v>43389</v>
      </c>
      <c r="L79" s="618">
        <v>87.26</v>
      </c>
      <c r="M79" s="555">
        <f t="shared" si="32"/>
        <v>87.26</v>
      </c>
      <c r="N79" s="504">
        <f>IF(OR(I79="",M79=""),"",IF(I79="SI",ROUND(M79,3),0))</f>
        <v>87.26</v>
      </c>
      <c r="O79" s="636"/>
      <c r="Q79" s="352" t="str">
        <f t="shared" si="26"/>
        <v>CUMPLE</v>
      </c>
      <c r="R79" s="636"/>
      <c r="S79" s="352" t="str">
        <f t="shared" si="30"/>
        <v/>
      </c>
      <c r="T79" s="656" t="str">
        <f t="shared" si="27"/>
        <v/>
      </c>
      <c r="U79" s="586"/>
      <c r="W79" s="594">
        <v>4</v>
      </c>
      <c r="X79" s="595" t="str">
        <f>IF(AND(W79&lt;=$T73,$T73&gt;1,$T73&lt;&gt;""),VLOOKUP(VALUE($F$70&amp;","&amp;W79),INTEGRANTES!$D$19:$G$106,2,0),"")</f>
        <v/>
      </c>
      <c r="Y79" s="596" t="str">
        <f>IF(X79&lt;&gt;"",VLOOKUP(VALUE($F70&amp;","&amp;$W79),INTEGRANTES!$D$19:$G$106,3,0),"")</f>
        <v/>
      </c>
      <c r="Z79" s="597" t="str">
        <f>IF(X79="","",SUMIF($J$76:$J$81,$X$79,N$76:N$81))</f>
        <v/>
      </c>
      <c r="AA79" s="604" t="str">
        <f>IF($Y79="","",IF(AND($Y79&gt;=20%,$Z79&gt;=$Z82),"CUMPLE","NO CUMPLE"))</f>
        <v/>
      </c>
      <c r="AB79" s="680" t="s">
        <v>525</v>
      </c>
      <c r="AC79" s="593" t="str">
        <f t="shared" si="28"/>
        <v/>
      </c>
      <c r="AD79" s="680"/>
      <c r="AE79" s="593" t="str">
        <f t="shared" si="29"/>
        <v/>
      </c>
    </row>
    <row r="80" spans="1:31" s="353" customFormat="1" ht="22.5" customHeight="1">
      <c r="A80" s="351"/>
      <c r="B80" s="342" t="str">
        <f t="shared" si="31"/>
        <v/>
      </c>
      <c r="C80" s="619"/>
      <c r="D80" s="620"/>
      <c r="E80" s="628"/>
      <c r="F80" s="622"/>
      <c r="G80" s="623"/>
      <c r="H80" s="624"/>
      <c r="I80" s="625"/>
      <c r="J80" s="629"/>
      <c r="K80" s="627"/>
      <c r="L80" s="618"/>
      <c r="M80" s="556" t="str">
        <f t="shared" si="32"/>
        <v/>
      </c>
      <c r="N80" s="504" t="str">
        <f>IF(OR(I80="",M80=""),"",IF(I80="SI",ROUND(M80,3),0))</f>
        <v/>
      </c>
      <c r="O80" s="636"/>
      <c r="Q80" s="352" t="str">
        <f t="shared" si="26"/>
        <v/>
      </c>
      <c r="R80" s="636"/>
      <c r="S80" s="352" t="str">
        <f t="shared" si="30"/>
        <v/>
      </c>
      <c r="T80" s="656" t="str">
        <f t="shared" si="27"/>
        <v/>
      </c>
      <c r="U80" s="586"/>
      <c r="W80" s="594">
        <v>5</v>
      </c>
      <c r="X80" s="595" t="str">
        <f>IF(AND(W80&lt;=$T73,$T73&gt;1,$T73&lt;&gt;""),VLOOKUP(VALUE($F$70&amp;","&amp;W80),INTEGRANTES!$D$19:$G$106,2,0),"")</f>
        <v/>
      </c>
      <c r="Y80" s="596" t="str">
        <f>IF(X80&lt;&gt;"",VLOOKUP(VALUE($F70&amp;","&amp;$W80),INTEGRANTES!$D$19:$G$106,3,0),"")</f>
        <v/>
      </c>
      <c r="Z80" s="597" t="str">
        <f>IF(X80="","",SUMIF($J$76:$J$81,$X$80,N$76:N$81))</f>
        <v/>
      </c>
      <c r="AA80" s="604" t="str">
        <f>IF($Y80="","",IF(AND($Y80&gt;=20%,$Z80&gt;=$Z82),"CUMPLE","NO CUMPLE"))</f>
        <v/>
      </c>
      <c r="AB80" s="680" t="s">
        <v>525</v>
      </c>
      <c r="AC80" s="593" t="str">
        <f t="shared" si="28"/>
        <v/>
      </c>
      <c r="AD80" s="680"/>
      <c r="AE80" s="593" t="str">
        <f t="shared" si="29"/>
        <v/>
      </c>
    </row>
    <row r="81" spans="1:31" s="353" customFormat="1" ht="22.5" customHeight="1">
      <c r="A81" s="351"/>
      <c r="B81" s="342" t="str">
        <f t="shared" si="31"/>
        <v/>
      </c>
      <c r="C81" s="619"/>
      <c r="D81" s="620"/>
      <c r="E81" s="628"/>
      <c r="F81" s="622"/>
      <c r="G81" s="623"/>
      <c r="H81" s="624"/>
      <c r="I81" s="625"/>
      <c r="J81" s="629"/>
      <c r="K81" s="627"/>
      <c r="L81" s="618"/>
      <c r="M81" s="555" t="str">
        <f t="shared" si="32"/>
        <v/>
      </c>
      <c r="N81" s="504" t="str">
        <f>IF(OR(I81="",M81=""),"",IF(I81="SI",ROUND(M81,3),0))</f>
        <v/>
      </c>
      <c r="O81" s="636"/>
      <c r="Q81" s="352" t="str">
        <f t="shared" si="26"/>
        <v/>
      </c>
      <c r="R81" s="636"/>
      <c r="S81" s="352" t="str">
        <f t="shared" si="30"/>
        <v/>
      </c>
      <c r="T81" s="656" t="str">
        <f t="shared" si="27"/>
        <v/>
      </c>
      <c r="U81" s="586"/>
      <c r="W81" s="599">
        <v>6</v>
      </c>
      <c r="X81" s="595" t="str">
        <f>IF(AND(W81&lt;=$T73,$T73&gt;1,$T73&lt;&gt;""),VLOOKUP(VALUE($F$70&amp;","&amp;W81),INTEGRANTES!$D$19:$G$106,2,0),"")</f>
        <v/>
      </c>
      <c r="Y81" s="596" t="str">
        <f>IF(X81&lt;&gt;"",VLOOKUP(VALUE($F70&amp;","&amp;$W81),INTEGRANTES!$D$19:$G$106,3,0),"")</f>
        <v/>
      </c>
      <c r="Z81" s="597" t="str">
        <f>IF(X81="","",SUMIF($J$76:$J$81,$X$81,N$76:N$81))</f>
        <v/>
      </c>
      <c r="AA81" s="604" t="str">
        <f>IF($Y81="","",IF(AND($Y81&gt;=20%,$Z81&gt;=$Z82),"CUMPLE","NO CUMPLE"))</f>
        <v/>
      </c>
      <c r="AB81" s="680" t="s">
        <v>525</v>
      </c>
      <c r="AC81" s="593" t="str">
        <f t="shared" si="28"/>
        <v/>
      </c>
      <c r="AD81" s="680"/>
      <c r="AE81" s="593" t="str">
        <f t="shared" si="29"/>
        <v/>
      </c>
    </row>
    <row r="82" spans="1:31" ht="5.0999999999999996" customHeight="1" thickBot="1">
      <c r="B82" s="354"/>
      <c r="C82" s="359"/>
      <c r="D82" s="355"/>
      <c r="E82" s="368"/>
      <c r="F82" s="355"/>
      <c r="G82" s="355"/>
      <c r="H82" s="355"/>
      <c r="I82" s="356"/>
      <c r="J82" s="357"/>
      <c r="K82" s="358"/>
      <c r="L82" s="355"/>
      <c r="M82" s="356"/>
      <c r="N82" s="360"/>
      <c r="O82" s="352" t="str">
        <f>IF(L82="","",IF(AND(L82&gt;=YEAR($M$15), J82="SI",L82&lt;=S76),"CUMPLE","NO CUMPLE"))</f>
        <v/>
      </c>
      <c r="Q82" s="352" t="str">
        <f>IF(N82="","",IF(AND(N82&gt;=YEAR($M$15), L82="SI",N82&lt;=V76),"CUMPLE","NO CUMPLE"))</f>
        <v/>
      </c>
      <c r="R82" s="352" t="str">
        <f>IF(P82="","",IF(AND(P82&gt;=YEAR($M$15), M82="SI",P82&lt;=W76),"CUMPLE","NO CUMPLE"))</f>
        <v/>
      </c>
      <c r="S82" s="352" t="str">
        <f>IF(P82="","",IF(AND(P82&gt;=YEAR($M$15), N82="SI",P82&lt;=X76),"CUMPLE","NO CUMPLE"))</f>
        <v/>
      </c>
      <c r="T82" s="564"/>
      <c r="U82" s="586"/>
      <c r="W82" s="600"/>
      <c r="X82" s="600"/>
      <c r="Y82" s="600"/>
      <c r="Z82" s="605">
        <f>MAX(Z76:Z81)</f>
        <v>0</v>
      </c>
      <c r="AA82" s="600"/>
      <c r="AB82" s="602"/>
      <c r="AC82" s="602"/>
      <c r="AD82" s="602"/>
      <c r="AE82" s="602"/>
    </row>
    <row r="83" spans="1:31" s="52" customFormat="1" ht="17.100000000000001" customHeight="1" thickTop="1" thickBot="1">
      <c r="A83" s="361">
        <f>F70</f>
        <v>4</v>
      </c>
      <c r="B83" s="364"/>
      <c r="C83" s="379"/>
      <c r="D83" s="664"/>
      <c r="E83" s="752"/>
      <c r="F83" s="752"/>
      <c r="G83" s="752"/>
      <c r="H83" s="752"/>
      <c r="I83" s="752"/>
      <c r="J83" s="752"/>
      <c r="K83" s="752"/>
      <c r="L83" s="753"/>
      <c r="M83" s="754"/>
      <c r="N83" s="365">
        <f>SUM(N76:N79)</f>
        <v>348.02</v>
      </c>
      <c r="O83" s="373"/>
      <c r="Q83" s="373" t="str">
        <f>IF(COUNTIF(Q76:Q79,"CUMPLE")&gt;0,"CUMPLE","NO CUMPLE")</f>
        <v>CUMPLE</v>
      </c>
      <c r="R83" s="374" t="str">
        <f>IF(COUNTIF(R76:R79,"COLOMBIA")&gt;0,"CUMPLE","NO CUMPLE")</f>
        <v>CUMPLE</v>
      </c>
      <c r="S83" s="373" t="str">
        <f>IF(COUNTIF(S76:S79,"CUMPLE")&gt;0,"CUMPLE","NO CUMPLE")</f>
        <v>CUMPLE</v>
      </c>
      <c r="T83" s="566"/>
      <c r="U83" s="587"/>
      <c r="AA83" s="589" t="str">
        <f>IF(T73=1,"CUMPLE",IF(COUNTIF(AA76:AA81,"CUMPLE")&gt;0,"CUMPLE","NO CUMPLE"))</f>
        <v>CUMPLE</v>
      </c>
      <c r="AB83" s="735" t="str">
        <f>IF(COUNTIF(AC76:AC81,"CUMPLE")&gt;0,"CUMPLE","NO CUMPLE")</f>
        <v>NO CUMPLE</v>
      </c>
      <c r="AC83" s="736"/>
      <c r="AD83" s="735" t="str">
        <f>IF(COUNTIF(AE76:AE81,"CUMPLE")&gt;0,"CUMPLE","NO CUMPLE")</f>
        <v>NO CUMPLE</v>
      </c>
      <c r="AE83" s="736"/>
    </row>
    <row r="84" spans="1:31" ht="16.5" thickTop="1">
      <c r="B84" s="557"/>
      <c r="C84" s="558"/>
      <c r="D84" s="558"/>
      <c r="E84" s="558"/>
      <c r="F84" s="558"/>
      <c r="G84" s="558"/>
      <c r="H84" s="558"/>
      <c r="I84" s="558"/>
      <c r="J84" s="558"/>
      <c r="K84" s="558"/>
      <c r="L84" s="80"/>
      <c r="M84" s="362" t="s">
        <v>516</v>
      </c>
      <c r="N84" s="369">
        <f ca="1">VFrequerido!Y18</f>
        <v>254.25</v>
      </c>
      <c r="O84" s="568"/>
      <c r="Q84" s="570"/>
      <c r="R84" s="571"/>
      <c r="S84" s="572"/>
      <c r="T84" s="573"/>
      <c r="U84" s="80"/>
    </row>
    <row r="85" spans="1:31" ht="15.75" thickBot="1">
      <c r="A85" s="490" t="str">
        <f>"E"&amp;F70</f>
        <v>E4</v>
      </c>
      <c r="B85" s="559"/>
      <c r="C85" s="560"/>
      <c r="D85" s="560"/>
      <c r="E85" s="560"/>
      <c r="F85" s="560"/>
      <c r="G85" s="560"/>
      <c r="H85" s="560"/>
      <c r="I85" s="560"/>
      <c r="J85" s="560"/>
      <c r="K85" s="560"/>
      <c r="L85" s="363"/>
      <c r="M85" s="755" t="str">
        <f ca="1">IF(OR(N83=0,N83&lt;N84),"NO CUMPLE","CUMPLE")</f>
        <v>CUMPLE</v>
      </c>
      <c r="N85" s="756"/>
      <c r="O85" s="569"/>
      <c r="Q85" s="492"/>
      <c r="R85" s="493"/>
      <c r="S85" s="363"/>
      <c r="T85" s="574"/>
      <c r="U85" s="80"/>
    </row>
    <row r="86" spans="1:31" ht="13.5" thickTop="1"/>
    <row r="88" spans="1:31">
      <c r="F88" s="757">
        <f>F70+1</f>
        <v>5</v>
      </c>
      <c r="G88" s="758" t="str">
        <f>VLOOKUP(F88,PROPO,2,FALSE)</f>
        <v>CONSORCIO JJAB</v>
      </c>
      <c r="H88" s="758"/>
      <c r="I88" s="758"/>
      <c r="J88" s="758"/>
      <c r="K88" s="52"/>
      <c r="O88" s="52"/>
      <c r="Q88" s="52"/>
      <c r="R88" s="52"/>
    </row>
    <row r="89" spans="1:31">
      <c r="B89" s="328"/>
      <c r="C89" s="328"/>
      <c r="D89" s="328"/>
      <c r="E89" s="328"/>
      <c r="F89" s="757"/>
      <c r="G89" s="758"/>
      <c r="H89" s="758"/>
      <c r="I89" s="758"/>
      <c r="J89" s="758"/>
      <c r="K89" s="52"/>
      <c r="N89" s="567"/>
      <c r="O89" s="52"/>
      <c r="Q89" s="52"/>
      <c r="R89" s="52"/>
    </row>
    <row r="90" spans="1:31" ht="13.5" thickBot="1">
      <c r="B90" s="329"/>
      <c r="C90" s="329"/>
      <c r="D90" s="56"/>
      <c r="E90" s="56"/>
      <c r="F90" s="56"/>
      <c r="G90" s="56"/>
      <c r="H90" s="56"/>
      <c r="I90" s="56"/>
      <c r="J90" s="56"/>
      <c r="K90" s="330"/>
      <c r="L90" s="331"/>
      <c r="M90" s="331"/>
      <c r="N90" s="330"/>
      <c r="O90" s="330"/>
      <c r="Q90" s="330"/>
      <c r="R90" s="330"/>
    </row>
    <row r="91" spans="1:31" ht="50.1" customHeight="1" thickTop="1" thickBot="1">
      <c r="B91" s="332" t="s">
        <v>16</v>
      </c>
      <c r="C91" s="744" t="s">
        <v>121</v>
      </c>
      <c r="D91" s="333" t="s">
        <v>17</v>
      </c>
      <c r="E91" s="746" t="s">
        <v>18</v>
      </c>
      <c r="F91" s="747"/>
      <c r="G91" s="748" t="s">
        <v>117</v>
      </c>
      <c r="H91" s="749"/>
      <c r="I91" s="744" t="s">
        <v>39</v>
      </c>
      <c r="J91" s="744" t="s">
        <v>0</v>
      </c>
      <c r="K91" s="665" t="s">
        <v>19</v>
      </c>
      <c r="L91" s="750" t="s">
        <v>20</v>
      </c>
      <c r="M91" s="751"/>
      <c r="N91" s="68" t="s">
        <v>52</v>
      </c>
      <c r="O91" s="501" t="s">
        <v>151</v>
      </c>
      <c r="Q91" s="665" t="s">
        <v>127</v>
      </c>
      <c r="R91" s="665" t="s">
        <v>138</v>
      </c>
      <c r="S91" s="665" t="s">
        <v>163</v>
      </c>
      <c r="T91" s="565">
        <f>IF(VLOOKUP(F88,PROPONENTES!$C$19:$E$54,3,0)="","",VLOOKUP(F88,PROPONENTES!$C$19:$E$54,3,0))</f>
        <v>2</v>
      </c>
      <c r="U91" s="582"/>
      <c r="W91" s="737" t="s">
        <v>167</v>
      </c>
      <c r="X91" s="738"/>
      <c r="Y91" s="738"/>
      <c r="Z91" s="738"/>
      <c r="AA91" s="738"/>
      <c r="AB91" s="738"/>
      <c r="AC91" s="738"/>
      <c r="AD91" s="738"/>
      <c r="AE91" s="739"/>
    </row>
    <row r="92" spans="1:31" ht="50.1" customHeight="1" thickTop="1" thickBot="1">
      <c r="B92" s="334" t="s">
        <v>21</v>
      </c>
      <c r="C92" s="745"/>
      <c r="D92" s="335" t="s">
        <v>22</v>
      </c>
      <c r="E92" s="366" t="s">
        <v>23</v>
      </c>
      <c r="F92" s="336" t="s">
        <v>24</v>
      </c>
      <c r="G92" s="337" t="s">
        <v>118</v>
      </c>
      <c r="H92" s="338" t="s">
        <v>119</v>
      </c>
      <c r="I92" s="745"/>
      <c r="J92" s="745"/>
      <c r="K92" s="663" t="s">
        <v>120</v>
      </c>
      <c r="L92" s="339" t="s">
        <v>150</v>
      </c>
      <c r="M92" s="340" t="s">
        <v>14</v>
      </c>
      <c r="N92" s="341" t="s">
        <v>14</v>
      </c>
      <c r="O92" s="502" t="s">
        <v>152</v>
      </c>
      <c r="Q92" s="663" t="s">
        <v>128</v>
      </c>
      <c r="R92" s="663" t="s">
        <v>139</v>
      </c>
      <c r="S92" s="663" t="s">
        <v>164</v>
      </c>
      <c r="T92" s="575" t="s">
        <v>83</v>
      </c>
      <c r="U92" s="583"/>
      <c r="W92" s="740" t="s">
        <v>166</v>
      </c>
      <c r="X92" s="743"/>
      <c r="Y92" s="663" t="s">
        <v>168</v>
      </c>
      <c r="Z92" s="663" t="s">
        <v>169</v>
      </c>
      <c r="AA92" s="663" t="s">
        <v>174</v>
      </c>
      <c r="AB92" s="740" t="s">
        <v>524</v>
      </c>
      <c r="AC92" s="741"/>
      <c r="AD92" s="742" t="s">
        <v>522</v>
      </c>
      <c r="AE92" s="741"/>
    </row>
    <row r="93" spans="1:31" ht="14.25" hidden="1" customHeight="1">
      <c r="B93" s="342">
        <v>0</v>
      </c>
      <c r="C93" s="347"/>
      <c r="D93" s="343"/>
      <c r="E93" s="367"/>
      <c r="F93" s="344"/>
      <c r="G93" s="345"/>
      <c r="H93" s="346"/>
      <c r="I93" s="347"/>
      <c r="J93" s="347"/>
      <c r="K93" s="347"/>
      <c r="L93" s="348"/>
      <c r="M93" s="349"/>
      <c r="N93" s="350"/>
      <c r="O93" s="347"/>
      <c r="Q93" s="347"/>
      <c r="R93" s="347"/>
      <c r="S93" s="347"/>
      <c r="T93" s="563"/>
      <c r="U93" s="584"/>
      <c r="W93" s="502" t="s">
        <v>166</v>
      </c>
      <c r="X93" s="502"/>
      <c r="Y93" s="502" t="s">
        <v>168</v>
      </c>
      <c r="Z93" s="502" t="s">
        <v>169</v>
      </c>
      <c r="AA93" s="502" t="s">
        <v>170</v>
      </c>
      <c r="AB93" s="661" t="s">
        <v>170</v>
      </c>
      <c r="AC93" s="661" t="s">
        <v>170</v>
      </c>
      <c r="AD93" s="661" t="s">
        <v>170</v>
      </c>
      <c r="AE93" s="661" t="s">
        <v>170</v>
      </c>
    </row>
    <row r="94" spans="1:31" s="353" customFormat="1" ht="22.5" customHeight="1" thickTop="1">
      <c r="A94" s="351"/>
      <c r="B94" s="342">
        <f>IF(D94="","",B93+1)</f>
        <v>1</v>
      </c>
      <c r="C94" s="609">
        <v>2</v>
      </c>
      <c r="D94" s="610" t="s">
        <v>217</v>
      </c>
      <c r="E94" s="611" t="s">
        <v>240</v>
      </c>
      <c r="F94" s="612" t="s">
        <v>241</v>
      </c>
      <c r="G94" s="613" t="s">
        <v>226</v>
      </c>
      <c r="H94" s="614">
        <v>1</v>
      </c>
      <c r="I94" s="615" t="s">
        <v>173</v>
      </c>
      <c r="J94" s="616" t="s">
        <v>246</v>
      </c>
      <c r="K94" s="617">
        <v>36890</v>
      </c>
      <c r="L94" s="618">
        <v>145.16</v>
      </c>
      <c r="M94" s="494">
        <f>IF(OR(K94="",L94=""),"",IF(I94="SI",H94*L94,""))</f>
        <v>145.16</v>
      </c>
      <c r="N94" s="503">
        <f>IF(OR(I94="",M94=""),"",IF(I94="NO",0,IF(I94="SI",ROUND(M94,3),0)))</f>
        <v>145.16</v>
      </c>
      <c r="O94" s="636"/>
      <c r="Q94" s="352" t="str">
        <f t="shared" ref="Q94:Q99" si="33">IF(K94="","",IF(AND(YEAR(K94)&gt;=YEAR($M$15), I94="SI",K94&lt;=$N$15),"CUMPLE","NO CUMPLE"))</f>
        <v>NO CUMPLE</v>
      </c>
      <c r="R94" s="636" t="s">
        <v>140</v>
      </c>
      <c r="S94" s="352" t="str">
        <f>IF(T94="","",IF(T94&gt;=20%,"CUMPLE","NO CUMPLE"))</f>
        <v>CUMPLE</v>
      </c>
      <c r="T94" s="656">
        <f t="shared" ref="T94:T99" si="34">IF(R94="","",VLOOKUP(J94,INTEGRAN,2,FALSE))</f>
        <v>0.8</v>
      </c>
      <c r="U94" s="585"/>
      <c r="W94" s="594">
        <v>1</v>
      </c>
      <c r="X94" s="595" t="str">
        <f>IF(AND(W94&lt;=$T91,$T91&gt;1,$T91&lt;&gt;""),VLOOKUP(VALUE($F$88&amp;","&amp;W94),INTEGRANTES!$D$19:$G$106,2,0),"")</f>
        <v>JJAB S.A.S - ZOMAC</v>
      </c>
      <c r="Y94" s="596">
        <f>IF(X94&lt;&gt;"",VLOOKUP(VALUE($F88&amp;","&amp;$W94),INTEGRANTES!$D$19:$G$106,3,0),"")</f>
        <v>0.8</v>
      </c>
      <c r="Z94" s="597">
        <f>IF(X94="","",SUMIF($J94:$J99,$X94,$N94:$N99))</f>
        <v>628.13199999999995</v>
      </c>
      <c r="AA94" s="604" t="str">
        <f>IF($Y94="","",IF(AND($Y94&gt;=20%,$Z94&gt;=$Z100),"CUMPLE","NO CUMPLE"))</f>
        <v>CUMPLE</v>
      </c>
      <c r="AB94" s="679" t="s">
        <v>525</v>
      </c>
      <c r="AC94" s="592" t="str">
        <f t="shared" ref="AC94:AC99" si="35">IF(X94="","",IF(AND(Y94&gt;=40%,AB94="SI"),"CUMPLE","NO CUMPLE"))</f>
        <v>CUMPLE</v>
      </c>
      <c r="AD94" s="679" t="s">
        <v>525</v>
      </c>
      <c r="AE94" s="592" t="str">
        <f t="shared" ref="AE94:AE99" si="36">IF(X94="","",IF(AD94="SI","CUMPLE","NO CUMPLE"))</f>
        <v>CUMPLE</v>
      </c>
    </row>
    <row r="95" spans="1:31" s="353" customFormat="1" ht="22.5" customHeight="1">
      <c r="A95" s="351"/>
      <c r="B95" s="342">
        <f>IF(D95="","",B94+1)</f>
        <v>2</v>
      </c>
      <c r="C95" s="619">
        <v>8</v>
      </c>
      <c r="D95" s="620" t="s">
        <v>217</v>
      </c>
      <c r="E95" s="621" t="s">
        <v>242</v>
      </c>
      <c r="F95" s="622" t="s">
        <v>243</v>
      </c>
      <c r="G95" s="623" t="s">
        <v>226</v>
      </c>
      <c r="H95" s="624">
        <v>1</v>
      </c>
      <c r="I95" s="625" t="s">
        <v>173</v>
      </c>
      <c r="J95" s="629" t="s">
        <v>246</v>
      </c>
      <c r="K95" s="627">
        <v>38679</v>
      </c>
      <c r="L95" s="618">
        <v>52.32</v>
      </c>
      <c r="M95" s="556">
        <f>IF(OR(K95="",L95=""),"",IF(I95="SI",H95*L95,""))</f>
        <v>52.32</v>
      </c>
      <c r="N95" s="504">
        <f>IF(OR(I95="",M95=""),"",IF(I95="SI",ROUND(M95,3),0))</f>
        <v>52.32</v>
      </c>
      <c r="O95" s="636"/>
      <c r="Q95" s="352" t="str">
        <f t="shared" si="33"/>
        <v>NO CUMPLE</v>
      </c>
      <c r="R95" s="636"/>
      <c r="S95" s="352" t="str">
        <f t="shared" ref="S95:S99" si="37">IF(T95="","",IF(T95&gt;=20%,"CUMPLE","NO CUMPLE"))</f>
        <v/>
      </c>
      <c r="T95" s="671" t="str">
        <f t="shared" si="34"/>
        <v/>
      </c>
      <c r="U95" s="586"/>
      <c r="W95" s="594">
        <v>2</v>
      </c>
      <c r="X95" s="595" t="str">
        <f>IF(AND(W95&lt;=$T91,$T91&gt;1,$T91&lt;&gt;""),VLOOKUP(VALUE($F88&amp;","&amp;W95),INTEGRANTES!$D$19:$G$106,2,0),"")</f>
        <v>JUAN JOSE ARAQUE BLANCO</v>
      </c>
      <c r="Y95" s="596">
        <f>IF(X95&lt;&gt;"",VLOOKUP(VALUE($F88&amp;","&amp;$W95),INTEGRANTES!$D$19:$G$106,3,0),"")</f>
        <v>0.2</v>
      </c>
      <c r="Z95" s="597">
        <f>IF(X95="","",SUMIF($J94:$J99,$X95,$N94:$N99))</f>
        <v>0</v>
      </c>
      <c r="AA95" s="604" t="str">
        <f>IF($Y95="","",IF(AND($Y95&gt;=20%,$Z95&gt;=$Z100),"CUMPLE","NO CUMPLE"))</f>
        <v>NO CUMPLE</v>
      </c>
      <c r="AB95" s="680"/>
      <c r="AC95" s="593" t="str">
        <f t="shared" si="35"/>
        <v>NO CUMPLE</v>
      </c>
      <c r="AD95" s="680"/>
      <c r="AE95" s="593" t="str">
        <f t="shared" si="36"/>
        <v>NO CUMPLE</v>
      </c>
    </row>
    <row r="96" spans="1:31" s="353" customFormat="1" ht="22.5" customHeight="1">
      <c r="A96" s="351"/>
      <c r="B96" s="342">
        <f t="shared" ref="B96:B99" si="38">IF(D96="","",B95+1)</f>
        <v>3</v>
      </c>
      <c r="C96" s="619">
        <v>10</v>
      </c>
      <c r="D96" s="620" t="s">
        <v>217</v>
      </c>
      <c r="E96" s="628" t="s">
        <v>244</v>
      </c>
      <c r="F96" s="622" t="s">
        <v>245</v>
      </c>
      <c r="G96" s="623" t="s">
        <v>172</v>
      </c>
      <c r="H96" s="624">
        <v>0.4</v>
      </c>
      <c r="I96" s="625" t="s">
        <v>173</v>
      </c>
      <c r="J96" s="629" t="s">
        <v>246</v>
      </c>
      <c r="K96" s="627">
        <v>42490</v>
      </c>
      <c r="L96" s="618">
        <v>1076.6300000000001</v>
      </c>
      <c r="M96" s="556">
        <f t="shared" ref="M96:M99" si="39">IF(OR(K96="",L96=""),"",IF(I96="SI",H96*L96,""))</f>
        <v>430.65199999999999</v>
      </c>
      <c r="N96" s="504">
        <f>IF(OR(I96="",M96=""),"",IF(I96="SI",ROUND(M96,3),0))</f>
        <v>430.65199999999999</v>
      </c>
      <c r="O96" s="636"/>
      <c r="Q96" s="352" t="str">
        <f t="shared" si="33"/>
        <v>CUMPLE</v>
      </c>
      <c r="R96" s="636" t="s">
        <v>140</v>
      </c>
      <c r="S96" s="352" t="str">
        <f t="shared" si="37"/>
        <v>CUMPLE</v>
      </c>
      <c r="T96" s="656">
        <f t="shared" si="34"/>
        <v>0.8</v>
      </c>
      <c r="U96" s="586"/>
      <c r="W96" s="594">
        <v>3</v>
      </c>
      <c r="X96" s="595" t="str">
        <f>IF(AND(W96&lt;=$T91,$T91&gt;1,$T91&lt;&gt;""),VLOOKUP(VALUE($F88&amp;","&amp;W96),INTEGRANTES!$D$19:$G$106,2,0),"")</f>
        <v/>
      </c>
      <c r="Y96" s="596" t="str">
        <f>IF(X96&lt;&gt;"",VLOOKUP(VALUE($F88&amp;","&amp;$W96),INTEGRANTES!$D$19:$G$106,3,0),"")</f>
        <v/>
      </c>
      <c r="Z96" s="597" t="str">
        <f>IF(X96="","",SUMIF($J94:$J99,$X96,$N94:$N99))</f>
        <v/>
      </c>
      <c r="AA96" s="604" t="str">
        <f>IF($Y96="","",IF(AND($Y96&gt;=20%,$Z96&gt;=$Z100),"CUMPLE","NO CUMPLE"))</f>
        <v/>
      </c>
      <c r="AB96" s="680"/>
      <c r="AC96" s="593" t="str">
        <f t="shared" si="35"/>
        <v/>
      </c>
      <c r="AD96" s="680"/>
      <c r="AE96" s="593" t="str">
        <f t="shared" si="36"/>
        <v/>
      </c>
    </row>
    <row r="97" spans="1:31" s="353" customFormat="1" ht="22.5" customHeight="1">
      <c r="A97" s="351"/>
      <c r="B97" s="342" t="str">
        <f t="shared" si="38"/>
        <v/>
      </c>
      <c r="C97" s="619"/>
      <c r="D97" s="620"/>
      <c r="E97" s="628"/>
      <c r="F97" s="622"/>
      <c r="G97" s="623"/>
      <c r="H97" s="624"/>
      <c r="I97" s="625"/>
      <c r="J97" s="629"/>
      <c r="K97" s="627"/>
      <c r="L97" s="618"/>
      <c r="M97" s="555" t="str">
        <f t="shared" si="39"/>
        <v/>
      </c>
      <c r="N97" s="504" t="str">
        <f>IF(OR(I97="",M97=""),"",IF(I97="SI",ROUND(M97,3),0))</f>
        <v/>
      </c>
      <c r="O97" s="636"/>
      <c r="Q97" s="352" t="str">
        <f t="shared" si="33"/>
        <v/>
      </c>
      <c r="R97" s="636"/>
      <c r="S97" s="352" t="str">
        <f t="shared" si="37"/>
        <v/>
      </c>
      <c r="T97" s="671" t="str">
        <f t="shared" si="34"/>
        <v/>
      </c>
      <c r="U97" s="586"/>
      <c r="W97" s="594">
        <v>4</v>
      </c>
      <c r="X97" s="595" t="str">
        <f>IF(AND(W97&lt;=$T91,$T91&gt;1,$T91&lt;&gt;""),VLOOKUP(VALUE($F88&amp;","&amp;W97),INTEGRANTES!$D$19:$G$106,2,0),"")</f>
        <v/>
      </c>
      <c r="Y97" s="596" t="str">
        <f>IF(X97&lt;&gt;"",VLOOKUP(VALUE($F88&amp;","&amp;$W97),INTEGRANTES!$D$19:$G$106,3,0),"")</f>
        <v/>
      </c>
      <c r="Z97" s="597" t="str">
        <f>IF(X97="","",SUMIF($J94:$J99,$X97,$N94:$N99))</f>
        <v/>
      </c>
      <c r="AA97" s="604" t="str">
        <f>IF($Y97="","",IF(AND($Y97&gt;=20%,$Z97&gt;=$Z100),"CUMPLE","NO CUMPLE"))</f>
        <v/>
      </c>
      <c r="AB97" s="680"/>
      <c r="AC97" s="593" t="str">
        <f t="shared" si="35"/>
        <v/>
      </c>
      <c r="AD97" s="680"/>
      <c r="AE97" s="593" t="str">
        <f t="shared" si="36"/>
        <v/>
      </c>
    </row>
    <row r="98" spans="1:31" s="353" customFormat="1" ht="22.5" customHeight="1">
      <c r="A98" s="351"/>
      <c r="B98" s="342" t="str">
        <f t="shared" si="38"/>
        <v/>
      </c>
      <c r="C98" s="619"/>
      <c r="D98" s="620"/>
      <c r="E98" s="628"/>
      <c r="F98" s="622"/>
      <c r="G98" s="623"/>
      <c r="H98" s="624"/>
      <c r="I98" s="625"/>
      <c r="J98" s="629"/>
      <c r="K98" s="627"/>
      <c r="L98" s="618"/>
      <c r="M98" s="556" t="str">
        <f t="shared" si="39"/>
        <v/>
      </c>
      <c r="N98" s="504" t="str">
        <f>IF(OR(I98="",M98=""),"",IF(I98="SI",ROUND(M98,3),0))</f>
        <v/>
      </c>
      <c r="O98" s="636"/>
      <c r="Q98" s="352" t="str">
        <f t="shared" si="33"/>
        <v/>
      </c>
      <c r="R98" s="636"/>
      <c r="S98" s="352" t="str">
        <f t="shared" si="37"/>
        <v/>
      </c>
      <c r="T98" s="671" t="str">
        <f t="shared" si="34"/>
        <v/>
      </c>
      <c r="U98" s="586"/>
      <c r="W98" s="594">
        <v>5</v>
      </c>
      <c r="X98" s="595" t="str">
        <f>IF(AND(W98&lt;=$T91,$T91&gt;1,$T91&lt;&gt;""),VLOOKUP(VALUE($F88&amp;","&amp;W98),INTEGRANTES!$D$19:$G$106,2,0),"")</f>
        <v/>
      </c>
      <c r="Y98" s="596" t="str">
        <f>IF(X98&lt;&gt;"",VLOOKUP(VALUE($F88&amp;","&amp;$W98),INTEGRANTES!$D$19:$G$106,3,0),"")</f>
        <v/>
      </c>
      <c r="Z98" s="597" t="str">
        <f>IF(X98="","",SUMIF($J94:$J99,$X98,$N94:$N99))</f>
        <v/>
      </c>
      <c r="AA98" s="604" t="str">
        <f>IF($Y98="","",IF(AND($Y98&gt;=20%,$Z98&gt;=$Z100),"CUMPLE","NO CUMPLE"))</f>
        <v/>
      </c>
      <c r="AB98" s="680"/>
      <c r="AC98" s="593" t="str">
        <f t="shared" si="35"/>
        <v/>
      </c>
      <c r="AD98" s="680"/>
      <c r="AE98" s="593" t="str">
        <f t="shared" si="36"/>
        <v/>
      </c>
    </row>
    <row r="99" spans="1:31" s="353" customFormat="1" ht="22.5" customHeight="1">
      <c r="A99" s="351"/>
      <c r="B99" s="342" t="str">
        <f t="shared" si="38"/>
        <v/>
      </c>
      <c r="C99" s="619"/>
      <c r="D99" s="620"/>
      <c r="E99" s="628"/>
      <c r="F99" s="622"/>
      <c r="G99" s="623"/>
      <c r="H99" s="624"/>
      <c r="I99" s="625"/>
      <c r="J99" s="629"/>
      <c r="K99" s="627"/>
      <c r="L99" s="618"/>
      <c r="M99" s="555" t="str">
        <f t="shared" si="39"/>
        <v/>
      </c>
      <c r="N99" s="504" t="str">
        <f>IF(OR(I99="",M99=""),"",IF(I99="SI",ROUND(M99,3),0))</f>
        <v/>
      </c>
      <c r="O99" s="636"/>
      <c r="Q99" s="352" t="str">
        <f t="shared" si="33"/>
        <v/>
      </c>
      <c r="R99" s="636"/>
      <c r="S99" s="352" t="str">
        <f t="shared" si="37"/>
        <v/>
      </c>
      <c r="T99" s="671" t="str">
        <f t="shared" si="34"/>
        <v/>
      </c>
      <c r="U99" s="586"/>
      <c r="W99" s="599">
        <v>6</v>
      </c>
      <c r="X99" s="595" t="str">
        <f>IF(AND(W99&lt;=$T91,$T91&gt;1,$T91&lt;&gt;""),VLOOKUP(VALUE($F88&amp;","&amp;W99),INTEGRANTES!$D$19:$G$106,2,0),"")</f>
        <v/>
      </c>
      <c r="Y99" s="606" t="str">
        <f>IF(X99&lt;&gt;"",VLOOKUP(VALUE($F88&amp;","&amp;$W99),INTEGRANTES!$D$19:$G$106,3,0),"")</f>
        <v/>
      </c>
      <c r="Z99" s="607" t="str">
        <f>IF(X99="","",SUMIF($J94:$J99,$X99,$N94:$N99))</f>
        <v/>
      </c>
      <c r="AA99" s="608" t="str">
        <f>IF($Y99="","",IF(AND($Y99&gt;=20%,$Z99&gt;=$Z100),"CUMPLE","NO CUMPLE"))</f>
        <v/>
      </c>
      <c r="AB99" s="680"/>
      <c r="AC99" s="593" t="str">
        <f t="shared" si="35"/>
        <v/>
      </c>
      <c r="AD99" s="680"/>
      <c r="AE99" s="593" t="str">
        <f t="shared" si="36"/>
        <v/>
      </c>
    </row>
    <row r="100" spans="1:31" ht="5.0999999999999996" customHeight="1" thickBot="1">
      <c r="B100" s="354"/>
      <c r="C100" s="359"/>
      <c r="D100" s="355"/>
      <c r="E100" s="368"/>
      <c r="F100" s="355"/>
      <c r="G100" s="355"/>
      <c r="H100" s="355"/>
      <c r="I100" s="356"/>
      <c r="J100" s="357"/>
      <c r="K100" s="358"/>
      <c r="L100" s="355"/>
      <c r="M100" s="356"/>
      <c r="N100" s="360"/>
      <c r="O100" s="352" t="str">
        <f>IF(L100="","",IF(AND(L100&gt;=YEAR($M$15), J100="SI",L100&lt;=S94),"CUMPLE","NO CUMPLE"))</f>
        <v/>
      </c>
      <c r="Q100" s="352" t="str">
        <f>IF(N100="","",IF(AND(N100&gt;=YEAR($M$15), L100="SI",N100&lt;=V94),"CUMPLE","NO CUMPLE"))</f>
        <v/>
      </c>
      <c r="R100" s="352" t="str">
        <f>IF(P100="","",IF(AND(P100&gt;=YEAR($M$15), M100="SI",P100&lt;=W94),"CUMPLE","NO CUMPLE"))</f>
        <v/>
      </c>
      <c r="S100" s="352" t="str">
        <f>IF(P100="","",IF(AND(P100&gt;=YEAR($M$15), N100="SI",P100&lt;=X94),"CUMPLE","NO CUMPLE"))</f>
        <v/>
      </c>
      <c r="T100" s="564"/>
      <c r="U100" s="586"/>
      <c r="W100" s="600"/>
      <c r="X100" s="600"/>
      <c r="Y100" s="600"/>
      <c r="Z100" s="605">
        <f>MAX(Z94:Z99)</f>
        <v>628.13199999999995</v>
      </c>
      <c r="AA100" s="600"/>
      <c r="AB100" s="602"/>
      <c r="AC100" s="602"/>
      <c r="AD100" s="602"/>
      <c r="AE100" s="602"/>
    </row>
    <row r="101" spans="1:31" s="52" customFormat="1" ht="17.100000000000001" customHeight="1" thickTop="1" thickBot="1">
      <c r="A101" s="361">
        <f>F88</f>
        <v>5</v>
      </c>
      <c r="B101" s="364"/>
      <c r="C101" s="379"/>
      <c r="D101" s="664"/>
      <c r="E101" s="752"/>
      <c r="F101" s="752"/>
      <c r="G101" s="752"/>
      <c r="H101" s="752"/>
      <c r="I101" s="752"/>
      <c r="J101" s="752"/>
      <c r="K101" s="752"/>
      <c r="L101" s="753"/>
      <c r="M101" s="754"/>
      <c r="N101" s="365">
        <f>SUM(N94:N100)</f>
        <v>628.13199999999995</v>
      </c>
      <c r="O101" s="373"/>
      <c r="Q101" s="373" t="str">
        <f>IF(COUNTIF(Q94:Q97,"CUMPLE")&gt;0,"CUMPLE","NO CUMPLE")</f>
        <v>CUMPLE</v>
      </c>
      <c r="R101" s="374" t="str">
        <f>IF(COUNTIF(R94:R97,"COLOMBIA")&gt;0,"CUMPLE","NO CUMPLE")</f>
        <v>CUMPLE</v>
      </c>
      <c r="S101" s="373" t="str">
        <f>IF(COUNTIF(S94:S97,"CUMPLE")&gt;0,"CUMPLE","NO CUMPLE")</f>
        <v>CUMPLE</v>
      </c>
      <c r="T101" s="566"/>
      <c r="U101" s="587"/>
      <c r="AA101" s="589" t="str">
        <f>IF(COUNTIF(AA94:AA99,"CUMPLE")&gt;0,"CUMPLE","NO CUMPLE")</f>
        <v>CUMPLE</v>
      </c>
      <c r="AB101" s="735" t="str">
        <f>IF(COUNTIF(AC94:AC99,"CUMPLE")&gt;0,"CUMPLE","NO CUMPLE")</f>
        <v>CUMPLE</v>
      </c>
      <c r="AC101" s="736"/>
      <c r="AD101" s="735" t="str">
        <f>IF(COUNTIF(AE94:AE99,"CUMPLE")&gt;0,"CUMPLE","NO CUMPLE")</f>
        <v>CUMPLE</v>
      </c>
      <c r="AE101" s="736"/>
    </row>
    <row r="102" spans="1:31" ht="16.5" thickTop="1">
      <c r="B102" s="557"/>
      <c r="C102" s="558"/>
      <c r="D102" s="558"/>
      <c r="E102" s="558"/>
      <c r="F102" s="558"/>
      <c r="G102" s="558"/>
      <c r="H102" s="558"/>
      <c r="I102" s="558"/>
      <c r="J102" s="558"/>
      <c r="K102" s="558"/>
      <c r="L102" s="80"/>
      <c r="M102" s="362" t="s">
        <v>516</v>
      </c>
      <c r="N102" s="369">
        <f ca="1">VFrequerido!Y19</f>
        <v>537.11</v>
      </c>
      <c r="O102" s="568"/>
      <c r="Q102" s="570"/>
      <c r="R102" s="571"/>
      <c r="S102" s="572"/>
      <c r="T102" s="573"/>
      <c r="U102" s="80"/>
    </row>
    <row r="103" spans="1:31" ht="15.75" thickBot="1">
      <c r="A103" s="490" t="str">
        <f>"E"&amp;F88</f>
        <v>E5</v>
      </c>
      <c r="B103" s="559"/>
      <c r="C103" s="560"/>
      <c r="D103" s="560"/>
      <c r="E103" s="560"/>
      <c r="F103" s="560"/>
      <c r="G103" s="560"/>
      <c r="H103" s="560"/>
      <c r="I103" s="560"/>
      <c r="J103" s="560"/>
      <c r="K103" s="560"/>
      <c r="L103" s="363"/>
      <c r="M103" s="755" t="str">
        <f ca="1">IF(OR(N101=0,N101&lt;N102),"NO CUMPLE","CUMPLE")</f>
        <v>CUMPLE</v>
      </c>
      <c r="N103" s="756"/>
      <c r="O103" s="569"/>
      <c r="Q103" s="492"/>
      <c r="R103" s="493"/>
      <c r="S103" s="363"/>
      <c r="T103" s="574"/>
      <c r="U103" s="80"/>
    </row>
    <row r="104" spans="1:31" ht="13.5" thickTop="1"/>
    <row r="106" spans="1:31">
      <c r="F106" s="757">
        <f>F88+1</f>
        <v>6</v>
      </c>
      <c r="G106" s="758" t="str">
        <f>VLOOKUP(F106,PROPO,2,FALSE)</f>
        <v>CONSORCIO JC SANTANDER</v>
      </c>
      <c r="H106" s="758"/>
      <c r="I106" s="758"/>
      <c r="J106" s="758"/>
      <c r="K106" s="52"/>
      <c r="O106" s="52"/>
      <c r="Q106" s="52"/>
      <c r="R106" s="52"/>
    </row>
    <row r="107" spans="1:31">
      <c r="B107" s="328"/>
      <c r="C107" s="328"/>
      <c r="D107" s="328"/>
      <c r="E107" s="328"/>
      <c r="F107" s="757"/>
      <c r="G107" s="758"/>
      <c r="H107" s="758"/>
      <c r="I107" s="758"/>
      <c r="J107" s="758"/>
      <c r="K107" s="52"/>
      <c r="N107" s="567"/>
      <c r="O107" s="52"/>
      <c r="Q107" s="52"/>
      <c r="R107" s="52"/>
    </row>
    <row r="108" spans="1:31" ht="13.5" thickBot="1">
      <c r="B108" s="329"/>
      <c r="C108" s="329"/>
      <c r="D108" s="56"/>
      <c r="E108" s="56"/>
      <c r="F108" s="56"/>
      <c r="G108" s="56"/>
      <c r="H108" s="56"/>
      <c r="I108" s="56"/>
      <c r="J108" s="56"/>
      <c r="K108" s="330"/>
      <c r="L108" s="331"/>
      <c r="M108" s="331"/>
      <c r="N108" s="330"/>
      <c r="O108" s="330"/>
      <c r="Q108" s="330"/>
      <c r="R108" s="330"/>
    </row>
    <row r="109" spans="1:31" ht="50.1" customHeight="1" thickTop="1" thickBot="1">
      <c r="B109" s="332" t="s">
        <v>16</v>
      </c>
      <c r="C109" s="744" t="s">
        <v>121</v>
      </c>
      <c r="D109" s="333" t="s">
        <v>17</v>
      </c>
      <c r="E109" s="746" t="s">
        <v>18</v>
      </c>
      <c r="F109" s="747"/>
      <c r="G109" s="748" t="s">
        <v>117</v>
      </c>
      <c r="H109" s="749"/>
      <c r="I109" s="744" t="s">
        <v>39</v>
      </c>
      <c r="J109" s="744" t="s">
        <v>0</v>
      </c>
      <c r="K109" s="665" t="s">
        <v>19</v>
      </c>
      <c r="L109" s="750" t="s">
        <v>20</v>
      </c>
      <c r="M109" s="751"/>
      <c r="N109" s="68" t="s">
        <v>52</v>
      </c>
      <c r="O109" s="501" t="s">
        <v>151</v>
      </c>
      <c r="Q109" s="665" t="s">
        <v>127</v>
      </c>
      <c r="R109" s="665" t="s">
        <v>138</v>
      </c>
      <c r="S109" s="665" t="s">
        <v>163</v>
      </c>
      <c r="T109" s="565">
        <f>IF(VLOOKUP(F106,PROPONENTES!$C$19:$E$54,3,0)="","",VLOOKUP(F106,PROPONENTES!$C$19:$E$54,3,0))</f>
        <v>3</v>
      </c>
      <c r="U109" s="582"/>
      <c r="W109" s="737" t="s">
        <v>167</v>
      </c>
      <c r="X109" s="738"/>
      <c r="Y109" s="738"/>
      <c r="Z109" s="738"/>
      <c r="AA109" s="738"/>
      <c r="AB109" s="738"/>
      <c r="AC109" s="738"/>
      <c r="AD109" s="738"/>
      <c r="AE109" s="739"/>
    </row>
    <row r="110" spans="1:31" ht="50.1" customHeight="1" thickTop="1" thickBot="1">
      <c r="B110" s="334" t="s">
        <v>21</v>
      </c>
      <c r="C110" s="745"/>
      <c r="D110" s="335" t="s">
        <v>22</v>
      </c>
      <c r="E110" s="366" t="s">
        <v>23</v>
      </c>
      <c r="F110" s="336" t="s">
        <v>24</v>
      </c>
      <c r="G110" s="337" t="s">
        <v>118</v>
      </c>
      <c r="H110" s="338" t="s">
        <v>119</v>
      </c>
      <c r="I110" s="745"/>
      <c r="J110" s="745"/>
      <c r="K110" s="663" t="s">
        <v>120</v>
      </c>
      <c r="L110" s="339" t="s">
        <v>150</v>
      </c>
      <c r="M110" s="340" t="s">
        <v>14</v>
      </c>
      <c r="N110" s="341" t="s">
        <v>14</v>
      </c>
      <c r="O110" s="502" t="s">
        <v>152</v>
      </c>
      <c r="Q110" s="663" t="s">
        <v>128</v>
      </c>
      <c r="R110" s="663" t="s">
        <v>139</v>
      </c>
      <c r="S110" s="663" t="s">
        <v>164</v>
      </c>
      <c r="T110" s="575" t="s">
        <v>83</v>
      </c>
      <c r="U110" s="583"/>
      <c r="W110" s="740" t="s">
        <v>166</v>
      </c>
      <c r="X110" s="743"/>
      <c r="Y110" s="663" t="s">
        <v>168</v>
      </c>
      <c r="Z110" s="663" t="s">
        <v>169</v>
      </c>
      <c r="AA110" s="663" t="s">
        <v>170</v>
      </c>
      <c r="AB110" s="740" t="s">
        <v>524</v>
      </c>
      <c r="AC110" s="741"/>
      <c r="AD110" s="742" t="s">
        <v>522</v>
      </c>
      <c r="AE110" s="741"/>
    </row>
    <row r="111" spans="1:31" ht="14.25" hidden="1" customHeight="1">
      <c r="B111" s="342">
        <v>0</v>
      </c>
      <c r="C111" s="347"/>
      <c r="D111" s="343"/>
      <c r="E111" s="367"/>
      <c r="F111" s="344"/>
      <c r="G111" s="345"/>
      <c r="H111" s="346"/>
      <c r="I111" s="347"/>
      <c r="J111" s="347"/>
      <c r="K111" s="347"/>
      <c r="L111" s="348"/>
      <c r="M111" s="349"/>
      <c r="N111" s="350"/>
      <c r="O111" s="347"/>
      <c r="Q111" s="347"/>
      <c r="R111" s="347"/>
      <c r="S111" s="347"/>
      <c r="T111" s="563"/>
      <c r="U111" s="584"/>
      <c r="W111" s="502" t="s">
        <v>166</v>
      </c>
      <c r="X111" s="502"/>
      <c r="Y111" s="502" t="s">
        <v>168</v>
      </c>
      <c r="Z111" s="502" t="s">
        <v>169</v>
      </c>
      <c r="AA111" s="502" t="s">
        <v>174</v>
      </c>
      <c r="AB111" s="661" t="s">
        <v>524</v>
      </c>
      <c r="AC111" s="661" t="s">
        <v>170</v>
      </c>
      <c r="AD111" s="661" t="s">
        <v>170</v>
      </c>
      <c r="AE111" s="661" t="s">
        <v>170</v>
      </c>
    </row>
    <row r="112" spans="1:31" s="353" customFormat="1" ht="22.5" customHeight="1" thickTop="1">
      <c r="A112" s="351"/>
      <c r="B112" s="342">
        <f>IF(D112="","",B111+1)</f>
        <v>1</v>
      </c>
      <c r="C112" s="609">
        <v>8</v>
      </c>
      <c r="D112" s="610" t="s">
        <v>248</v>
      </c>
      <c r="E112" s="611" t="s">
        <v>249</v>
      </c>
      <c r="F112" s="612" t="s">
        <v>250</v>
      </c>
      <c r="G112" s="613" t="s">
        <v>226</v>
      </c>
      <c r="H112" s="614">
        <v>1</v>
      </c>
      <c r="I112" s="615" t="s">
        <v>173</v>
      </c>
      <c r="J112" s="616" t="s">
        <v>253</v>
      </c>
      <c r="K112" s="617">
        <v>38095</v>
      </c>
      <c r="L112" s="618">
        <v>370.14</v>
      </c>
      <c r="M112" s="494">
        <f>IF(OR(K112="",L112=""),"",IF(I112="SI",H112*L112,""))</f>
        <v>370.14</v>
      </c>
      <c r="N112" s="503">
        <f>IF(OR(I112="",M112=""),"",IF(I112="NO",0,IF(I112="SI",ROUND(M112,3),0)))</f>
        <v>370.14</v>
      </c>
      <c r="O112" s="636"/>
      <c r="Q112" s="352" t="str">
        <f t="shared" ref="Q112:Q117" si="40">IF(K112="","",IF(AND(YEAR(K112)&gt;=YEAR($M$15), I112="SI",K112&lt;=$N$15),"CUMPLE","NO CUMPLE"))</f>
        <v>NO CUMPLE</v>
      </c>
      <c r="R112" s="636" t="s">
        <v>140</v>
      </c>
      <c r="S112" s="352" t="str">
        <f>IF(T112="","",IF(T112&gt;=20%,"CUMPLE","NO CUMPLE"))</f>
        <v>CUMPLE</v>
      </c>
      <c r="T112" s="656">
        <f>IF(R112="","",VLOOKUP(J112,INTEGRAN,2,FALSE))</f>
        <v>0.6</v>
      </c>
      <c r="U112" s="585"/>
      <c r="W112" s="594">
        <v>1</v>
      </c>
      <c r="X112" s="595" t="str">
        <f>IF(AND(W112&lt;=$T109,$T109&gt;1,$T109&lt;&gt;""),VLOOKUP(VALUE($F106&amp;","&amp;W112),INTEGRANTES!$D$19:$G$106,2,0),"")</f>
        <v>CLARA ELENA MORENO ESPAÑA</v>
      </c>
      <c r="Y112" s="596">
        <f>IF(X112&lt;&gt;"",VLOOKUP(VALUE($F106&amp;","&amp;$W112),INTEGRANTES!$D$19:$G$106,3,0),"")</f>
        <v>0.6</v>
      </c>
      <c r="Z112" s="597">
        <f>IF(X112="","",SUMIF($J112:$J117,$X112,$N112:$N117))</f>
        <v>370.14</v>
      </c>
      <c r="AA112" s="604" t="str">
        <f>IF($Y112="","",IF(AND($Y112&gt;=20%,$Z112&gt;=$Z118),"CUMPLE","NO CUMPLE"))</f>
        <v>CUMPLE</v>
      </c>
      <c r="AB112" s="679" t="s">
        <v>525</v>
      </c>
      <c r="AC112" s="592" t="str">
        <f t="shared" ref="AC112:AC117" si="41">IF(X112="","",IF(AND(Y112&gt;=40%,AB112="SI"),"CUMPLE","NO CUMPLE"))</f>
        <v>CUMPLE</v>
      </c>
      <c r="AD112" s="679" t="s">
        <v>525</v>
      </c>
      <c r="AE112" s="593" t="str">
        <f t="shared" ref="AE112:AE117" si="42">IF(X112="","",IF(AD112="SI","CUMPLE","NO CUMPLE"))</f>
        <v>CUMPLE</v>
      </c>
    </row>
    <row r="113" spans="1:31" s="353" customFormat="1" ht="22.5" customHeight="1">
      <c r="A113" s="351"/>
      <c r="B113" s="342">
        <f>IF(D113="","",B112+1)</f>
        <v>2</v>
      </c>
      <c r="C113" s="619">
        <v>59</v>
      </c>
      <c r="D113" s="620" t="s">
        <v>248</v>
      </c>
      <c r="E113" s="621" t="s">
        <v>251</v>
      </c>
      <c r="F113" s="622" t="s">
        <v>252</v>
      </c>
      <c r="G113" s="623" t="s">
        <v>172</v>
      </c>
      <c r="H113" s="624">
        <v>0.5</v>
      </c>
      <c r="I113" s="625" t="s">
        <v>173</v>
      </c>
      <c r="J113" s="629" t="s">
        <v>254</v>
      </c>
      <c r="K113" s="627">
        <v>42319</v>
      </c>
      <c r="L113" s="618">
        <v>99.47</v>
      </c>
      <c r="M113" s="556">
        <f>IF(OR(K113="",L113=""),"",IF(I113="SI",H113*L113,""))</f>
        <v>49.734999999999999</v>
      </c>
      <c r="N113" s="504">
        <f>IF(OR(I113="",M113=""),"",IF(I113="SI",ROUND(M113,3),0))</f>
        <v>49.734999999999999</v>
      </c>
      <c r="O113" s="636"/>
      <c r="Q113" s="352" t="str">
        <f t="shared" si="40"/>
        <v>CUMPLE</v>
      </c>
      <c r="R113" s="636" t="s">
        <v>140</v>
      </c>
      <c r="S113" s="352" t="str">
        <f t="shared" ref="S113:S117" si="43">IF(T113="","",IF(T113&gt;=20%,"CUMPLE","NO CUMPLE"))</f>
        <v>CUMPLE</v>
      </c>
      <c r="T113" s="656">
        <f t="shared" ref="T113:T117" si="44">IF(R113="","",VLOOKUP(J113,INTEGRAN,2,FALSE))</f>
        <v>0.2</v>
      </c>
      <c r="U113" s="586"/>
      <c r="W113" s="594">
        <v>2</v>
      </c>
      <c r="X113" s="595" t="str">
        <f>IF(AND(W113&lt;=$T109,$T109&gt;1,$T109&lt;&gt;""),VLOOKUP(VALUE($F106&amp;","&amp;W113),INTEGRANTES!$D$19:$G$106,2,0),"")</f>
        <v>JAIME HERNANDO MORENO ESPAÑA</v>
      </c>
      <c r="Y113" s="596">
        <f>IF(X113&lt;&gt;"",VLOOKUP(VALUE($F106&amp;","&amp;$W113),INTEGRANTES!$D$19:$G$106,3,0),"")</f>
        <v>0.2</v>
      </c>
      <c r="Z113" s="597">
        <f>IF(X113="","",SUMIF($J112:$J117,$X113,$N112:$N117))</f>
        <v>49.734999999999999</v>
      </c>
      <c r="AA113" s="604" t="str">
        <f>IF($Y113="","",IF(AND($Y113&gt;=20%,$Z113&gt;=$Z118),"CUMPLE","NO CUMPLE"))</f>
        <v>NO CUMPLE</v>
      </c>
      <c r="AB113" s="680"/>
      <c r="AC113" s="593" t="str">
        <f t="shared" si="41"/>
        <v>NO CUMPLE</v>
      </c>
      <c r="AD113" s="680"/>
      <c r="AE113" s="593" t="str">
        <f t="shared" si="42"/>
        <v>NO CUMPLE</v>
      </c>
    </row>
    <row r="114" spans="1:31" s="353" customFormat="1" ht="22.5" customHeight="1">
      <c r="A114" s="351"/>
      <c r="B114" s="342" t="str">
        <f t="shared" ref="B114:B117" si="45">IF(D114="","",B113+1)</f>
        <v/>
      </c>
      <c r="C114" s="619"/>
      <c r="D114" s="620"/>
      <c r="E114" s="628"/>
      <c r="F114" s="622"/>
      <c r="G114" s="623"/>
      <c r="H114" s="624"/>
      <c r="I114" s="625"/>
      <c r="J114" s="629"/>
      <c r="K114" s="627"/>
      <c r="L114" s="618"/>
      <c r="M114" s="556" t="str">
        <f t="shared" ref="M114:M117" si="46">IF(OR(K114="",L114=""),"",IF(I114="SI",H114*L114,""))</f>
        <v/>
      </c>
      <c r="N114" s="504" t="str">
        <f>IF(OR(I114="",M114=""),"",IF(I114="SI",ROUND(M114,3),0))</f>
        <v/>
      </c>
      <c r="O114" s="636"/>
      <c r="Q114" s="352" t="str">
        <f t="shared" si="40"/>
        <v/>
      </c>
      <c r="R114" s="636"/>
      <c r="S114" s="352" t="str">
        <f t="shared" si="43"/>
        <v/>
      </c>
      <c r="T114" s="656" t="str">
        <f t="shared" si="44"/>
        <v/>
      </c>
      <c r="U114" s="586"/>
      <c r="W114" s="594">
        <v>3</v>
      </c>
      <c r="X114" s="595" t="str">
        <f>IF(AND(W114&lt;=$T109,$T109&gt;1,$T109&lt;&gt;""),VLOOKUP(VALUE($F106&amp;","&amp;W114),INTEGRANTES!$D$19:$G$106,2,0),"")</f>
        <v>JAHIR HERIBERTO PAZ BURBANO</v>
      </c>
      <c r="Y114" s="596">
        <f>IF(X114&lt;&gt;"",VLOOKUP(VALUE($F106&amp;","&amp;$W114),INTEGRANTES!$D$19:$G$106,3,0),"")</f>
        <v>0.2</v>
      </c>
      <c r="Z114" s="597">
        <f>IF(X114="","",SUMIF($J112:$J117,$X114,$N112:$N117))</f>
        <v>0</v>
      </c>
      <c r="AA114" s="604" t="str">
        <f>IF($Y114="","",IF(AND($Y114&gt;=20%,$Z114&gt;=$Z118),"CUMPLE","NO CUMPLE"))</f>
        <v>NO CUMPLE</v>
      </c>
      <c r="AB114" s="680"/>
      <c r="AC114" s="593" t="str">
        <f t="shared" si="41"/>
        <v>NO CUMPLE</v>
      </c>
      <c r="AD114" s="680"/>
      <c r="AE114" s="593" t="str">
        <f t="shared" si="42"/>
        <v>NO CUMPLE</v>
      </c>
    </row>
    <row r="115" spans="1:31" s="353" customFormat="1" ht="22.5" customHeight="1">
      <c r="A115" s="351"/>
      <c r="B115" s="342" t="str">
        <f t="shared" si="45"/>
        <v/>
      </c>
      <c r="C115" s="619"/>
      <c r="D115" s="620"/>
      <c r="E115" s="628"/>
      <c r="F115" s="622"/>
      <c r="G115" s="623"/>
      <c r="H115" s="624"/>
      <c r="I115" s="625"/>
      <c r="J115" s="629"/>
      <c r="K115" s="627"/>
      <c r="L115" s="618"/>
      <c r="M115" s="555" t="str">
        <f t="shared" si="46"/>
        <v/>
      </c>
      <c r="N115" s="504" t="str">
        <f>IF(OR(I115="",M115=""),"",IF(I115="SI",ROUND(M115,3),0))</f>
        <v/>
      </c>
      <c r="O115" s="636"/>
      <c r="Q115" s="352" t="str">
        <f t="shared" si="40"/>
        <v/>
      </c>
      <c r="R115" s="636"/>
      <c r="S115" s="352" t="str">
        <f t="shared" si="43"/>
        <v/>
      </c>
      <c r="T115" s="656" t="str">
        <f t="shared" si="44"/>
        <v/>
      </c>
      <c r="U115" s="586"/>
      <c r="W115" s="594">
        <v>4</v>
      </c>
      <c r="X115" s="595" t="str">
        <f>IF(AND(W115&lt;=$T109,$T109&gt;1,$T109&lt;&gt;""),VLOOKUP(VALUE($F106&amp;","&amp;W115),INTEGRANTES!$D$19:$G$106,2,0),"")</f>
        <v/>
      </c>
      <c r="Y115" s="596" t="str">
        <f>IF(X115&lt;&gt;"",VLOOKUP(VALUE($F106&amp;","&amp;$W115),INTEGRANTES!$D$19:$G$106,3,0),"")</f>
        <v/>
      </c>
      <c r="Z115" s="597" t="str">
        <f>IF(X115="","",SUMIF($J112:$J117,$X115,$N112:$N117))</f>
        <v/>
      </c>
      <c r="AA115" s="604" t="str">
        <f>IF($Y115="","",IF(AND($Y115&gt;=20%,$Z115&gt;=$Z118),"CUMPLE","NO CUMPLE"))</f>
        <v/>
      </c>
      <c r="AB115" s="680"/>
      <c r="AC115" s="593" t="str">
        <f t="shared" si="41"/>
        <v/>
      </c>
      <c r="AD115" s="680"/>
      <c r="AE115" s="593" t="str">
        <f t="shared" si="42"/>
        <v/>
      </c>
    </row>
    <row r="116" spans="1:31" s="353" customFormat="1" ht="22.5" customHeight="1">
      <c r="A116" s="351"/>
      <c r="B116" s="342" t="str">
        <f t="shared" si="45"/>
        <v/>
      </c>
      <c r="C116" s="619"/>
      <c r="D116" s="620"/>
      <c r="E116" s="628"/>
      <c r="F116" s="622"/>
      <c r="G116" s="623"/>
      <c r="H116" s="624"/>
      <c r="I116" s="625"/>
      <c r="J116" s="629"/>
      <c r="K116" s="627"/>
      <c r="L116" s="618"/>
      <c r="M116" s="556" t="str">
        <f t="shared" si="46"/>
        <v/>
      </c>
      <c r="N116" s="504" t="str">
        <f>IF(OR(I116="",M116=""),"",IF(I116="SI",ROUND(M116,3),0))</f>
        <v/>
      </c>
      <c r="O116" s="636"/>
      <c r="Q116" s="352" t="str">
        <f t="shared" si="40"/>
        <v/>
      </c>
      <c r="R116" s="636"/>
      <c r="S116" s="352" t="str">
        <f t="shared" si="43"/>
        <v/>
      </c>
      <c r="T116" s="656" t="str">
        <f t="shared" si="44"/>
        <v/>
      </c>
      <c r="U116" s="586"/>
      <c r="W116" s="594">
        <v>5</v>
      </c>
      <c r="X116" s="595" t="str">
        <f>IF(AND(W116&lt;=$T109,$T109&gt;1,$T109&lt;&gt;""),VLOOKUP(VALUE($F106&amp;","&amp;W116),INTEGRANTES!$D$19:$G$106,2,0),"")</f>
        <v/>
      </c>
      <c r="Y116" s="596" t="str">
        <f>IF(X116&lt;&gt;"",VLOOKUP(VALUE($F106&amp;","&amp;$W116),INTEGRANTES!$D$19:$G$106,3,0),"")</f>
        <v/>
      </c>
      <c r="Z116" s="597" t="str">
        <f>IF(X116="","",SUMIF($J112:$J117,$X116,$N112:$N117))</f>
        <v/>
      </c>
      <c r="AA116" s="604" t="str">
        <f>IF($Y116="","",IF(AND($Y116&gt;=20%,$Z116&gt;=$Z118),"CUMPLE","NO CUMPLE"))</f>
        <v/>
      </c>
      <c r="AB116" s="680"/>
      <c r="AC116" s="593" t="str">
        <f t="shared" si="41"/>
        <v/>
      </c>
      <c r="AD116" s="680"/>
      <c r="AE116" s="593" t="str">
        <f t="shared" si="42"/>
        <v/>
      </c>
    </row>
    <row r="117" spans="1:31" s="353" customFormat="1" ht="22.5" customHeight="1">
      <c r="A117" s="351"/>
      <c r="B117" s="342" t="str">
        <f t="shared" si="45"/>
        <v/>
      </c>
      <c r="C117" s="619"/>
      <c r="D117" s="620"/>
      <c r="E117" s="628"/>
      <c r="F117" s="622"/>
      <c r="G117" s="623"/>
      <c r="H117" s="624"/>
      <c r="I117" s="625"/>
      <c r="J117" s="629"/>
      <c r="K117" s="627"/>
      <c r="L117" s="618"/>
      <c r="M117" s="555" t="str">
        <f t="shared" si="46"/>
        <v/>
      </c>
      <c r="N117" s="504" t="str">
        <f>IF(OR(I117="",M117=""),"",IF(I117="SI",ROUND(M117,3),0))</f>
        <v/>
      </c>
      <c r="O117" s="636"/>
      <c r="Q117" s="352" t="str">
        <f t="shared" si="40"/>
        <v/>
      </c>
      <c r="R117" s="636"/>
      <c r="S117" s="352" t="str">
        <f t="shared" si="43"/>
        <v/>
      </c>
      <c r="T117" s="656" t="str">
        <f t="shared" si="44"/>
        <v/>
      </c>
      <c r="U117" s="586"/>
      <c r="W117" s="599">
        <v>6</v>
      </c>
      <c r="X117" s="595" t="str">
        <f>IF(AND(W117&lt;=$T109,$T109&gt;1,$T109&lt;&gt;""),VLOOKUP(VALUE($F106&amp;","&amp;W117),INTEGRANTES!$D$19:$G$106,2,0),"")</f>
        <v/>
      </c>
      <c r="Y117" s="606" t="str">
        <f>IF(X117&lt;&gt;"",VLOOKUP(VALUE($F106&amp;","&amp;$W117),INTEGRANTES!$D$19:$G$106,3,0),"")</f>
        <v/>
      </c>
      <c r="Z117" s="607" t="str">
        <f>IF(X117="","",SUMIF($J112:$J117,$X117,$N112:$N117))</f>
        <v/>
      </c>
      <c r="AA117" s="608" t="str">
        <f>IF($Y117="","",IF(AND($Y117&gt;=20%,$Z117&gt;=$Z118),"CUMPLE","NO CUMPLE"))</f>
        <v/>
      </c>
      <c r="AB117" s="680"/>
      <c r="AC117" s="593" t="str">
        <f t="shared" si="41"/>
        <v/>
      </c>
      <c r="AD117" s="680"/>
      <c r="AE117" s="593" t="str">
        <f t="shared" si="42"/>
        <v/>
      </c>
    </row>
    <row r="118" spans="1:31" ht="5.0999999999999996" customHeight="1" thickBot="1">
      <c r="B118" s="354"/>
      <c r="C118" s="359"/>
      <c r="D118" s="355"/>
      <c r="E118" s="368"/>
      <c r="F118" s="355"/>
      <c r="G118" s="355"/>
      <c r="H118" s="355"/>
      <c r="I118" s="356"/>
      <c r="J118" s="357"/>
      <c r="K118" s="358"/>
      <c r="L118" s="355"/>
      <c r="M118" s="356"/>
      <c r="N118" s="360"/>
      <c r="O118" s="352" t="str">
        <f>IF(L118="","",IF(AND(L118&gt;=YEAR($M$15), J118="SI",L118&lt;=S112),"CUMPLE","NO CUMPLE"))</f>
        <v/>
      </c>
      <c r="Q118" s="352" t="str">
        <f>IF(N118="","",IF(AND(N118&gt;=YEAR($M$15), L118="SI",N118&lt;=V112),"CUMPLE","NO CUMPLE"))</f>
        <v/>
      </c>
      <c r="R118" s="352" t="str">
        <f>IF(P118="","",IF(AND(P118&gt;=YEAR($M$15), M118="SI",P118&lt;=W112),"CUMPLE","NO CUMPLE"))</f>
        <v/>
      </c>
      <c r="S118" s="352" t="str">
        <f>IF(P118="","",IF(AND(P118&gt;=YEAR($M$15), N118="SI",P118&lt;=X112),"CUMPLE","NO CUMPLE"))</f>
        <v/>
      </c>
      <c r="T118" s="564"/>
      <c r="U118" s="586"/>
      <c r="W118" s="600"/>
      <c r="X118" s="600"/>
      <c r="Y118" s="600"/>
      <c r="Z118" s="605">
        <f>MAX(Z112:Z117)</f>
        <v>370.14</v>
      </c>
      <c r="AA118" s="600"/>
      <c r="AB118" s="602"/>
      <c r="AC118" s="602"/>
      <c r="AD118" s="602"/>
      <c r="AE118" s="602"/>
    </row>
    <row r="119" spans="1:31" s="52" customFormat="1" ht="17.100000000000001" customHeight="1" thickTop="1" thickBot="1">
      <c r="A119" s="361">
        <f>F106</f>
        <v>6</v>
      </c>
      <c r="B119" s="364"/>
      <c r="C119" s="379"/>
      <c r="D119" s="664"/>
      <c r="E119" s="752"/>
      <c r="F119" s="752"/>
      <c r="G119" s="752"/>
      <c r="H119" s="752"/>
      <c r="I119" s="752"/>
      <c r="J119" s="752"/>
      <c r="K119" s="752"/>
      <c r="L119" s="753"/>
      <c r="M119" s="754"/>
      <c r="N119" s="365">
        <f>SUM(N112:N118)</f>
        <v>419.875</v>
      </c>
      <c r="O119" s="373"/>
      <c r="Q119" s="373" t="str">
        <f>IF(COUNTIF(Q112:Q115,"CUMPLE")&gt;0,"CUMPLE","NO CUMPLE")</f>
        <v>CUMPLE</v>
      </c>
      <c r="R119" s="374" t="str">
        <f>IF(COUNTIF(R112:R115,"COLOMBIA")&gt;0,"CUMPLE","NO CUMPLE")</f>
        <v>CUMPLE</v>
      </c>
      <c r="S119" s="373" t="str">
        <f>IF(COUNTIF(S112:S115,"CUMPLE")&gt;0,"CUMPLE","NO CUMPLE")</f>
        <v>CUMPLE</v>
      </c>
      <c r="T119" s="566"/>
      <c r="U119" s="587"/>
      <c r="AA119" s="589" t="str">
        <f>IF(COUNTIF(AA112:AA117,"CUMPLE")&gt;0,"CUMPLE","NO CUMPLE")</f>
        <v>CUMPLE</v>
      </c>
      <c r="AB119" s="735" t="str">
        <f>IF(COUNTIF(AC112:AC117,"CUMPLE")&gt;0,"CUMPLE","NO CUMPLE")</f>
        <v>CUMPLE</v>
      </c>
      <c r="AC119" s="736"/>
      <c r="AD119" s="735" t="str">
        <f>IF(COUNTIF(AE112:AE117,"CUMPLE")&gt;0,"CUMPLE","NO CUMPLE")</f>
        <v>CUMPLE</v>
      </c>
      <c r="AE119" s="736"/>
    </row>
    <row r="120" spans="1:31" ht="16.5" thickTop="1">
      <c r="B120" s="557"/>
      <c r="C120" s="558"/>
      <c r="D120" s="558"/>
      <c r="E120" s="558"/>
      <c r="F120" s="558"/>
      <c r="G120" s="558"/>
      <c r="H120" s="558"/>
      <c r="I120" s="558"/>
      <c r="J120" s="558"/>
      <c r="K120" s="558"/>
      <c r="L120" s="80"/>
      <c r="M120" s="362" t="s">
        <v>516</v>
      </c>
      <c r="N120" s="369">
        <f ca="1">VFrequerido!Y20</f>
        <v>254.25</v>
      </c>
      <c r="O120" s="568"/>
      <c r="Q120" s="570"/>
      <c r="R120" s="571"/>
      <c r="S120" s="572"/>
      <c r="T120" s="573"/>
      <c r="U120" s="80"/>
    </row>
    <row r="121" spans="1:31" ht="15.75" thickBot="1">
      <c r="A121" s="490" t="str">
        <f>"E"&amp;F106</f>
        <v>E6</v>
      </c>
      <c r="B121" s="559"/>
      <c r="C121" s="560"/>
      <c r="D121" s="560"/>
      <c r="E121" s="560"/>
      <c r="F121" s="560"/>
      <c r="G121" s="560"/>
      <c r="H121" s="560"/>
      <c r="I121" s="560"/>
      <c r="J121" s="560"/>
      <c r="K121" s="560"/>
      <c r="L121" s="363"/>
      <c r="M121" s="755" t="str">
        <f ca="1">IF(OR(N119=0,N119&lt;N120),"NO CUMPLE","CUMPLE")</f>
        <v>CUMPLE</v>
      </c>
      <c r="N121" s="756"/>
      <c r="O121" s="569"/>
      <c r="Q121" s="492"/>
      <c r="R121" s="493"/>
      <c r="S121" s="363"/>
      <c r="T121" s="574"/>
      <c r="U121" s="80"/>
    </row>
    <row r="122" spans="1:31" ht="13.5" thickTop="1"/>
    <row r="124" spans="1:31">
      <c r="F124" s="757">
        <f>F106+1</f>
        <v>7</v>
      </c>
      <c r="G124" s="758" t="str">
        <f>VLOOKUP(F124,PROPO,2,FALSE)</f>
        <v>ESTUDIOS TECNICOS Y ASESORIAS S.A</v>
      </c>
      <c r="H124" s="758"/>
      <c r="I124" s="758"/>
      <c r="J124" s="758"/>
      <c r="K124" s="52"/>
      <c r="O124" s="52"/>
      <c r="Q124" s="52"/>
      <c r="R124" s="52"/>
    </row>
    <row r="125" spans="1:31">
      <c r="B125" s="328"/>
      <c r="C125" s="328"/>
      <c r="D125" s="328"/>
      <c r="E125" s="328"/>
      <c r="F125" s="757"/>
      <c r="G125" s="758"/>
      <c r="H125" s="758"/>
      <c r="I125" s="758"/>
      <c r="J125" s="758"/>
      <c r="K125" s="52"/>
      <c r="N125" s="567"/>
      <c r="O125" s="52"/>
      <c r="Q125" s="52"/>
      <c r="R125" s="52"/>
    </row>
    <row r="126" spans="1:31" ht="13.5" thickBot="1">
      <c r="B126" s="329"/>
      <c r="C126" s="329"/>
      <c r="D126" s="56"/>
      <c r="E126" s="56"/>
      <c r="F126" s="56"/>
      <c r="G126" s="56"/>
      <c r="H126" s="56"/>
      <c r="I126" s="56"/>
      <c r="J126" s="56"/>
      <c r="K126" s="330"/>
      <c r="L126" s="331"/>
      <c r="M126" s="331"/>
      <c r="N126" s="330"/>
      <c r="O126" s="330"/>
      <c r="Q126" s="330"/>
      <c r="R126" s="330"/>
    </row>
    <row r="127" spans="1:31" ht="50.1" customHeight="1" thickTop="1" thickBot="1">
      <c r="B127" s="332" t="s">
        <v>16</v>
      </c>
      <c r="C127" s="744" t="s">
        <v>121</v>
      </c>
      <c r="D127" s="333" t="s">
        <v>17</v>
      </c>
      <c r="E127" s="746" t="s">
        <v>18</v>
      </c>
      <c r="F127" s="747"/>
      <c r="G127" s="748" t="s">
        <v>117</v>
      </c>
      <c r="H127" s="749"/>
      <c r="I127" s="744" t="s">
        <v>39</v>
      </c>
      <c r="J127" s="744" t="s">
        <v>0</v>
      </c>
      <c r="K127" s="665" t="s">
        <v>19</v>
      </c>
      <c r="L127" s="750" t="s">
        <v>20</v>
      </c>
      <c r="M127" s="751"/>
      <c r="N127" s="68" t="s">
        <v>52</v>
      </c>
      <c r="O127" s="501" t="s">
        <v>151</v>
      </c>
      <c r="Q127" s="665" t="s">
        <v>127</v>
      </c>
      <c r="R127" s="665" t="s">
        <v>138</v>
      </c>
      <c r="S127" s="665" t="s">
        <v>163</v>
      </c>
      <c r="T127" s="565">
        <f>IF(VLOOKUP(F124,PROPONENTES!$C$19:$E$54,3,0)="","",VLOOKUP(F124,PROPONENTES!$C$19:$E$54,3,0))</f>
        <v>1</v>
      </c>
      <c r="U127" s="582"/>
      <c r="W127" s="737" t="s">
        <v>167</v>
      </c>
      <c r="X127" s="738"/>
      <c r="Y127" s="738"/>
      <c r="Z127" s="738"/>
      <c r="AA127" s="738"/>
      <c r="AB127" s="738"/>
      <c r="AC127" s="738"/>
      <c r="AD127" s="738"/>
      <c r="AE127" s="739"/>
    </row>
    <row r="128" spans="1:31" ht="50.1" customHeight="1" thickTop="1" thickBot="1">
      <c r="B128" s="334" t="s">
        <v>21</v>
      </c>
      <c r="C128" s="745"/>
      <c r="D128" s="335" t="s">
        <v>22</v>
      </c>
      <c r="E128" s="366" t="s">
        <v>23</v>
      </c>
      <c r="F128" s="336" t="s">
        <v>24</v>
      </c>
      <c r="G128" s="337" t="s">
        <v>118</v>
      </c>
      <c r="H128" s="338" t="s">
        <v>119</v>
      </c>
      <c r="I128" s="745"/>
      <c r="J128" s="745"/>
      <c r="K128" s="663" t="s">
        <v>120</v>
      </c>
      <c r="L128" s="339" t="s">
        <v>150</v>
      </c>
      <c r="M128" s="340" t="s">
        <v>14</v>
      </c>
      <c r="N128" s="341" t="s">
        <v>14</v>
      </c>
      <c r="O128" s="502" t="s">
        <v>152</v>
      </c>
      <c r="Q128" s="663" t="s">
        <v>128</v>
      </c>
      <c r="R128" s="663" t="s">
        <v>139</v>
      </c>
      <c r="S128" s="663" t="s">
        <v>164</v>
      </c>
      <c r="T128" s="575" t="s">
        <v>83</v>
      </c>
      <c r="U128" s="583"/>
      <c r="W128" s="740" t="s">
        <v>166</v>
      </c>
      <c r="X128" s="743"/>
      <c r="Y128" s="663" t="s">
        <v>168</v>
      </c>
      <c r="Z128" s="663" t="s">
        <v>169</v>
      </c>
      <c r="AA128" s="663" t="s">
        <v>174</v>
      </c>
      <c r="AB128" s="740" t="s">
        <v>524</v>
      </c>
      <c r="AC128" s="741"/>
      <c r="AD128" s="742" t="s">
        <v>522</v>
      </c>
      <c r="AE128" s="741"/>
    </row>
    <row r="129" spans="1:31" ht="14.25" hidden="1" customHeight="1">
      <c r="B129" s="342">
        <v>0</v>
      </c>
      <c r="C129" s="347"/>
      <c r="D129" s="343"/>
      <c r="E129" s="367"/>
      <c r="F129" s="344"/>
      <c r="G129" s="345"/>
      <c r="H129" s="346"/>
      <c r="I129" s="347"/>
      <c r="J129" s="347"/>
      <c r="K129" s="347"/>
      <c r="L129" s="348"/>
      <c r="M129" s="349"/>
      <c r="N129" s="350"/>
      <c r="O129" s="347"/>
      <c r="Q129" s="347"/>
      <c r="R129" s="347"/>
      <c r="S129" s="347"/>
      <c r="T129" s="563"/>
      <c r="U129" s="584"/>
      <c r="W129" s="502" t="s">
        <v>166</v>
      </c>
      <c r="X129" s="502"/>
      <c r="Y129" s="502" t="s">
        <v>168</v>
      </c>
      <c r="Z129" s="502" t="s">
        <v>169</v>
      </c>
      <c r="AA129" s="502" t="s">
        <v>170</v>
      </c>
      <c r="AB129" s="661" t="s">
        <v>170</v>
      </c>
      <c r="AC129" s="661" t="s">
        <v>170</v>
      </c>
      <c r="AD129" s="661" t="s">
        <v>170</v>
      </c>
      <c r="AE129" s="661" t="s">
        <v>170</v>
      </c>
    </row>
    <row r="130" spans="1:31" s="353" customFormat="1" ht="22.5" customHeight="1" thickTop="1">
      <c r="A130" s="351"/>
      <c r="B130" s="342">
        <f>IF(D130="","",B129+1)</f>
        <v>1</v>
      </c>
      <c r="C130" s="609">
        <v>117</v>
      </c>
      <c r="D130" s="610" t="s">
        <v>416</v>
      </c>
      <c r="E130" s="611" t="s">
        <v>418</v>
      </c>
      <c r="F130" s="612" t="s">
        <v>420</v>
      </c>
      <c r="G130" s="613" t="s">
        <v>226</v>
      </c>
      <c r="H130" s="614">
        <v>1</v>
      </c>
      <c r="I130" s="615" t="s">
        <v>173</v>
      </c>
      <c r="J130" s="616" t="s">
        <v>182</v>
      </c>
      <c r="K130" s="617">
        <v>37231</v>
      </c>
      <c r="L130" s="618">
        <v>73.22</v>
      </c>
      <c r="M130" s="494">
        <f>IF(OR(K130="",L130=""),"",IF(I130="SI",H130*L130,""))</f>
        <v>73.22</v>
      </c>
      <c r="N130" s="503">
        <f>IF(OR(I130="",M130=""),"",IF(I130="NO",0,IF(I130="SI",ROUND(M130,3),0)))</f>
        <v>73.22</v>
      </c>
      <c r="O130" s="636"/>
      <c r="Q130" s="352" t="str">
        <f t="shared" ref="Q130:Q135" si="47">IF(K130="","",IF(AND(YEAR(K130)&gt;=YEAR($M$15), I130="SI",K130&lt;=$N$15),"CUMPLE","NO CUMPLE"))</f>
        <v>NO CUMPLE</v>
      </c>
      <c r="R130" s="636" t="s">
        <v>140</v>
      </c>
      <c r="S130" s="352" t="str">
        <f>IF(T130="","",IF(T130&gt;=20%,"CUMPLE","NO CUMPLE"))</f>
        <v>CUMPLE</v>
      </c>
      <c r="T130" s="656">
        <f t="shared" ref="T130:T135" si="48">IF(R130="","",VLOOKUP(J130,INTEGRAN,2,FALSE))</f>
        <v>1</v>
      </c>
      <c r="U130" s="585"/>
      <c r="W130" s="594">
        <v>1</v>
      </c>
      <c r="X130" s="595" t="str">
        <f>IF(AND(W130&lt;=$T127,$T127&gt;1,$T127&lt;&gt;""),VLOOKUP(VALUE($F124&amp;","&amp;W130),INTEGRANTES!$D$19:$G$106,2,0),"")</f>
        <v/>
      </c>
      <c r="Y130" s="596" t="str">
        <f>IF(X130&lt;&gt;"",VLOOKUP(VALUE($F124&amp;","&amp;$W130),INTEGRANTES!$D$19:$G$106,3,0),"")</f>
        <v/>
      </c>
      <c r="Z130" s="597" t="str">
        <f>IF(X130="","",SUMIF($J130:$J135,$X130,$N130:$N135))</f>
        <v/>
      </c>
      <c r="AA130" s="604" t="str">
        <f>IF($Y130="","",IF(AND($Y130&gt;=20%,$Z130&gt;=$Z136),"CUMPLE","NO CUMPLE"))</f>
        <v/>
      </c>
      <c r="AB130" s="679" t="s">
        <v>525</v>
      </c>
      <c r="AC130" s="592" t="str">
        <f t="shared" ref="AC130:AC135" si="49">IF(X130="","",IF(AND(Y130&gt;=40%,AB130="SI"),"CUMPLE","NO CUMPLE"))</f>
        <v/>
      </c>
      <c r="AD130" s="679" t="s">
        <v>525</v>
      </c>
      <c r="AE130" s="593" t="str">
        <f t="shared" ref="AE130:AE135" si="50">IF(X130="","",IF(AD130="SI","CUMPLE","NO CUMPLE"))</f>
        <v/>
      </c>
    </row>
    <row r="131" spans="1:31" s="353" customFormat="1" ht="22.5" customHeight="1">
      <c r="A131" s="351"/>
      <c r="B131" s="342">
        <f>IF(D131="","",B130+1)</f>
        <v>2</v>
      </c>
      <c r="C131" s="619">
        <v>400</v>
      </c>
      <c r="D131" s="620" t="s">
        <v>417</v>
      </c>
      <c r="E131" s="621" t="s">
        <v>419</v>
      </c>
      <c r="F131" s="622" t="s">
        <v>421</v>
      </c>
      <c r="G131" s="623" t="s">
        <v>172</v>
      </c>
      <c r="H131" s="624">
        <v>0.6</v>
      </c>
      <c r="I131" s="625" t="s">
        <v>173</v>
      </c>
      <c r="J131" s="629" t="s">
        <v>182</v>
      </c>
      <c r="K131" s="627">
        <v>43082</v>
      </c>
      <c r="L131" s="618">
        <v>815.07</v>
      </c>
      <c r="M131" s="556">
        <f>IF(OR(K131="",L131=""),"",IF(I131="SI",H131*L131,""))</f>
        <v>489.04199999999997</v>
      </c>
      <c r="N131" s="504">
        <f>IF(OR(I131="",M131=""),"",IF(I131="SI",ROUND(M131,3),0))</f>
        <v>489.04199999999997</v>
      </c>
      <c r="O131" s="636"/>
      <c r="Q131" s="352" t="str">
        <f t="shared" si="47"/>
        <v>CUMPLE</v>
      </c>
      <c r="R131" s="636" t="s">
        <v>140</v>
      </c>
      <c r="S131" s="352" t="str">
        <f t="shared" ref="S131:S135" si="51">IF(T131="","",IF(T131&gt;=20%,"CUMPLE","NO CUMPLE"))</f>
        <v>CUMPLE</v>
      </c>
      <c r="T131" s="656">
        <f t="shared" si="48"/>
        <v>1</v>
      </c>
      <c r="U131" s="586"/>
      <c r="W131" s="594">
        <v>2</v>
      </c>
      <c r="X131" s="595" t="str">
        <f>IF(AND(W131&lt;=$T127,$T127&gt;1,$T127&lt;&gt;""),VLOOKUP(VALUE($F124&amp;","&amp;W131),INTEGRANTES!$D$19:$G$106,2,0),"")</f>
        <v/>
      </c>
      <c r="Y131" s="596" t="str">
        <f>IF(X131&lt;&gt;"",VLOOKUP(VALUE($F124&amp;","&amp;$W131),INTEGRANTES!$D$19:$G$106,3,0),"")</f>
        <v/>
      </c>
      <c r="Z131" s="597" t="str">
        <f>IF(X131="","",SUMIF($J130:$J135,$X131,$N130:$N135))</f>
        <v/>
      </c>
      <c r="AA131" s="604" t="str">
        <f>IF($Y131="","",IF(AND($Y131&gt;=20%,$Z131&gt;=$Z136),"CUMPLE","NO CUMPLE"))</f>
        <v/>
      </c>
      <c r="AB131" s="680"/>
      <c r="AC131" s="593" t="str">
        <f t="shared" si="49"/>
        <v/>
      </c>
      <c r="AD131" s="680"/>
      <c r="AE131" s="593" t="str">
        <f t="shared" si="50"/>
        <v/>
      </c>
    </row>
    <row r="132" spans="1:31" s="353" customFormat="1" ht="22.5" customHeight="1">
      <c r="A132" s="351"/>
      <c r="B132" s="342" t="str">
        <f t="shared" ref="B132:B135" si="52">IF(D132="","",B131+1)</f>
        <v/>
      </c>
      <c r="C132" s="619"/>
      <c r="D132" s="620"/>
      <c r="E132" s="628"/>
      <c r="F132" s="622"/>
      <c r="G132" s="623"/>
      <c r="H132" s="624"/>
      <c r="I132" s="625"/>
      <c r="J132" s="629"/>
      <c r="K132" s="627"/>
      <c r="L132" s="618"/>
      <c r="M132" s="556" t="str">
        <f t="shared" ref="M132:M135" si="53">IF(OR(K132="",L132=""),"",IF(I132="SI",H132*L132,""))</f>
        <v/>
      </c>
      <c r="N132" s="504" t="str">
        <f>IF(OR(I132="",M132=""),"",IF(I132="SI",ROUND(M132,3),0))</f>
        <v/>
      </c>
      <c r="O132" s="636"/>
      <c r="Q132" s="352" t="str">
        <f t="shared" si="47"/>
        <v/>
      </c>
      <c r="R132" s="636"/>
      <c r="S132" s="352" t="str">
        <f t="shared" si="51"/>
        <v/>
      </c>
      <c r="T132" s="656" t="str">
        <f t="shared" si="48"/>
        <v/>
      </c>
      <c r="U132" s="586"/>
      <c r="W132" s="594">
        <v>3</v>
      </c>
      <c r="X132" s="595" t="str">
        <f>IF(AND(W132&lt;=$T127,$T127&gt;1,$T127&lt;&gt;""),VLOOKUP(VALUE($F124&amp;","&amp;W132),INTEGRANTES!$D$19:$G$106,2,0),"")</f>
        <v/>
      </c>
      <c r="Y132" s="596" t="str">
        <f>IF(X132&lt;&gt;"",VLOOKUP(VALUE($F124&amp;","&amp;$W132),INTEGRANTES!$D$19:$G$106,3,0),"")</f>
        <v/>
      </c>
      <c r="Z132" s="597" t="str">
        <f>IF(X132="","",SUMIF($J130:$J135,$X132,$N130:$N135))</f>
        <v/>
      </c>
      <c r="AA132" s="604" t="str">
        <f>IF($Y132="","",IF(AND($Y132&gt;=20%,$Z132&gt;=$Z136),"CUMPLE","NO CUMPLE"))</f>
        <v/>
      </c>
      <c r="AB132" s="680"/>
      <c r="AC132" s="593" t="str">
        <f t="shared" si="49"/>
        <v/>
      </c>
      <c r="AD132" s="680"/>
      <c r="AE132" s="593" t="str">
        <f t="shared" si="50"/>
        <v/>
      </c>
    </row>
    <row r="133" spans="1:31" s="353" customFormat="1" ht="22.5" customHeight="1">
      <c r="A133" s="351"/>
      <c r="B133" s="342" t="str">
        <f t="shared" si="52"/>
        <v/>
      </c>
      <c r="C133" s="619"/>
      <c r="D133" s="620"/>
      <c r="E133" s="628"/>
      <c r="F133" s="622"/>
      <c r="G133" s="623"/>
      <c r="H133" s="624"/>
      <c r="I133" s="625"/>
      <c r="J133" s="629"/>
      <c r="K133" s="627"/>
      <c r="L133" s="618"/>
      <c r="M133" s="555" t="str">
        <f t="shared" si="53"/>
        <v/>
      </c>
      <c r="N133" s="504" t="str">
        <f>IF(OR(I133="",M133=""),"",IF(I133="SI",ROUND(M133,3),0))</f>
        <v/>
      </c>
      <c r="O133" s="636"/>
      <c r="Q133" s="352" t="str">
        <f t="shared" si="47"/>
        <v/>
      </c>
      <c r="R133" s="636"/>
      <c r="S133" s="352" t="str">
        <f t="shared" si="51"/>
        <v/>
      </c>
      <c r="T133" s="656" t="str">
        <f t="shared" si="48"/>
        <v/>
      </c>
      <c r="U133" s="586"/>
      <c r="W133" s="594">
        <v>4</v>
      </c>
      <c r="X133" s="595" t="str">
        <f>IF(AND(W133&lt;=$T127,$T127&gt;1,$T127&lt;&gt;""),VLOOKUP(VALUE($F124&amp;","&amp;W133),INTEGRANTES!$D$19:$G$106,2,0),"")</f>
        <v/>
      </c>
      <c r="Y133" s="596" t="str">
        <f>IF(X133&lt;&gt;"",VLOOKUP(VALUE($F124&amp;","&amp;$W133),INTEGRANTES!$D$19:$G$106,3,0),"")</f>
        <v/>
      </c>
      <c r="Z133" s="597" t="str">
        <f>IF(X133="","",SUMIF($J130:$J135,$X133,$N130:$N135))</f>
        <v/>
      </c>
      <c r="AA133" s="604" t="str">
        <f>IF($Y133="","",IF(AND($Y133&gt;=20%,$Z133&gt;=$Z136),"CUMPLE","NO CUMPLE"))</f>
        <v/>
      </c>
      <c r="AB133" s="680"/>
      <c r="AC133" s="593" t="str">
        <f t="shared" si="49"/>
        <v/>
      </c>
      <c r="AD133" s="680"/>
      <c r="AE133" s="593" t="str">
        <f t="shared" si="50"/>
        <v/>
      </c>
    </row>
    <row r="134" spans="1:31" s="353" customFormat="1" ht="22.5" customHeight="1">
      <c r="A134" s="351"/>
      <c r="B134" s="342" t="str">
        <f t="shared" si="52"/>
        <v/>
      </c>
      <c r="C134" s="619"/>
      <c r="D134" s="620"/>
      <c r="E134" s="628"/>
      <c r="F134" s="622"/>
      <c r="G134" s="623"/>
      <c r="H134" s="624"/>
      <c r="I134" s="625"/>
      <c r="J134" s="629"/>
      <c r="K134" s="627"/>
      <c r="L134" s="618"/>
      <c r="M134" s="556" t="str">
        <f t="shared" si="53"/>
        <v/>
      </c>
      <c r="N134" s="504" t="str">
        <f>IF(OR(I134="",M134=""),"",IF(I134="SI",ROUND(M134,3),0))</f>
        <v/>
      </c>
      <c r="O134" s="636"/>
      <c r="Q134" s="352" t="str">
        <f t="shared" si="47"/>
        <v/>
      </c>
      <c r="R134" s="636"/>
      <c r="S134" s="352" t="str">
        <f t="shared" si="51"/>
        <v/>
      </c>
      <c r="T134" s="656" t="str">
        <f t="shared" si="48"/>
        <v/>
      </c>
      <c r="U134" s="586"/>
      <c r="W134" s="594">
        <v>5</v>
      </c>
      <c r="X134" s="595" t="str">
        <f>IF(AND(W134&lt;=$T127,$T127&gt;1,$T127&lt;&gt;""),VLOOKUP(VALUE($F124&amp;","&amp;W134),INTEGRANTES!$D$19:$G$106,2,0),"")</f>
        <v/>
      </c>
      <c r="Y134" s="596" t="str">
        <f>IF(X134&lt;&gt;"",VLOOKUP(VALUE($F124&amp;","&amp;$W134),INTEGRANTES!$D$19:$G$106,3,0),"")</f>
        <v/>
      </c>
      <c r="Z134" s="597" t="str">
        <f>IF(X134="","",SUMIF($J130:$J135,$X134,$N130:$N135))</f>
        <v/>
      </c>
      <c r="AA134" s="604" t="str">
        <f>IF($Y134="","",IF(AND($Y134&gt;=20%,$Z134&gt;=$Z136),"CUMPLE","NO CUMPLE"))</f>
        <v/>
      </c>
      <c r="AB134" s="680"/>
      <c r="AC134" s="593" t="str">
        <f t="shared" si="49"/>
        <v/>
      </c>
      <c r="AD134" s="680"/>
      <c r="AE134" s="593" t="str">
        <f t="shared" si="50"/>
        <v/>
      </c>
    </row>
    <row r="135" spans="1:31" s="353" customFormat="1" ht="22.5" customHeight="1">
      <c r="A135" s="351"/>
      <c r="B135" s="342" t="str">
        <f t="shared" si="52"/>
        <v/>
      </c>
      <c r="C135" s="619"/>
      <c r="D135" s="620"/>
      <c r="E135" s="628"/>
      <c r="F135" s="622"/>
      <c r="G135" s="623"/>
      <c r="H135" s="624"/>
      <c r="I135" s="625"/>
      <c r="J135" s="629"/>
      <c r="K135" s="627"/>
      <c r="L135" s="618"/>
      <c r="M135" s="555" t="str">
        <f t="shared" si="53"/>
        <v/>
      </c>
      <c r="N135" s="504" t="str">
        <f>IF(OR(I135="",M135=""),"",IF(I135="SI",ROUND(M135,3),0))</f>
        <v/>
      </c>
      <c r="O135" s="636"/>
      <c r="Q135" s="352" t="str">
        <f t="shared" si="47"/>
        <v/>
      </c>
      <c r="R135" s="636"/>
      <c r="S135" s="352" t="str">
        <f t="shared" si="51"/>
        <v/>
      </c>
      <c r="T135" s="656" t="str">
        <f t="shared" si="48"/>
        <v/>
      </c>
      <c r="U135" s="586"/>
      <c r="W135" s="599">
        <v>6</v>
      </c>
      <c r="X135" s="595" t="str">
        <f>IF(AND(W135&lt;=$T127,$T127&gt;1,$T127&lt;&gt;""),VLOOKUP(VALUE($F124&amp;","&amp;W135),INTEGRANTES!$D$19:$G$106,2,0),"")</f>
        <v/>
      </c>
      <c r="Y135" s="606" t="str">
        <f>IF(X135&lt;&gt;"",VLOOKUP(VALUE($F124&amp;","&amp;$W135),INTEGRANTES!$D$19:$G$106,3,0),"")</f>
        <v/>
      </c>
      <c r="Z135" s="607" t="str">
        <f>IF(X135="","",SUMIF($J130:$J135,$X135,$N130:$N135))</f>
        <v/>
      </c>
      <c r="AA135" s="608" t="str">
        <f>IF($Y135="","",IF(AND($Y135&gt;=20%,$Z135&gt;=$Z136),"CUMPLE","NO CUMPLE"))</f>
        <v/>
      </c>
      <c r="AB135" s="680"/>
      <c r="AC135" s="593" t="str">
        <f t="shared" si="49"/>
        <v/>
      </c>
      <c r="AD135" s="680"/>
      <c r="AE135" s="593" t="str">
        <f t="shared" si="50"/>
        <v/>
      </c>
    </row>
    <row r="136" spans="1:31" ht="5.0999999999999996" customHeight="1" thickBot="1">
      <c r="B136" s="354"/>
      <c r="C136" s="359"/>
      <c r="D136" s="355"/>
      <c r="E136" s="368"/>
      <c r="F136" s="355"/>
      <c r="G136" s="355"/>
      <c r="H136" s="355"/>
      <c r="I136" s="356"/>
      <c r="J136" s="357"/>
      <c r="K136" s="358"/>
      <c r="L136" s="355"/>
      <c r="M136" s="356"/>
      <c r="N136" s="360"/>
      <c r="O136" s="352" t="str">
        <f>IF(L136="","",IF(AND(L136&gt;=YEAR($M$15), J136="SI",L136&lt;=S130),"CUMPLE","NO CUMPLE"))</f>
        <v/>
      </c>
      <c r="Q136" s="352" t="str">
        <f>IF(N136="","",IF(AND(N136&gt;=YEAR($M$15), L136="SI",N136&lt;=V130),"CUMPLE","NO CUMPLE"))</f>
        <v/>
      </c>
      <c r="R136" s="352" t="str">
        <f>IF(P136="","",IF(AND(P136&gt;=YEAR($M$15), M136="SI",P136&lt;=W130),"CUMPLE","NO CUMPLE"))</f>
        <v/>
      </c>
      <c r="S136" s="352" t="str">
        <f>IF(P136="","",IF(AND(P136&gt;=YEAR($M$15), N136="SI",P136&lt;=X130),"CUMPLE","NO CUMPLE"))</f>
        <v/>
      </c>
      <c r="T136" s="564"/>
      <c r="U136" s="586"/>
      <c r="W136" s="600"/>
      <c r="X136" s="600"/>
      <c r="Y136" s="600"/>
      <c r="Z136" s="605">
        <f>MAX(Z130:Z135)</f>
        <v>0</v>
      </c>
      <c r="AA136" s="600"/>
      <c r="AB136" s="602"/>
      <c r="AC136" s="602"/>
      <c r="AD136" s="602"/>
      <c r="AE136" s="602"/>
    </row>
    <row r="137" spans="1:31" s="52" customFormat="1" ht="17.100000000000001" customHeight="1" thickTop="1" thickBot="1">
      <c r="A137" s="361">
        <f>F124</f>
        <v>7</v>
      </c>
      <c r="B137" s="364"/>
      <c r="C137" s="379"/>
      <c r="D137" s="664"/>
      <c r="E137" s="752"/>
      <c r="F137" s="752"/>
      <c r="G137" s="752"/>
      <c r="H137" s="752"/>
      <c r="I137" s="752"/>
      <c r="J137" s="752"/>
      <c r="K137" s="752"/>
      <c r="L137" s="753"/>
      <c r="M137" s="754"/>
      <c r="N137" s="365">
        <f>SUM(N130:N136)</f>
        <v>562.26199999999994</v>
      </c>
      <c r="O137" s="373"/>
      <c r="Q137" s="373" t="str">
        <f>IF(COUNTIF(Q130:Q133,"CUMPLE")&gt;0,"CUMPLE","NO CUMPLE")</f>
        <v>CUMPLE</v>
      </c>
      <c r="R137" s="374" t="str">
        <f>IF(COUNTIF(R130:R133,"COLOMBIA")&gt;0,"CUMPLE","NO CUMPLE")</f>
        <v>CUMPLE</v>
      </c>
      <c r="S137" s="373" t="str">
        <f>IF(COUNTIF(S130:S133,"CUMPLE")&gt;0,"CUMPLE","NO CUMPLE")</f>
        <v>CUMPLE</v>
      </c>
      <c r="T137" s="566"/>
      <c r="U137" s="587"/>
      <c r="AA137" s="589" t="str">
        <f>IF(T127=1,"CUMPLE",IF(COUNTIF(AA130:AA135,"CUMPLE")&gt;0,"CUMPLE","NO CUMPLE"))</f>
        <v>CUMPLE</v>
      </c>
      <c r="AB137" s="735" t="str">
        <f>IF(COUNTIF(AC130:AC135,"CUMPLE")&gt;0,"CUMPLE","NO CUMPLE")</f>
        <v>NO CUMPLE</v>
      </c>
      <c r="AC137" s="736"/>
      <c r="AD137" s="735" t="str">
        <f>IF(COUNTIF(AE130:AE135,"CUMPLE")&gt;0,"CUMPLE","NO CUMPLE")</f>
        <v>NO CUMPLE</v>
      </c>
      <c r="AE137" s="736"/>
    </row>
    <row r="138" spans="1:31" ht="16.5" thickTop="1">
      <c r="B138" s="557"/>
      <c r="C138" s="558"/>
      <c r="D138" s="558"/>
      <c r="E138" s="558"/>
      <c r="F138" s="558"/>
      <c r="G138" s="558"/>
      <c r="H138" s="558"/>
      <c r="I138" s="558"/>
      <c r="J138" s="558"/>
      <c r="K138" s="558"/>
      <c r="L138" s="80"/>
      <c r="M138" s="362" t="s">
        <v>516</v>
      </c>
      <c r="N138" s="369">
        <f ca="1">VFrequerido!Y21</f>
        <v>537.11</v>
      </c>
      <c r="O138" s="568"/>
      <c r="Q138" s="570"/>
      <c r="R138" s="571"/>
      <c r="S138" s="572"/>
      <c r="T138" s="573"/>
      <c r="U138" s="80"/>
    </row>
    <row r="139" spans="1:31" ht="15.75" thickBot="1">
      <c r="A139" s="490" t="str">
        <f>"E"&amp;F124</f>
        <v>E7</v>
      </c>
      <c r="B139" s="559"/>
      <c r="C139" s="560"/>
      <c r="D139" s="560"/>
      <c r="E139" s="560"/>
      <c r="F139" s="560"/>
      <c r="G139" s="560"/>
      <c r="H139" s="560"/>
      <c r="I139" s="560"/>
      <c r="J139" s="560"/>
      <c r="K139" s="560"/>
      <c r="L139" s="363"/>
      <c r="M139" s="755" t="str">
        <f ca="1">IF(OR(N137=0,N137&lt;N138),"NO CUMPLE","CUMPLE")</f>
        <v>CUMPLE</v>
      </c>
      <c r="N139" s="756"/>
      <c r="O139" s="569"/>
      <c r="Q139" s="492"/>
      <c r="R139" s="493"/>
      <c r="S139" s="363"/>
      <c r="T139" s="574"/>
      <c r="U139" s="80"/>
    </row>
    <row r="140" spans="1:31" ht="13.5" thickTop="1"/>
    <row r="142" spans="1:31">
      <c r="F142" s="757">
        <f>F124+1</f>
        <v>8</v>
      </c>
      <c r="G142" s="758" t="str">
        <f>VLOOKUP(F142,PROPO,2,FALSE)</f>
        <v>CONSULTORIA BOGOTANA SAS</v>
      </c>
      <c r="H142" s="758"/>
      <c r="I142" s="758"/>
      <c r="J142" s="758"/>
      <c r="K142" s="52"/>
      <c r="O142" s="52"/>
      <c r="Q142" s="52"/>
      <c r="R142" s="52"/>
    </row>
    <row r="143" spans="1:31">
      <c r="B143" s="328"/>
      <c r="C143" s="328"/>
      <c r="D143" s="328"/>
      <c r="E143" s="328"/>
      <c r="F143" s="757"/>
      <c r="G143" s="758"/>
      <c r="H143" s="758"/>
      <c r="I143" s="758"/>
      <c r="J143" s="758"/>
      <c r="K143" s="52"/>
      <c r="N143" s="567"/>
      <c r="O143" s="52"/>
      <c r="Q143" s="52"/>
      <c r="R143" s="52"/>
    </row>
    <row r="144" spans="1:31" ht="13.5" thickBot="1">
      <c r="B144" s="329"/>
      <c r="C144" s="329"/>
      <c r="D144" s="56"/>
      <c r="E144" s="56"/>
      <c r="F144" s="56"/>
      <c r="G144" s="56"/>
      <c r="H144" s="56"/>
      <c r="I144" s="56"/>
      <c r="J144" s="56"/>
      <c r="K144" s="330"/>
      <c r="L144" s="331"/>
      <c r="M144" s="331"/>
      <c r="N144" s="330"/>
      <c r="O144" s="330"/>
      <c r="Q144" s="330"/>
      <c r="R144" s="330"/>
    </row>
    <row r="145" spans="1:31" ht="50.1" customHeight="1" thickTop="1" thickBot="1">
      <c r="B145" s="332" t="s">
        <v>16</v>
      </c>
      <c r="C145" s="744" t="s">
        <v>121</v>
      </c>
      <c r="D145" s="333" t="s">
        <v>17</v>
      </c>
      <c r="E145" s="746" t="s">
        <v>18</v>
      </c>
      <c r="F145" s="747"/>
      <c r="G145" s="748" t="s">
        <v>117</v>
      </c>
      <c r="H145" s="749"/>
      <c r="I145" s="744" t="s">
        <v>39</v>
      </c>
      <c r="J145" s="744" t="s">
        <v>0</v>
      </c>
      <c r="K145" s="665" t="s">
        <v>19</v>
      </c>
      <c r="L145" s="750" t="s">
        <v>20</v>
      </c>
      <c r="M145" s="751"/>
      <c r="N145" s="68" t="s">
        <v>52</v>
      </c>
      <c r="O145" s="501" t="s">
        <v>151</v>
      </c>
      <c r="Q145" s="665" t="s">
        <v>127</v>
      </c>
      <c r="R145" s="665" t="s">
        <v>138</v>
      </c>
      <c r="S145" s="665" t="s">
        <v>163</v>
      </c>
      <c r="T145" s="565">
        <f>IF(VLOOKUP(F142,PROPONENTES!$C$19:$E$54,3,0)="","",VLOOKUP(F142,PROPONENTES!$C$19:$E$54,3,0))</f>
        <v>1</v>
      </c>
      <c r="U145" s="582"/>
      <c r="W145" s="737" t="s">
        <v>167</v>
      </c>
      <c r="X145" s="738"/>
      <c r="Y145" s="738"/>
      <c r="Z145" s="738"/>
      <c r="AA145" s="738"/>
      <c r="AB145" s="738"/>
      <c r="AC145" s="738"/>
      <c r="AD145" s="738"/>
      <c r="AE145" s="739"/>
    </row>
    <row r="146" spans="1:31" ht="50.1" customHeight="1" thickTop="1" thickBot="1">
      <c r="B146" s="334" t="s">
        <v>21</v>
      </c>
      <c r="C146" s="745"/>
      <c r="D146" s="335" t="s">
        <v>22</v>
      </c>
      <c r="E146" s="366" t="s">
        <v>23</v>
      </c>
      <c r="F146" s="336" t="s">
        <v>24</v>
      </c>
      <c r="G146" s="337" t="s">
        <v>118</v>
      </c>
      <c r="H146" s="338" t="s">
        <v>119</v>
      </c>
      <c r="I146" s="745"/>
      <c r="J146" s="745"/>
      <c r="K146" s="663" t="s">
        <v>120</v>
      </c>
      <c r="L146" s="339" t="s">
        <v>150</v>
      </c>
      <c r="M146" s="340" t="s">
        <v>14</v>
      </c>
      <c r="N146" s="341" t="s">
        <v>14</v>
      </c>
      <c r="O146" s="502" t="s">
        <v>152</v>
      </c>
      <c r="Q146" s="663" t="s">
        <v>128</v>
      </c>
      <c r="R146" s="663" t="s">
        <v>139</v>
      </c>
      <c r="S146" s="663" t="s">
        <v>164</v>
      </c>
      <c r="T146" s="575" t="s">
        <v>83</v>
      </c>
      <c r="U146" s="583"/>
      <c r="W146" s="740" t="s">
        <v>166</v>
      </c>
      <c r="X146" s="743"/>
      <c r="Y146" s="663" t="s">
        <v>168</v>
      </c>
      <c r="Z146" s="663" t="s">
        <v>169</v>
      </c>
      <c r="AA146" s="663" t="s">
        <v>174</v>
      </c>
      <c r="AB146" s="740" t="s">
        <v>524</v>
      </c>
      <c r="AC146" s="741"/>
      <c r="AD146" s="742" t="s">
        <v>522</v>
      </c>
      <c r="AE146" s="741"/>
    </row>
    <row r="147" spans="1:31" ht="14.25" hidden="1" customHeight="1">
      <c r="B147" s="342">
        <v>0</v>
      </c>
      <c r="C147" s="347"/>
      <c r="D147" s="343"/>
      <c r="E147" s="367"/>
      <c r="F147" s="344"/>
      <c r="G147" s="345"/>
      <c r="H147" s="346"/>
      <c r="I147" s="347"/>
      <c r="J147" s="347"/>
      <c r="K147" s="347"/>
      <c r="L147" s="348"/>
      <c r="M147" s="349"/>
      <c r="N147" s="350"/>
      <c r="O147" s="347"/>
      <c r="Q147" s="347"/>
      <c r="R147" s="347"/>
      <c r="S147" s="347"/>
      <c r="T147" s="563"/>
      <c r="U147" s="584"/>
      <c r="W147" s="502" t="s">
        <v>166</v>
      </c>
      <c r="X147" s="502"/>
      <c r="Y147" s="502" t="s">
        <v>168</v>
      </c>
      <c r="Z147" s="502" t="s">
        <v>169</v>
      </c>
      <c r="AA147" s="502" t="s">
        <v>170</v>
      </c>
      <c r="AB147" s="661" t="s">
        <v>170</v>
      </c>
      <c r="AC147" s="661" t="s">
        <v>170</v>
      </c>
      <c r="AD147" s="661" t="s">
        <v>170</v>
      </c>
      <c r="AE147" s="661" t="s">
        <v>170</v>
      </c>
    </row>
    <row r="148" spans="1:31" s="353" customFormat="1" ht="22.5" customHeight="1" thickTop="1">
      <c r="A148" s="351"/>
      <c r="B148" s="342">
        <f>IF(D148="","",B147+1)</f>
        <v>1</v>
      </c>
      <c r="C148" s="609">
        <v>69</v>
      </c>
      <c r="D148" s="610" t="s">
        <v>256</v>
      </c>
      <c r="E148" s="611" t="s">
        <v>257</v>
      </c>
      <c r="F148" s="612" t="s">
        <v>258</v>
      </c>
      <c r="G148" s="613" t="s">
        <v>172</v>
      </c>
      <c r="H148" s="614">
        <v>0.5</v>
      </c>
      <c r="I148" s="615" t="s">
        <v>173</v>
      </c>
      <c r="J148" s="616" t="s">
        <v>183</v>
      </c>
      <c r="K148" s="617">
        <v>42369</v>
      </c>
      <c r="L148" s="618">
        <v>1305.42</v>
      </c>
      <c r="M148" s="494">
        <f>IF(OR(K148="",L148=""),"",IF(I148="SI",H148*L148,""))</f>
        <v>652.71</v>
      </c>
      <c r="N148" s="503">
        <f>IF(OR(I148="",M148=""),"",IF(I148="NO",0,IF(I148="SI",ROUND(M148,3),0)))</f>
        <v>652.71</v>
      </c>
      <c r="O148" s="636"/>
      <c r="Q148" s="352" t="str">
        <f t="shared" ref="Q148:Q153" si="54">IF(K148="","",IF(AND(YEAR(K148)&gt;=YEAR($M$15), I148="SI",K148&lt;=$N$15),"CUMPLE","NO CUMPLE"))</f>
        <v>CUMPLE</v>
      </c>
      <c r="R148" s="636" t="s">
        <v>140</v>
      </c>
      <c r="S148" s="352" t="str">
        <f>IF(T148="","",IF(T148&gt;=20%,"CUMPLE","NO CUMPLE"))</f>
        <v>CUMPLE</v>
      </c>
      <c r="T148" s="656">
        <f>IF(R148="","",VLOOKUP(J148,INTEGRAN,2,FALSE))</f>
        <v>1</v>
      </c>
      <c r="U148" s="585"/>
      <c r="W148" s="594">
        <v>1</v>
      </c>
      <c r="X148" s="595" t="str">
        <f>IF(AND(W148&lt;=$T145,$T145&gt;1,$T145&lt;&gt;""),VLOOKUP(VALUE($F142&amp;","&amp;W148),INTEGRANTES!$D$19:$G$106,2,0),"")</f>
        <v/>
      </c>
      <c r="Y148" s="596" t="str">
        <f>IF(X148&lt;&gt;"",VLOOKUP(VALUE($F142&amp;","&amp;$W148),INTEGRANTES!$D$19:$G$106,3,0),"")</f>
        <v/>
      </c>
      <c r="Z148" s="597" t="str">
        <f>IF(X148="","",SUMIF($J148:$J153,$X148,$N148:$N153))</f>
        <v/>
      </c>
      <c r="AA148" s="604" t="str">
        <f>IF($Y148="","",IF(AND($Y148&gt;=20%,$Z148&gt;=$Z154),"CUMPLE","NO CUMPLE"))</f>
        <v/>
      </c>
      <c r="AB148" s="679" t="s">
        <v>525</v>
      </c>
      <c r="AC148" s="592" t="str">
        <f t="shared" ref="AC148:AC153" si="55">IF(X148="","",IF(AND(Y148&gt;=40%,AB148="SI"),"CUMPLE","NO CUMPLE"))</f>
        <v/>
      </c>
      <c r="AD148" s="679" t="s">
        <v>525</v>
      </c>
      <c r="AE148" s="593" t="str">
        <f t="shared" ref="AE148:AE153" si="56">IF(X148="","",IF(AD148="SI","CUMPLE","NO CUMPLE"))</f>
        <v/>
      </c>
    </row>
    <row r="149" spans="1:31" s="353" customFormat="1" ht="22.5" customHeight="1">
      <c r="A149" s="351"/>
      <c r="B149" s="342" t="str">
        <f>IF(D149="","",B148+1)</f>
        <v/>
      </c>
      <c r="C149" s="619"/>
      <c r="D149" s="620"/>
      <c r="E149" s="621"/>
      <c r="F149" s="622"/>
      <c r="G149" s="623"/>
      <c r="H149" s="624"/>
      <c r="I149" s="625"/>
      <c r="J149" s="629"/>
      <c r="K149" s="627"/>
      <c r="L149" s="618"/>
      <c r="M149" s="556" t="str">
        <f>IF(OR(K149="",L149=""),"",IF(I149="SI",H149*L149,""))</f>
        <v/>
      </c>
      <c r="N149" s="504" t="str">
        <f>IF(OR(I149="",M149=""),"",IF(I149="SI",ROUND(M149,3),0))</f>
        <v/>
      </c>
      <c r="O149" s="636"/>
      <c r="Q149" s="352" t="str">
        <f t="shared" si="54"/>
        <v/>
      </c>
      <c r="R149" s="636"/>
      <c r="S149" s="352" t="str">
        <f t="shared" ref="S149:S153" si="57">IF(T149="","",IF(T149&gt;=20%,"CUMPLE","NO CUMPLE"))</f>
        <v/>
      </c>
      <c r="T149" s="656" t="str">
        <f t="shared" ref="T149:T153" si="58">IF(R149="","",VLOOKUP(J149,INTEGRAN,2,FALSE))</f>
        <v/>
      </c>
      <c r="U149" s="586"/>
      <c r="W149" s="594">
        <v>2</v>
      </c>
      <c r="X149" s="595" t="str">
        <f>IF(AND(W149&lt;=$T145,$T145&gt;1,$T145&lt;&gt;""),VLOOKUP(VALUE($F142&amp;","&amp;W149),INTEGRANTES!$D$19:$G$106,2,0),"")</f>
        <v/>
      </c>
      <c r="Y149" s="596" t="str">
        <f>IF(X149&lt;&gt;"",VLOOKUP(VALUE($F142&amp;","&amp;$W149),INTEGRANTES!$D$19:$G$106,3,0),"")</f>
        <v/>
      </c>
      <c r="Z149" s="597" t="str">
        <f>IF(X149="","",SUMIF($J148:$J153,$X149,$N148:$N153))</f>
        <v/>
      </c>
      <c r="AA149" s="604" t="str">
        <f>IF($Y149="","",IF(AND($Y149&gt;=20%,$Z149&gt;=$Z154),"CUMPLE","NO CUMPLE"))</f>
        <v/>
      </c>
      <c r="AB149" s="680"/>
      <c r="AC149" s="593" t="str">
        <f t="shared" si="55"/>
        <v/>
      </c>
      <c r="AD149" s="680"/>
      <c r="AE149" s="593" t="str">
        <f t="shared" si="56"/>
        <v/>
      </c>
    </row>
    <row r="150" spans="1:31" s="353" customFormat="1" ht="22.5" customHeight="1">
      <c r="A150" s="351"/>
      <c r="B150" s="342" t="str">
        <f t="shared" ref="B150:B153" si="59">IF(D150="","",B149+1)</f>
        <v/>
      </c>
      <c r="C150" s="619"/>
      <c r="D150" s="620"/>
      <c r="E150" s="628"/>
      <c r="F150" s="622"/>
      <c r="G150" s="623"/>
      <c r="H150" s="624"/>
      <c r="I150" s="625"/>
      <c r="J150" s="629"/>
      <c r="K150" s="627"/>
      <c r="L150" s="618"/>
      <c r="M150" s="556" t="str">
        <f t="shared" ref="M150:M153" si="60">IF(OR(K150="",L150=""),"",IF(I150="SI",H150*L150,""))</f>
        <v/>
      </c>
      <c r="N150" s="504" t="str">
        <f>IF(OR(I150="",M150=""),"",IF(I150="SI",ROUND(M150,3),0))</f>
        <v/>
      </c>
      <c r="O150" s="636"/>
      <c r="Q150" s="352" t="str">
        <f t="shared" si="54"/>
        <v/>
      </c>
      <c r="R150" s="636"/>
      <c r="S150" s="352" t="str">
        <f t="shared" si="57"/>
        <v/>
      </c>
      <c r="T150" s="656" t="str">
        <f t="shared" si="58"/>
        <v/>
      </c>
      <c r="U150" s="586"/>
      <c r="W150" s="594">
        <v>3</v>
      </c>
      <c r="X150" s="595" t="str">
        <f>IF(AND(W150&lt;=$T145,$T145&gt;1,$T145&lt;&gt;""),VLOOKUP(VALUE($F142&amp;","&amp;W150),INTEGRANTES!$D$19:$G$106,2,0),"")</f>
        <v/>
      </c>
      <c r="Y150" s="596" t="str">
        <f>IF(X150&lt;&gt;"",VLOOKUP(VALUE($F142&amp;","&amp;$W150),INTEGRANTES!$D$19:$G$106,3,0),"")</f>
        <v/>
      </c>
      <c r="Z150" s="597" t="str">
        <f>IF(X150="","",SUMIF($J148:$J153,$X150,$N148:$N153))</f>
        <v/>
      </c>
      <c r="AA150" s="604" t="str">
        <f>IF($Y150="","",IF(AND($Y150&gt;=20%,$Z150&gt;=$Z154),"CUMPLE","NO CUMPLE"))</f>
        <v/>
      </c>
      <c r="AB150" s="680"/>
      <c r="AC150" s="593" t="str">
        <f t="shared" si="55"/>
        <v/>
      </c>
      <c r="AD150" s="680"/>
      <c r="AE150" s="593" t="str">
        <f t="shared" si="56"/>
        <v/>
      </c>
    </row>
    <row r="151" spans="1:31" s="353" customFormat="1" ht="22.5" customHeight="1">
      <c r="A151" s="351"/>
      <c r="B151" s="342" t="str">
        <f t="shared" si="59"/>
        <v/>
      </c>
      <c r="C151" s="619"/>
      <c r="D151" s="620"/>
      <c r="E151" s="628"/>
      <c r="F151" s="622"/>
      <c r="G151" s="623"/>
      <c r="H151" s="624"/>
      <c r="I151" s="625"/>
      <c r="J151" s="629"/>
      <c r="K151" s="627"/>
      <c r="L151" s="618"/>
      <c r="M151" s="555" t="str">
        <f t="shared" si="60"/>
        <v/>
      </c>
      <c r="N151" s="504" t="str">
        <f>IF(OR(I151="",M151=""),"",IF(I151="SI",ROUND(M151,3),0))</f>
        <v/>
      </c>
      <c r="O151" s="636"/>
      <c r="Q151" s="352" t="str">
        <f t="shared" si="54"/>
        <v/>
      </c>
      <c r="R151" s="636"/>
      <c r="S151" s="352" t="str">
        <f t="shared" si="57"/>
        <v/>
      </c>
      <c r="T151" s="656" t="str">
        <f t="shared" si="58"/>
        <v/>
      </c>
      <c r="U151" s="586"/>
      <c r="W151" s="594">
        <v>4</v>
      </c>
      <c r="X151" s="595" t="str">
        <f>IF(AND(W151&lt;=$T145,$T145&gt;1,$T145&lt;&gt;""),VLOOKUP(VALUE($F142&amp;","&amp;W151),INTEGRANTES!$D$19:$G$106,2,0),"")</f>
        <v/>
      </c>
      <c r="Y151" s="596" t="str">
        <f>IF(X151&lt;&gt;"",VLOOKUP(VALUE($F142&amp;","&amp;$W151),INTEGRANTES!$D$19:$G$106,3,0),"")</f>
        <v/>
      </c>
      <c r="Z151" s="597" t="str">
        <f>IF(X151="","",SUMIF($J148:$J153,$X151,$N148:$N153))</f>
        <v/>
      </c>
      <c r="AA151" s="604" t="str">
        <f>IF($Y151="","",IF(AND($Y151&gt;=20%,$Z151&gt;=$Z154),"CUMPLE","NO CUMPLE"))</f>
        <v/>
      </c>
      <c r="AB151" s="680"/>
      <c r="AC151" s="593" t="str">
        <f t="shared" si="55"/>
        <v/>
      </c>
      <c r="AD151" s="680"/>
      <c r="AE151" s="593" t="str">
        <f t="shared" si="56"/>
        <v/>
      </c>
    </row>
    <row r="152" spans="1:31" s="353" customFormat="1" ht="22.5" customHeight="1">
      <c r="A152" s="351"/>
      <c r="B152" s="342" t="str">
        <f t="shared" si="59"/>
        <v/>
      </c>
      <c r="C152" s="619"/>
      <c r="D152" s="620"/>
      <c r="E152" s="628"/>
      <c r="F152" s="622"/>
      <c r="G152" s="623"/>
      <c r="H152" s="624"/>
      <c r="I152" s="625"/>
      <c r="J152" s="629"/>
      <c r="K152" s="627"/>
      <c r="L152" s="618"/>
      <c r="M152" s="556" t="str">
        <f t="shared" si="60"/>
        <v/>
      </c>
      <c r="N152" s="504" t="str">
        <f>IF(OR(I152="",M152=""),"",IF(I152="SI",ROUND(M152,3),0))</f>
        <v/>
      </c>
      <c r="O152" s="636"/>
      <c r="Q152" s="352" t="str">
        <f t="shared" si="54"/>
        <v/>
      </c>
      <c r="R152" s="636"/>
      <c r="S152" s="352" t="str">
        <f t="shared" si="57"/>
        <v/>
      </c>
      <c r="T152" s="656" t="str">
        <f t="shared" si="58"/>
        <v/>
      </c>
      <c r="U152" s="586"/>
      <c r="W152" s="594">
        <v>5</v>
      </c>
      <c r="X152" s="595" t="str">
        <f>IF(AND(W152&lt;=$T145,$T145&gt;1,$T145&lt;&gt;""),VLOOKUP(VALUE($F142&amp;","&amp;W152),INTEGRANTES!$D$19:$G$106,2,0),"")</f>
        <v/>
      </c>
      <c r="Y152" s="596" t="str">
        <f>IF(X152&lt;&gt;"",VLOOKUP(VALUE($F142&amp;","&amp;$W152),INTEGRANTES!$D$19:$G$106,3,0),"")</f>
        <v/>
      </c>
      <c r="Z152" s="597" t="str">
        <f>IF(X152="","",SUMIF($J148:$J153,$X152,$N148:$N153))</f>
        <v/>
      </c>
      <c r="AA152" s="604" t="str">
        <f>IF($Y152="","",IF(AND($Y152&gt;=20%,$Z152&gt;=$Z154),"CUMPLE","NO CUMPLE"))</f>
        <v/>
      </c>
      <c r="AB152" s="680"/>
      <c r="AC152" s="593" t="str">
        <f t="shared" si="55"/>
        <v/>
      </c>
      <c r="AD152" s="680"/>
      <c r="AE152" s="593" t="str">
        <f t="shared" si="56"/>
        <v/>
      </c>
    </row>
    <row r="153" spans="1:31" s="353" customFormat="1" ht="22.5" customHeight="1">
      <c r="A153" s="351"/>
      <c r="B153" s="342" t="str">
        <f t="shared" si="59"/>
        <v/>
      </c>
      <c r="C153" s="619"/>
      <c r="D153" s="620"/>
      <c r="E153" s="628"/>
      <c r="F153" s="622"/>
      <c r="G153" s="623"/>
      <c r="H153" s="624"/>
      <c r="I153" s="625"/>
      <c r="J153" s="629"/>
      <c r="K153" s="627"/>
      <c r="L153" s="618"/>
      <c r="M153" s="555" t="str">
        <f t="shared" si="60"/>
        <v/>
      </c>
      <c r="N153" s="504" t="str">
        <f>IF(OR(I153="",M153=""),"",IF(I153="SI",ROUND(M153,3),0))</f>
        <v/>
      </c>
      <c r="O153" s="636"/>
      <c r="Q153" s="352" t="str">
        <f t="shared" si="54"/>
        <v/>
      </c>
      <c r="R153" s="636"/>
      <c r="S153" s="352" t="str">
        <f t="shared" si="57"/>
        <v/>
      </c>
      <c r="T153" s="656" t="str">
        <f t="shared" si="58"/>
        <v/>
      </c>
      <c r="U153" s="586"/>
      <c r="W153" s="599">
        <v>6</v>
      </c>
      <c r="X153" s="595" t="str">
        <f>IF(AND(W153&lt;=$T145,$T145&gt;1,$T145&lt;&gt;""),VLOOKUP(VALUE($F142&amp;","&amp;W153),INTEGRANTES!$D$19:$G$106,2,0),"")</f>
        <v/>
      </c>
      <c r="Y153" s="606" t="str">
        <f>IF(X153&lt;&gt;"",VLOOKUP(VALUE($F142&amp;","&amp;$W153),INTEGRANTES!$D$19:$G$106,3,0),"")</f>
        <v/>
      </c>
      <c r="Z153" s="607" t="str">
        <f>IF(X153="","",SUMIF($J148:$J153,$X153,$N148:$N153))</f>
        <v/>
      </c>
      <c r="AA153" s="608" t="str">
        <f>IF($Y153="","",IF(AND($Y153&gt;=20%,$Z153&gt;=$Z154),"CUMPLE","NO CUMPLE"))</f>
        <v/>
      </c>
      <c r="AB153" s="680"/>
      <c r="AC153" s="593" t="str">
        <f t="shared" si="55"/>
        <v/>
      </c>
      <c r="AD153" s="680"/>
      <c r="AE153" s="593" t="str">
        <f t="shared" si="56"/>
        <v/>
      </c>
    </row>
    <row r="154" spans="1:31" ht="5.0999999999999996" customHeight="1" thickBot="1">
      <c r="B154" s="354"/>
      <c r="C154" s="359"/>
      <c r="D154" s="355"/>
      <c r="E154" s="368"/>
      <c r="F154" s="355"/>
      <c r="G154" s="355"/>
      <c r="H154" s="355"/>
      <c r="I154" s="356"/>
      <c r="J154" s="357"/>
      <c r="K154" s="358"/>
      <c r="L154" s="355"/>
      <c r="M154" s="356"/>
      <c r="N154" s="360"/>
      <c r="O154" s="352" t="str">
        <f>IF(L154="","",IF(AND(L154&gt;=YEAR($M$15), J154="SI",L154&lt;=S148),"CUMPLE","NO CUMPLE"))</f>
        <v/>
      </c>
      <c r="Q154" s="352" t="str">
        <f>IF(N154="","",IF(AND(N154&gt;=YEAR($M$15), L154="SI",N154&lt;=V148),"CUMPLE","NO CUMPLE"))</f>
        <v/>
      </c>
      <c r="R154" s="352" t="str">
        <f>IF(P154="","",IF(AND(P154&gt;=YEAR($M$15), M154="SI",P154&lt;=W148),"CUMPLE","NO CUMPLE"))</f>
        <v/>
      </c>
      <c r="S154" s="352" t="str">
        <f>IF(P154="","",IF(AND(P154&gt;=YEAR($M$15), N154="SI",P154&lt;=X148),"CUMPLE","NO CUMPLE"))</f>
        <v/>
      </c>
      <c r="T154" s="564"/>
      <c r="U154" s="586"/>
      <c r="W154" s="600"/>
      <c r="X154" s="600"/>
      <c r="Y154" s="600"/>
      <c r="Z154" s="605">
        <f>MAX(Z148:Z153)</f>
        <v>0</v>
      </c>
      <c r="AA154" s="600"/>
      <c r="AB154" s="602"/>
      <c r="AC154" s="602"/>
      <c r="AD154" s="602"/>
      <c r="AE154" s="602"/>
    </row>
    <row r="155" spans="1:31" s="52" customFormat="1" ht="17.100000000000001" customHeight="1" thickTop="1" thickBot="1">
      <c r="A155" s="361">
        <f>F142</f>
        <v>8</v>
      </c>
      <c r="B155" s="364"/>
      <c r="C155" s="379"/>
      <c r="D155" s="664"/>
      <c r="E155" s="752"/>
      <c r="F155" s="752"/>
      <c r="G155" s="752"/>
      <c r="H155" s="752"/>
      <c r="I155" s="752"/>
      <c r="J155" s="752"/>
      <c r="K155" s="752"/>
      <c r="L155" s="753"/>
      <c r="M155" s="754"/>
      <c r="N155" s="365">
        <f>SUM(N148:N154)</f>
        <v>652.71</v>
      </c>
      <c r="O155" s="373"/>
      <c r="Q155" s="373" t="str">
        <f>IF(COUNTIF(Q148:Q151,"CUMPLE")&gt;0,"CUMPLE","NO CUMPLE")</f>
        <v>CUMPLE</v>
      </c>
      <c r="R155" s="374" t="str">
        <f>IF(COUNTIF(R148:R151,"COLOMBIA")&gt;0,"CUMPLE","NO CUMPLE")</f>
        <v>CUMPLE</v>
      </c>
      <c r="S155" s="373" t="str">
        <f>IF(COUNTIF(S148:S151,"CUMPLE")&gt;0,"CUMPLE","NO CUMPLE")</f>
        <v>CUMPLE</v>
      </c>
      <c r="T155" s="566"/>
      <c r="U155" s="587"/>
      <c r="AA155" s="589" t="str">
        <f>IF(T145=1,"CUMPLE",IF(COUNTIF(AA148:AA153,"CUMPLE")&gt;0,"CUMPLE","NO CUMPLE"))</f>
        <v>CUMPLE</v>
      </c>
      <c r="AB155" s="735" t="str">
        <f>IF(COUNTIF(AC148:AC153,"CUMPLE")&gt;0,"CUMPLE","NO CUMPLE")</f>
        <v>NO CUMPLE</v>
      </c>
      <c r="AC155" s="736"/>
      <c r="AD155" s="735" t="str">
        <f>IF(COUNTIF(AE148:AE153,"CUMPLE")&gt;0,"CUMPLE","NO CUMPLE")</f>
        <v>NO CUMPLE</v>
      </c>
      <c r="AE155" s="736"/>
    </row>
    <row r="156" spans="1:31" ht="16.5" thickTop="1">
      <c r="B156" s="557"/>
      <c r="C156" s="558"/>
      <c r="D156" s="558"/>
      <c r="E156" s="558"/>
      <c r="F156" s="558"/>
      <c r="G156" s="558"/>
      <c r="H156" s="558"/>
      <c r="I156" s="558"/>
      <c r="J156" s="558"/>
      <c r="K156" s="558"/>
      <c r="L156" s="80"/>
      <c r="M156" s="362" t="s">
        <v>516</v>
      </c>
      <c r="N156" s="369">
        <f ca="1">VFrequerido!Y22</f>
        <v>537.11</v>
      </c>
      <c r="O156" s="568"/>
      <c r="Q156" s="570"/>
      <c r="R156" s="571"/>
      <c r="S156" s="572"/>
      <c r="T156" s="573"/>
      <c r="U156" s="80"/>
    </row>
    <row r="157" spans="1:31" ht="15.75" thickBot="1">
      <c r="A157" s="490" t="str">
        <f>"E"&amp;F142</f>
        <v>E8</v>
      </c>
      <c r="B157" s="559"/>
      <c r="C157" s="560"/>
      <c r="D157" s="560"/>
      <c r="E157" s="560"/>
      <c r="F157" s="560"/>
      <c r="G157" s="560"/>
      <c r="H157" s="560"/>
      <c r="I157" s="560"/>
      <c r="J157" s="560"/>
      <c r="K157" s="560"/>
      <c r="L157" s="363"/>
      <c r="M157" s="755" t="str">
        <f ca="1">IF(OR(N155=0,N155&lt;N156),"NO CUMPLE","CUMPLE")</f>
        <v>CUMPLE</v>
      </c>
      <c r="N157" s="756"/>
      <c r="O157" s="569"/>
      <c r="Q157" s="492"/>
      <c r="R157" s="493"/>
      <c r="S157" s="363"/>
      <c r="T157" s="574"/>
      <c r="U157" s="80"/>
    </row>
    <row r="158" spans="1:31" ht="13.5" thickTop="1"/>
    <row r="160" spans="1:31">
      <c r="F160" s="757">
        <f>F142+1</f>
        <v>9</v>
      </c>
      <c r="G160" s="758" t="str">
        <f>VLOOKUP(F160,PROPO,2,FALSE)</f>
        <v>RENE ARMANDO MARTINEZ DORADO</v>
      </c>
      <c r="H160" s="758"/>
      <c r="I160" s="758"/>
      <c r="J160" s="758"/>
      <c r="K160" s="52"/>
      <c r="O160" s="52"/>
      <c r="Q160" s="52"/>
      <c r="R160" s="52"/>
    </row>
    <row r="161" spans="1:31">
      <c r="B161" s="328"/>
      <c r="C161" s="328"/>
      <c r="D161" s="328"/>
      <c r="E161" s="328"/>
      <c r="F161" s="757"/>
      <c r="G161" s="758"/>
      <c r="H161" s="758"/>
      <c r="I161" s="758"/>
      <c r="J161" s="758"/>
      <c r="K161" s="52"/>
      <c r="N161" s="567"/>
      <c r="O161" s="52"/>
      <c r="Q161" s="52"/>
      <c r="R161" s="52"/>
    </row>
    <row r="162" spans="1:31" ht="13.5" thickBot="1">
      <c r="B162" s="329"/>
      <c r="C162" s="329"/>
      <c r="D162" s="56"/>
      <c r="E162" s="56"/>
      <c r="F162" s="56"/>
      <c r="G162" s="56"/>
      <c r="H162" s="56"/>
      <c r="I162" s="56"/>
      <c r="J162" s="56"/>
      <c r="K162" s="330"/>
      <c r="L162" s="331"/>
      <c r="M162" s="331"/>
      <c r="N162" s="330"/>
      <c r="O162" s="330"/>
      <c r="Q162" s="330"/>
      <c r="R162" s="330"/>
    </row>
    <row r="163" spans="1:31" ht="50.1" customHeight="1" thickTop="1" thickBot="1">
      <c r="B163" s="332" t="s">
        <v>16</v>
      </c>
      <c r="C163" s="744" t="s">
        <v>121</v>
      </c>
      <c r="D163" s="333" t="s">
        <v>17</v>
      </c>
      <c r="E163" s="746" t="s">
        <v>18</v>
      </c>
      <c r="F163" s="747"/>
      <c r="G163" s="748" t="s">
        <v>117</v>
      </c>
      <c r="H163" s="749"/>
      <c r="I163" s="744" t="s">
        <v>39</v>
      </c>
      <c r="J163" s="744" t="s">
        <v>0</v>
      </c>
      <c r="K163" s="665" t="s">
        <v>19</v>
      </c>
      <c r="L163" s="750" t="s">
        <v>20</v>
      </c>
      <c r="M163" s="751"/>
      <c r="N163" s="68" t="s">
        <v>52</v>
      </c>
      <c r="O163" s="501" t="s">
        <v>151</v>
      </c>
      <c r="Q163" s="665" t="s">
        <v>127</v>
      </c>
      <c r="R163" s="665" t="s">
        <v>138</v>
      </c>
      <c r="S163" s="665" t="s">
        <v>163</v>
      </c>
      <c r="T163" s="565">
        <f>IF(VLOOKUP(F160,PROPONENTES!$C$19:$E$54,3,0)="","",VLOOKUP(F160,PROPONENTES!$C$19:$E$54,3,0))</f>
        <v>1</v>
      </c>
      <c r="U163" s="582"/>
      <c r="W163" s="737" t="s">
        <v>167</v>
      </c>
      <c r="X163" s="738"/>
      <c r="Y163" s="738"/>
      <c r="Z163" s="738"/>
      <c r="AA163" s="738"/>
      <c r="AB163" s="738"/>
      <c r="AC163" s="738"/>
      <c r="AD163" s="738"/>
      <c r="AE163" s="739"/>
    </row>
    <row r="164" spans="1:31" ht="50.1" customHeight="1" thickTop="1" thickBot="1">
      <c r="B164" s="334" t="s">
        <v>21</v>
      </c>
      <c r="C164" s="745"/>
      <c r="D164" s="335" t="s">
        <v>22</v>
      </c>
      <c r="E164" s="366" t="s">
        <v>23</v>
      </c>
      <c r="F164" s="336" t="s">
        <v>24</v>
      </c>
      <c r="G164" s="337" t="s">
        <v>118</v>
      </c>
      <c r="H164" s="338" t="s">
        <v>119</v>
      </c>
      <c r="I164" s="745"/>
      <c r="J164" s="745"/>
      <c r="K164" s="663" t="s">
        <v>120</v>
      </c>
      <c r="L164" s="339" t="s">
        <v>150</v>
      </c>
      <c r="M164" s="340" t="s">
        <v>14</v>
      </c>
      <c r="N164" s="341" t="s">
        <v>14</v>
      </c>
      <c r="O164" s="502" t="s">
        <v>152</v>
      </c>
      <c r="Q164" s="663" t="s">
        <v>128</v>
      </c>
      <c r="R164" s="663" t="s">
        <v>139</v>
      </c>
      <c r="S164" s="663" t="s">
        <v>164</v>
      </c>
      <c r="T164" s="575" t="s">
        <v>83</v>
      </c>
      <c r="U164" s="583"/>
      <c r="W164" s="740" t="s">
        <v>166</v>
      </c>
      <c r="X164" s="743"/>
      <c r="Y164" s="663" t="s">
        <v>168</v>
      </c>
      <c r="Z164" s="663" t="s">
        <v>169</v>
      </c>
      <c r="AA164" s="663" t="s">
        <v>174</v>
      </c>
      <c r="AB164" s="740" t="s">
        <v>524</v>
      </c>
      <c r="AC164" s="741"/>
      <c r="AD164" s="742" t="s">
        <v>522</v>
      </c>
      <c r="AE164" s="741"/>
    </row>
    <row r="165" spans="1:31" ht="14.25" hidden="1" customHeight="1">
      <c r="B165" s="342">
        <v>0</v>
      </c>
      <c r="C165" s="347"/>
      <c r="D165" s="343"/>
      <c r="E165" s="367"/>
      <c r="F165" s="344"/>
      <c r="G165" s="345"/>
      <c r="H165" s="346"/>
      <c r="I165" s="347"/>
      <c r="J165" s="347"/>
      <c r="K165" s="347"/>
      <c r="L165" s="348"/>
      <c r="M165" s="349"/>
      <c r="N165" s="350"/>
      <c r="O165" s="347"/>
      <c r="Q165" s="347"/>
      <c r="R165" s="347"/>
      <c r="S165" s="347"/>
      <c r="T165" s="563"/>
      <c r="U165" s="584"/>
      <c r="W165" s="502" t="s">
        <v>166</v>
      </c>
      <c r="X165" s="502"/>
      <c r="Y165" s="502" t="s">
        <v>168</v>
      </c>
      <c r="Z165" s="502" t="s">
        <v>169</v>
      </c>
      <c r="AA165" s="502" t="s">
        <v>170</v>
      </c>
      <c r="AB165" s="661" t="s">
        <v>170</v>
      </c>
      <c r="AC165" s="661" t="s">
        <v>170</v>
      </c>
      <c r="AD165" s="661" t="s">
        <v>170</v>
      </c>
      <c r="AE165" s="661" t="s">
        <v>170</v>
      </c>
    </row>
    <row r="166" spans="1:31" s="353" customFormat="1" ht="22.5" customHeight="1" thickTop="1">
      <c r="A166" s="351"/>
      <c r="B166" s="342">
        <f>IF(D166="","",B165+1)</f>
        <v>1</v>
      </c>
      <c r="C166" s="609">
        <v>79</v>
      </c>
      <c r="D166" s="610" t="s">
        <v>217</v>
      </c>
      <c r="E166" s="611" t="s">
        <v>259</v>
      </c>
      <c r="F166" s="612" t="s">
        <v>260</v>
      </c>
      <c r="G166" s="613" t="s">
        <v>172</v>
      </c>
      <c r="H166" s="614">
        <v>0.4</v>
      </c>
      <c r="I166" s="615" t="s">
        <v>173</v>
      </c>
      <c r="J166" s="616" t="s">
        <v>184</v>
      </c>
      <c r="K166" s="617">
        <v>42094</v>
      </c>
      <c r="L166" s="618">
        <v>782.69</v>
      </c>
      <c r="M166" s="494">
        <f>IF(OR(K166="",L166=""),"",IF(I166="SI",H166*L166,""))</f>
        <v>313.07600000000002</v>
      </c>
      <c r="N166" s="503">
        <f>IF(OR(I166="",M166=""),"",IF(I166="NO",0,IF(I166="SI",ROUND(M166,3),0)))</f>
        <v>313.07600000000002</v>
      </c>
      <c r="O166" s="636"/>
      <c r="Q166" s="352" t="str">
        <f t="shared" ref="Q166:Q171" si="61">IF(K166="","",IF(AND(YEAR(K166)&gt;=YEAR($M$15), I166="SI",K166&lt;=$N$15),"CUMPLE","NO CUMPLE"))</f>
        <v>CUMPLE</v>
      </c>
      <c r="R166" s="636" t="s">
        <v>140</v>
      </c>
      <c r="S166" s="352" t="str">
        <f>IF(T166="","",IF(T166&gt;=20%,"CUMPLE","NO CUMPLE"))</f>
        <v>CUMPLE</v>
      </c>
      <c r="T166" s="656">
        <f t="shared" ref="T166:T171" si="62">IF(R166="","",VLOOKUP(J166,INTEGRAN,2,FALSE))</f>
        <v>1</v>
      </c>
      <c r="U166" s="585"/>
      <c r="W166" s="594">
        <v>1</v>
      </c>
      <c r="X166" s="595" t="str">
        <f>IF(AND(W166&lt;=$T163,$T163&gt;1,$T163&lt;&gt;""),VLOOKUP(VALUE($F160&amp;","&amp;W166),INTEGRANTES!$D$19:$G$106,2,0),"")</f>
        <v/>
      </c>
      <c r="Y166" s="596" t="str">
        <f>IF(X166&lt;&gt;"",VLOOKUP(VALUE($F160&amp;","&amp;$W166),INTEGRANTES!$D$19:$G$106,3,0),"")</f>
        <v/>
      </c>
      <c r="Z166" s="597" t="str">
        <f>IF(X166="","",SUMIF($J166:$J171,$X166,$N166:$N171))</f>
        <v/>
      </c>
      <c r="AA166" s="604" t="str">
        <f>IF($Y166="","",IF(AND($Y166&gt;=20%,$Z166&gt;=$Z172),"CUMPLE","NO CUMPLE"))</f>
        <v/>
      </c>
      <c r="AB166" s="679" t="s">
        <v>527</v>
      </c>
      <c r="AC166" s="592" t="str">
        <f t="shared" ref="AC166:AC171" si="63">IF(X166="","",IF(AND(Y166&gt;=40%,AB166="SI"),"CUMPLE","NO CUMPLE"))</f>
        <v/>
      </c>
      <c r="AD166" s="679" t="s">
        <v>525</v>
      </c>
      <c r="AE166" s="593" t="str">
        <f t="shared" ref="AE166:AE171" si="64">IF(X166="","",IF(AD166="SI","CUMPLE","NO CUMPLE"))</f>
        <v/>
      </c>
    </row>
    <row r="167" spans="1:31" s="353" customFormat="1" ht="22.5" customHeight="1">
      <c r="A167" s="351"/>
      <c r="B167" s="342" t="str">
        <f>IF(D167="","",B166+1)</f>
        <v/>
      </c>
      <c r="C167" s="619"/>
      <c r="D167" s="620"/>
      <c r="E167" s="621"/>
      <c r="F167" s="622"/>
      <c r="G167" s="623"/>
      <c r="H167" s="624"/>
      <c r="I167" s="625"/>
      <c r="J167" s="629"/>
      <c r="K167" s="627"/>
      <c r="L167" s="618"/>
      <c r="M167" s="556" t="str">
        <f>IF(OR(K167="",L167=""),"",IF(I167="SI",H167*L167,""))</f>
        <v/>
      </c>
      <c r="N167" s="504" t="str">
        <f>IF(OR(I167="",M167=""),"",IF(I167="SI",ROUND(M167,3),0))</f>
        <v/>
      </c>
      <c r="O167" s="636"/>
      <c r="Q167" s="352" t="str">
        <f t="shared" si="61"/>
        <v/>
      </c>
      <c r="R167" s="636"/>
      <c r="S167" s="352" t="str">
        <f t="shared" ref="S167:S171" si="65">IF(T167="","",IF(T167&gt;=20%,"CUMPLE","NO CUMPLE"))</f>
        <v/>
      </c>
      <c r="T167" s="656" t="str">
        <f t="shared" si="62"/>
        <v/>
      </c>
      <c r="U167" s="586"/>
      <c r="W167" s="594">
        <v>2</v>
      </c>
      <c r="X167" s="595" t="str">
        <f>IF(AND(W167&lt;=$T163,$T163&gt;1,$T163&lt;&gt;""),VLOOKUP(VALUE($F160&amp;","&amp;W167),INTEGRANTES!$D$19:$G$106,2,0),"")</f>
        <v/>
      </c>
      <c r="Y167" s="596" t="str">
        <f>IF(X167&lt;&gt;"",VLOOKUP(VALUE($F160&amp;","&amp;$W167),INTEGRANTES!$D$19:$G$106,3,0),"")</f>
        <v/>
      </c>
      <c r="Z167" s="597" t="str">
        <f>IF(X167="","",SUMIF($J166:$J171,$X167,$N166:$N171))</f>
        <v/>
      </c>
      <c r="AA167" s="604" t="str">
        <f>IF($Y167="","",IF(AND($Y167&gt;=20%,$Z167&gt;=$Z172),"CUMPLE","NO CUMPLE"))</f>
        <v/>
      </c>
      <c r="AB167" s="680"/>
      <c r="AC167" s="593" t="str">
        <f t="shared" si="63"/>
        <v/>
      </c>
      <c r="AD167" s="680"/>
      <c r="AE167" s="593" t="str">
        <f t="shared" si="64"/>
        <v/>
      </c>
    </row>
    <row r="168" spans="1:31" s="353" customFormat="1" ht="22.5" customHeight="1">
      <c r="A168" s="351"/>
      <c r="B168" s="342" t="str">
        <f t="shared" ref="B168:B171" si="66">IF(D168="","",B167+1)</f>
        <v/>
      </c>
      <c r="C168" s="619"/>
      <c r="D168" s="620"/>
      <c r="E168" s="628"/>
      <c r="F168" s="622"/>
      <c r="G168" s="623"/>
      <c r="H168" s="624"/>
      <c r="I168" s="625"/>
      <c r="J168" s="629"/>
      <c r="K168" s="627"/>
      <c r="L168" s="618"/>
      <c r="M168" s="556" t="str">
        <f t="shared" ref="M168:M171" si="67">IF(OR(K168="",L168=""),"",IF(I168="SI",H168*L168,""))</f>
        <v/>
      </c>
      <c r="N168" s="504" t="str">
        <f>IF(OR(I168="",M168=""),"",IF(I168="SI",ROUND(M168,3),0))</f>
        <v/>
      </c>
      <c r="O168" s="636"/>
      <c r="Q168" s="352" t="str">
        <f t="shared" si="61"/>
        <v/>
      </c>
      <c r="R168" s="636"/>
      <c r="S168" s="352" t="str">
        <f t="shared" si="65"/>
        <v/>
      </c>
      <c r="T168" s="656" t="str">
        <f t="shared" si="62"/>
        <v/>
      </c>
      <c r="U168" s="586"/>
      <c r="W168" s="594">
        <v>3</v>
      </c>
      <c r="X168" s="595" t="str">
        <f>IF(AND(W168&lt;=$T163,$T163&gt;1,$T163&lt;&gt;""),VLOOKUP(VALUE($F160&amp;","&amp;W168),INTEGRANTES!$D$19:$G$106,2,0),"")</f>
        <v/>
      </c>
      <c r="Y168" s="596" t="str">
        <f>IF(X168&lt;&gt;"",VLOOKUP(VALUE($F160&amp;","&amp;$W168),INTEGRANTES!$D$19:$G$106,3,0),"")</f>
        <v/>
      </c>
      <c r="Z168" s="597" t="str">
        <f>IF(X168="","",SUMIF($J166:$J171,$X168,$N166:$N171))</f>
        <v/>
      </c>
      <c r="AA168" s="604" t="str">
        <f>IF($Y168="","",IF(AND($Y168&gt;=20%,$Z168&gt;=$Z172),"CUMPLE","NO CUMPLE"))</f>
        <v/>
      </c>
      <c r="AB168" s="680"/>
      <c r="AC168" s="593" t="str">
        <f t="shared" si="63"/>
        <v/>
      </c>
      <c r="AD168" s="680"/>
      <c r="AE168" s="593" t="str">
        <f t="shared" si="64"/>
        <v/>
      </c>
    </row>
    <row r="169" spans="1:31" s="353" customFormat="1" ht="22.5" customHeight="1">
      <c r="A169" s="351"/>
      <c r="B169" s="342" t="str">
        <f t="shared" si="66"/>
        <v/>
      </c>
      <c r="C169" s="619"/>
      <c r="D169" s="620"/>
      <c r="E169" s="628"/>
      <c r="F169" s="622"/>
      <c r="G169" s="623"/>
      <c r="H169" s="624"/>
      <c r="I169" s="625"/>
      <c r="J169" s="629"/>
      <c r="K169" s="627"/>
      <c r="L169" s="618"/>
      <c r="M169" s="555" t="str">
        <f t="shared" si="67"/>
        <v/>
      </c>
      <c r="N169" s="504" t="str">
        <f>IF(OR(I169="",M169=""),"",IF(I169="SI",ROUND(M169,3),0))</f>
        <v/>
      </c>
      <c r="O169" s="636"/>
      <c r="Q169" s="352" t="str">
        <f t="shared" si="61"/>
        <v/>
      </c>
      <c r="R169" s="636"/>
      <c r="S169" s="352" t="str">
        <f t="shared" si="65"/>
        <v/>
      </c>
      <c r="T169" s="656" t="str">
        <f t="shared" si="62"/>
        <v/>
      </c>
      <c r="U169" s="586"/>
      <c r="W169" s="594">
        <v>4</v>
      </c>
      <c r="X169" s="595" t="str">
        <f>IF(AND(W169&lt;=$T163,$T163&gt;1,$T163&lt;&gt;""),VLOOKUP(VALUE($F160&amp;","&amp;W169),INTEGRANTES!$D$19:$G$106,2,0),"")</f>
        <v/>
      </c>
      <c r="Y169" s="596" t="str">
        <f>IF(X169&lt;&gt;"",VLOOKUP(VALUE($F160&amp;","&amp;$W169),INTEGRANTES!$D$19:$G$106,3,0),"")</f>
        <v/>
      </c>
      <c r="Z169" s="597" t="str">
        <f>IF(X169="","",SUMIF($J166:$J171,$X169,$N166:$N171))</f>
        <v/>
      </c>
      <c r="AA169" s="604" t="str">
        <f>IF($Y169="","",IF(AND($Y169&gt;=20%,$Z169&gt;=$Z172),"CUMPLE","NO CUMPLE"))</f>
        <v/>
      </c>
      <c r="AB169" s="680"/>
      <c r="AC169" s="593" t="str">
        <f t="shared" si="63"/>
        <v/>
      </c>
      <c r="AD169" s="680"/>
      <c r="AE169" s="593" t="str">
        <f t="shared" si="64"/>
        <v/>
      </c>
    </row>
    <row r="170" spans="1:31" s="353" customFormat="1" ht="22.5" customHeight="1">
      <c r="A170" s="351"/>
      <c r="B170" s="342" t="str">
        <f t="shared" si="66"/>
        <v/>
      </c>
      <c r="C170" s="619"/>
      <c r="D170" s="620"/>
      <c r="E170" s="628"/>
      <c r="F170" s="622"/>
      <c r="G170" s="623"/>
      <c r="H170" s="624"/>
      <c r="I170" s="625"/>
      <c r="J170" s="629"/>
      <c r="K170" s="627"/>
      <c r="L170" s="618"/>
      <c r="M170" s="556" t="str">
        <f t="shared" si="67"/>
        <v/>
      </c>
      <c r="N170" s="504" t="str">
        <f>IF(OR(I170="",M170=""),"",IF(I170="SI",ROUND(M170,3),0))</f>
        <v/>
      </c>
      <c r="O170" s="636"/>
      <c r="Q170" s="352" t="str">
        <f t="shared" si="61"/>
        <v/>
      </c>
      <c r="R170" s="636"/>
      <c r="S170" s="352" t="str">
        <f t="shared" si="65"/>
        <v/>
      </c>
      <c r="T170" s="656" t="str">
        <f t="shared" si="62"/>
        <v/>
      </c>
      <c r="U170" s="586"/>
      <c r="W170" s="594">
        <v>5</v>
      </c>
      <c r="X170" s="595" t="str">
        <f>IF(AND(W170&lt;=$T163,$T163&gt;1,$T163&lt;&gt;""),VLOOKUP(VALUE($F160&amp;","&amp;W170),INTEGRANTES!$D$19:$G$106,2,0),"")</f>
        <v/>
      </c>
      <c r="Y170" s="596" t="str">
        <f>IF(X170&lt;&gt;"",VLOOKUP(VALUE($F160&amp;","&amp;$W170),INTEGRANTES!$D$19:$G$106,3,0),"")</f>
        <v/>
      </c>
      <c r="Z170" s="597" t="str">
        <f>IF(X170="","",SUMIF($J166:$J171,$X170,$N166:$N171))</f>
        <v/>
      </c>
      <c r="AA170" s="604" t="str">
        <f>IF($Y170="","",IF(AND($Y170&gt;=20%,$Z170&gt;=$Z172),"CUMPLE","NO CUMPLE"))</f>
        <v/>
      </c>
      <c r="AB170" s="680"/>
      <c r="AC170" s="593" t="str">
        <f t="shared" si="63"/>
        <v/>
      </c>
      <c r="AD170" s="680"/>
      <c r="AE170" s="593" t="str">
        <f t="shared" si="64"/>
        <v/>
      </c>
    </row>
    <row r="171" spans="1:31" s="353" customFormat="1" ht="22.5" customHeight="1">
      <c r="A171" s="351"/>
      <c r="B171" s="342" t="str">
        <f t="shared" si="66"/>
        <v/>
      </c>
      <c r="C171" s="619"/>
      <c r="D171" s="620"/>
      <c r="E171" s="628"/>
      <c r="F171" s="622"/>
      <c r="G171" s="623"/>
      <c r="H171" s="624"/>
      <c r="I171" s="625"/>
      <c r="J171" s="629"/>
      <c r="K171" s="627"/>
      <c r="L171" s="618"/>
      <c r="M171" s="555" t="str">
        <f t="shared" si="67"/>
        <v/>
      </c>
      <c r="N171" s="504" t="str">
        <f>IF(OR(I171="",M171=""),"",IF(I171="SI",ROUND(M171,3),0))</f>
        <v/>
      </c>
      <c r="O171" s="636"/>
      <c r="Q171" s="352" t="str">
        <f t="shared" si="61"/>
        <v/>
      </c>
      <c r="R171" s="636"/>
      <c r="S171" s="352" t="str">
        <f t="shared" si="65"/>
        <v/>
      </c>
      <c r="T171" s="656" t="str">
        <f t="shared" si="62"/>
        <v/>
      </c>
      <c r="U171" s="586"/>
      <c r="W171" s="599">
        <v>6</v>
      </c>
      <c r="X171" s="595" t="str">
        <f>IF(AND(W171&lt;=$T163,$T163&gt;1,$T163&lt;&gt;""),VLOOKUP(VALUE($F160&amp;","&amp;W171),INTEGRANTES!$D$19:$G$106,2,0),"")</f>
        <v/>
      </c>
      <c r="Y171" s="606" t="str">
        <f>IF(X171&lt;&gt;"",VLOOKUP(VALUE($F160&amp;","&amp;$W171),INTEGRANTES!$D$19:$G$106,3,0),"")</f>
        <v/>
      </c>
      <c r="Z171" s="607" t="str">
        <f>IF(X171="","",SUMIF($J166:$J171,$X171,$N166:$N171))</f>
        <v/>
      </c>
      <c r="AA171" s="608" t="str">
        <f>IF($Y171="","",IF(AND($Y171&gt;=20%,$Z171&gt;=$Z172),"CUMPLE","NO CUMPLE"))</f>
        <v/>
      </c>
      <c r="AB171" s="680"/>
      <c r="AC171" s="593" t="str">
        <f t="shared" si="63"/>
        <v/>
      </c>
      <c r="AD171" s="680"/>
      <c r="AE171" s="593" t="str">
        <f t="shared" si="64"/>
        <v/>
      </c>
    </row>
    <row r="172" spans="1:31" ht="5.0999999999999996" customHeight="1" thickBot="1">
      <c r="B172" s="354"/>
      <c r="C172" s="359"/>
      <c r="D172" s="355"/>
      <c r="E172" s="368"/>
      <c r="F172" s="355"/>
      <c r="G172" s="355"/>
      <c r="H172" s="355"/>
      <c r="I172" s="356"/>
      <c r="J172" s="357"/>
      <c r="K172" s="358"/>
      <c r="L172" s="355"/>
      <c r="M172" s="356"/>
      <c r="N172" s="360"/>
      <c r="O172" s="352" t="str">
        <f>IF(L172="","",IF(AND(L172&gt;=YEAR($M$15), J172="SI",L172&lt;=S166),"CUMPLE","NO CUMPLE"))</f>
        <v/>
      </c>
      <c r="Q172" s="352" t="str">
        <f>IF(N172="","",IF(AND(N172&gt;=YEAR($M$15), L172="SI",N172&lt;=V166),"CUMPLE","NO CUMPLE"))</f>
        <v/>
      </c>
      <c r="R172" s="352" t="str">
        <f>IF(P172="","",IF(AND(P172&gt;=YEAR($M$15), M172="SI",P172&lt;=W166),"CUMPLE","NO CUMPLE"))</f>
        <v/>
      </c>
      <c r="S172" s="352" t="str">
        <f>IF(P172="","",IF(AND(P172&gt;=YEAR($M$15), N172="SI",P172&lt;=X166),"CUMPLE","NO CUMPLE"))</f>
        <v/>
      </c>
      <c r="T172" s="564"/>
      <c r="U172" s="586"/>
      <c r="W172" s="600"/>
      <c r="X172" s="600"/>
      <c r="Y172" s="600"/>
      <c r="Z172" s="605">
        <f>MAX(Z166:Z171)</f>
        <v>0</v>
      </c>
      <c r="AA172" s="600"/>
      <c r="AB172" s="602"/>
      <c r="AC172" s="602"/>
      <c r="AD172" s="602"/>
      <c r="AE172" s="602"/>
    </row>
    <row r="173" spans="1:31" s="52" customFormat="1" ht="17.100000000000001" customHeight="1" thickTop="1" thickBot="1">
      <c r="A173" s="361">
        <f>F160</f>
        <v>9</v>
      </c>
      <c r="B173" s="364"/>
      <c r="C173" s="379"/>
      <c r="D173" s="664"/>
      <c r="E173" s="752"/>
      <c r="F173" s="752"/>
      <c r="G173" s="752"/>
      <c r="H173" s="752"/>
      <c r="I173" s="752"/>
      <c r="J173" s="752"/>
      <c r="K173" s="752"/>
      <c r="L173" s="753"/>
      <c r="M173" s="754"/>
      <c r="N173" s="365">
        <f>SUM(N166:N172)</f>
        <v>313.07600000000002</v>
      </c>
      <c r="O173" s="373"/>
      <c r="Q173" s="373" t="str">
        <f>IF(COUNTIF(Q166:Q169,"CUMPLE")&gt;0,"CUMPLE","NO CUMPLE")</f>
        <v>CUMPLE</v>
      </c>
      <c r="R173" s="374" t="str">
        <f>IF(COUNTIF(R166:R169,"COLOMBIA")&gt;0,"CUMPLE","NO CUMPLE")</f>
        <v>CUMPLE</v>
      </c>
      <c r="S173" s="373" t="str">
        <f>IF(COUNTIF(S166:S169,"CUMPLE")&gt;0,"CUMPLE","NO CUMPLE")</f>
        <v>CUMPLE</v>
      </c>
      <c r="T173" s="566"/>
      <c r="U173" s="587"/>
      <c r="AA173" s="589" t="str">
        <f>IF(T163=1,"CUMPLE",IF(COUNTIF(AA166:AA171,"CUMPLE")&gt;0,"CUMPLE","NO CUMPLE"))</f>
        <v>CUMPLE</v>
      </c>
      <c r="AB173" s="735" t="str">
        <f>IF(COUNTIF(AC165:AC171,"CUMPLE")&gt;0,"CUMPLE","NO CUMPLE")</f>
        <v>NO CUMPLE</v>
      </c>
      <c r="AC173" s="736"/>
      <c r="AD173" s="735" t="str">
        <f>IF(COUNTIF(AE166:AE171,"CUMPLE")&gt;0,"CUMPLE","NO CUMPLE")</f>
        <v>NO CUMPLE</v>
      </c>
      <c r="AE173" s="736"/>
    </row>
    <row r="174" spans="1:31" ht="16.5" thickTop="1">
      <c r="B174" s="557"/>
      <c r="C174" s="558"/>
      <c r="D174" s="558"/>
      <c r="E174" s="558"/>
      <c r="F174" s="558"/>
      <c r="G174" s="558"/>
      <c r="H174" s="558"/>
      <c r="I174" s="558"/>
      <c r="J174" s="558"/>
      <c r="K174" s="558"/>
      <c r="L174" s="80"/>
      <c r="M174" s="362" t="s">
        <v>516</v>
      </c>
      <c r="N174" s="369">
        <f ca="1">VFrequerido!Y23</f>
        <v>537.11</v>
      </c>
      <c r="O174" s="568"/>
      <c r="Q174" s="570"/>
      <c r="R174" s="571"/>
      <c r="S174" s="572"/>
      <c r="T174" s="573"/>
      <c r="U174" s="80"/>
    </row>
    <row r="175" spans="1:31" ht="15.75" thickBot="1">
      <c r="A175" s="490" t="str">
        <f>"E"&amp;F160</f>
        <v>E9</v>
      </c>
      <c r="B175" s="559"/>
      <c r="C175" s="560"/>
      <c r="D175" s="560"/>
      <c r="E175" s="560"/>
      <c r="F175" s="560"/>
      <c r="G175" s="560"/>
      <c r="H175" s="560"/>
      <c r="I175" s="560"/>
      <c r="J175" s="560"/>
      <c r="K175" s="560"/>
      <c r="L175" s="363"/>
      <c r="M175" s="755" t="str">
        <f ca="1">IF(OR(N173=0,N173&lt;N174),"NO CUMPLE","CUMPLE")</f>
        <v>NO CUMPLE</v>
      </c>
      <c r="N175" s="756"/>
      <c r="O175" s="569"/>
      <c r="Q175" s="492"/>
      <c r="R175" s="493"/>
      <c r="S175" s="363"/>
      <c r="T175" s="574"/>
      <c r="U175" s="80"/>
    </row>
    <row r="176" spans="1:31" ht="13.5" thickTop="1"/>
    <row r="178" spans="1:31">
      <c r="F178" s="757">
        <f>F160+1</f>
        <v>10</v>
      </c>
      <c r="G178" s="758" t="str">
        <f>VLOOKUP(F178,PROPO,2,FALSE)</f>
        <v>CONSORCIO ADMON BM 100</v>
      </c>
      <c r="H178" s="758"/>
      <c r="I178" s="758"/>
      <c r="J178" s="758"/>
      <c r="K178" s="52"/>
      <c r="O178" s="52"/>
      <c r="Q178" s="52"/>
      <c r="R178" s="52"/>
    </row>
    <row r="179" spans="1:31">
      <c r="B179" s="328"/>
      <c r="C179" s="328"/>
      <c r="D179" s="328"/>
      <c r="E179" s="328"/>
      <c r="F179" s="757"/>
      <c r="G179" s="758"/>
      <c r="H179" s="758"/>
      <c r="I179" s="758"/>
      <c r="J179" s="758"/>
      <c r="K179" s="52"/>
      <c r="N179" s="567"/>
      <c r="O179" s="52"/>
      <c r="Q179" s="52"/>
      <c r="R179" s="52"/>
    </row>
    <row r="180" spans="1:31" ht="13.5" thickBot="1">
      <c r="B180" s="329"/>
      <c r="C180" s="329"/>
      <c r="D180" s="56"/>
      <c r="E180" s="56"/>
      <c r="F180" s="56"/>
      <c r="G180" s="56"/>
      <c r="H180" s="56"/>
      <c r="I180" s="56"/>
      <c r="J180" s="56"/>
      <c r="K180" s="330"/>
      <c r="L180" s="331"/>
      <c r="M180" s="331"/>
      <c r="N180" s="330"/>
      <c r="O180" s="330"/>
      <c r="Q180" s="330"/>
      <c r="R180" s="330"/>
    </row>
    <row r="181" spans="1:31" ht="50.1" customHeight="1" thickTop="1" thickBot="1">
      <c r="B181" s="332" t="s">
        <v>16</v>
      </c>
      <c r="C181" s="744" t="s">
        <v>121</v>
      </c>
      <c r="D181" s="333" t="s">
        <v>17</v>
      </c>
      <c r="E181" s="746" t="s">
        <v>18</v>
      </c>
      <c r="F181" s="747"/>
      <c r="G181" s="748" t="s">
        <v>117</v>
      </c>
      <c r="H181" s="749"/>
      <c r="I181" s="744" t="s">
        <v>39</v>
      </c>
      <c r="J181" s="744" t="s">
        <v>0</v>
      </c>
      <c r="K181" s="665" t="s">
        <v>19</v>
      </c>
      <c r="L181" s="750" t="s">
        <v>20</v>
      </c>
      <c r="M181" s="751"/>
      <c r="N181" s="68" t="s">
        <v>52</v>
      </c>
      <c r="O181" s="501" t="s">
        <v>151</v>
      </c>
      <c r="Q181" s="665" t="s">
        <v>127</v>
      </c>
      <c r="R181" s="665" t="s">
        <v>138</v>
      </c>
      <c r="S181" s="665" t="s">
        <v>163</v>
      </c>
      <c r="T181" s="565">
        <f>IF(VLOOKUP(F178,PROPONENTES!$C$19:$E$54,3,0)="","",VLOOKUP(F178,PROPONENTES!$C$19:$E$54,3,0))</f>
        <v>2</v>
      </c>
      <c r="U181" s="582"/>
      <c r="W181" s="737" t="s">
        <v>167</v>
      </c>
      <c r="X181" s="738"/>
      <c r="Y181" s="738"/>
      <c r="Z181" s="738"/>
      <c r="AA181" s="738"/>
      <c r="AB181" s="738"/>
      <c r="AC181" s="738"/>
      <c r="AD181" s="738"/>
      <c r="AE181" s="739"/>
    </row>
    <row r="182" spans="1:31" ht="50.1" customHeight="1" thickTop="1" thickBot="1">
      <c r="B182" s="334" t="s">
        <v>21</v>
      </c>
      <c r="C182" s="745"/>
      <c r="D182" s="335" t="s">
        <v>22</v>
      </c>
      <c r="E182" s="366" t="s">
        <v>23</v>
      </c>
      <c r="F182" s="336" t="s">
        <v>24</v>
      </c>
      <c r="G182" s="337" t="s">
        <v>118</v>
      </c>
      <c r="H182" s="338" t="s">
        <v>119</v>
      </c>
      <c r="I182" s="745"/>
      <c r="J182" s="745"/>
      <c r="K182" s="663" t="s">
        <v>120</v>
      </c>
      <c r="L182" s="339" t="s">
        <v>150</v>
      </c>
      <c r="M182" s="340" t="s">
        <v>14</v>
      </c>
      <c r="N182" s="341" t="s">
        <v>14</v>
      </c>
      <c r="O182" s="502" t="s">
        <v>152</v>
      </c>
      <c r="Q182" s="663" t="s">
        <v>128</v>
      </c>
      <c r="R182" s="663" t="s">
        <v>139</v>
      </c>
      <c r="S182" s="663" t="s">
        <v>164</v>
      </c>
      <c r="T182" s="575" t="s">
        <v>83</v>
      </c>
      <c r="U182" s="583"/>
      <c r="W182" s="740" t="s">
        <v>166</v>
      </c>
      <c r="X182" s="743"/>
      <c r="Y182" s="663" t="s">
        <v>168</v>
      </c>
      <c r="Z182" s="663" t="s">
        <v>169</v>
      </c>
      <c r="AA182" s="663" t="s">
        <v>174</v>
      </c>
      <c r="AB182" s="740" t="s">
        <v>524</v>
      </c>
      <c r="AC182" s="741"/>
      <c r="AD182" s="742" t="s">
        <v>522</v>
      </c>
      <c r="AE182" s="741"/>
    </row>
    <row r="183" spans="1:31" ht="14.25" hidden="1" customHeight="1">
      <c r="B183" s="342">
        <v>0</v>
      </c>
      <c r="C183" s="347"/>
      <c r="D183" s="343"/>
      <c r="E183" s="367"/>
      <c r="F183" s="344"/>
      <c r="G183" s="345"/>
      <c r="H183" s="346"/>
      <c r="I183" s="347"/>
      <c r="J183" s="347"/>
      <c r="K183" s="347"/>
      <c r="L183" s="348"/>
      <c r="M183" s="349"/>
      <c r="N183" s="350"/>
      <c r="O183" s="347"/>
      <c r="Q183" s="347"/>
      <c r="R183" s="347"/>
      <c r="S183" s="347"/>
      <c r="T183" s="563"/>
      <c r="U183" s="584"/>
      <c r="W183" s="502" t="s">
        <v>166</v>
      </c>
      <c r="X183" s="502"/>
      <c r="Y183" s="502" t="s">
        <v>168</v>
      </c>
      <c r="Z183" s="502" t="s">
        <v>169</v>
      </c>
      <c r="AA183" s="502" t="s">
        <v>170</v>
      </c>
      <c r="AB183" s="661" t="s">
        <v>170</v>
      </c>
      <c r="AC183" s="661" t="s">
        <v>170</v>
      </c>
      <c r="AD183" s="661" t="s">
        <v>170</v>
      </c>
      <c r="AE183" s="661" t="s">
        <v>170</v>
      </c>
    </row>
    <row r="184" spans="1:31" s="353" customFormat="1" ht="54.75" customHeight="1" thickTop="1">
      <c r="A184" s="351"/>
      <c r="B184" s="342">
        <f>IF(D184="","",B183+1)</f>
        <v>1</v>
      </c>
      <c r="C184" s="609">
        <v>28</v>
      </c>
      <c r="D184" s="610" t="s">
        <v>217</v>
      </c>
      <c r="E184" s="611" t="s">
        <v>422</v>
      </c>
      <c r="F184" s="612" t="s">
        <v>424</v>
      </c>
      <c r="G184" s="613" t="s">
        <v>172</v>
      </c>
      <c r="H184" s="614">
        <v>0.1</v>
      </c>
      <c r="I184" s="615" t="s">
        <v>173</v>
      </c>
      <c r="J184" s="616" t="s">
        <v>262</v>
      </c>
      <c r="K184" s="617">
        <v>43389</v>
      </c>
      <c r="L184" s="618">
        <v>2687.86</v>
      </c>
      <c r="M184" s="494">
        <f>IF(OR(K184="",L184=""),"",IF(I184="SI",H184*L184,""))</f>
        <v>268.786</v>
      </c>
      <c r="N184" s="503">
        <f>IF(OR(I184="",M184=""),"",IF(I184="NO",0,IF(I184="SI",ROUND(M184,3),0)))</f>
        <v>268.786</v>
      </c>
      <c r="O184" s="636"/>
      <c r="Q184" s="352" t="str">
        <f t="shared" ref="Q184:Q189" si="68">IF(K184="","",IF(AND(YEAR(K184)&gt;=YEAR($M$15), I184="SI",K184&lt;=$N$15),"CUMPLE","NO CUMPLE"))</f>
        <v>CUMPLE</v>
      </c>
      <c r="R184" s="636" t="s">
        <v>140</v>
      </c>
      <c r="S184" s="352" t="str">
        <f>IF(T184="","",IF(T184&gt;=20%,"CUMPLE","NO CUMPLE"))</f>
        <v>CUMPLE</v>
      </c>
      <c r="T184" s="656">
        <f t="shared" ref="T184:T189" si="69">IF(R184="","",VLOOKUP(J184,INTEGRAN,2,FALSE))</f>
        <v>0.4</v>
      </c>
      <c r="U184" s="585"/>
      <c r="W184" s="594">
        <v>1</v>
      </c>
      <c r="X184" s="595" t="str">
        <f>IF(AND(W184&lt;=$T181,$T181&gt;1,$T181&lt;&gt;""),VLOOKUP(VALUE($F178&amp;","&amp;W184),INTEGRANTES!$D$19:$G$106,2,0),"")</f>
        <v>B&amp;C S.A</v>
      </c>
      <c r="Y184" s="596">
        <f>IF(X184&lt;&gt;"",VLOOKUP(VALUE($F178&amp;","&amp;$W184),INTEGRANTES!$D$19:$G$106,3,0),"")</f>
        <v>0.6</v>
      </c>
      <c r="Z184" s="597">
        <f>IF(X184="","",SUMIF($J184:$J189,$X184,$N184:$N189))</f>
        <v>411.58</v>
      </c>
      <c r="AA184" s="592" t="str">
        <f>IF($Y184="","",IF(AND($Y184&gt;=20%,$Z184&gt;=$Z190),"CUMPLE","NO CUMPLE"))</f>
        <v>CUMPLE</v>
      </c>
      <c r="AB184" s="679" t="s">
        <v>525</v>
      </c>
      <c r="AC184" s="592" t="str">
        <f t="shared" ref="AC184:AC189" si="70">IF(X184="","",IF(AND(Y184&gt;=40%,AB184="SI"),"CUMPLE","NO CUMPLE"))</f>
        <v>CUMPLE</v>
      </c>
      <c r="AD184" s="679" t="s">
        <v>525</v>
      </c>
      <c r="AE184" s="593" t="str">
        <f t="shared" ref="AE184:AE189" si="71">IF(X184="","",IF(AD184="SI","CUMPLE","NO CUMPLE"))</f>
        <v>CUMPLE</v>
      </c>
    </row>
    <row r="185" spans="1:31" s="353" customFormat="1" ht="22.5" customHeight="1">
      <c r="A185" s="351"/>
      <c r="B185" s="342">
        <f>IF(D185="","",B184+1)</f>
        <v>2</v>
      </c>
      <c r="C185" s="619">
        <v>74</v>
      </c>
      <c r="D185" s="610" t="s">
        <v>217</v>
      </c>
      <c r="E185" s="621" t="s">
        <v>423</v>
      </c>
      <c r="F185" s="622" t="s">
        <v>425</v>
      </c>
      <c r="G185" s="623" t="s">
        <v>172</v>
      </c>
      <c r="H185" s="624">
        <v>0.4</v>
      </c>
      <c r="I185" s="625" t="s">
        <v>173</v>
      </c>
      <c r="J185" s="629" t="s">
        <v>261</v>
      </c>
      <c r="K185" s="627">
        <v>42023</v>
      </c>
      <c r="L185" s="618">
        <v>1028.95</v>
      </c>
      <c r="M185" s="556">
        <f>IF(OR(K185="",L185=""),"",IF(I185="SI",H185*L185,""))</f>
        <v>411.58</v>
      </c>
      <c r="N185" s="504">
        <f>IF(OR(I185="",M185=""),"",IF(I185="SI",ROUND(M185,3),0))</f>
        <v>411.58</v>
      </c>
      <c r="O185" s="636"/>
      <c r="Q185" s="352" t="str">
        <f t="shared" si="68"/>
        <v>CUMPLE</v>
      </c>
      <c r="R185" s="636"/>
      <c r="S185" s="352" t="str">
        <f t="shared" ref="S185:S189" si="72">IF(T185="","",IF(T185&gt;=20%,"CUMPLE","NO CUMPLE"))</f>
        <v/>
      </c>
      <c r="T185" s="656" t="str">
        <f t="shared" si="69"/>
        <v/>
      </c>
      <c r="U185" s="586"/>
      <c r="W185" s="594">
        <v>2</v>
      </c>
      <c r="X185" s="595" t="str">
        <f>IF(AND(W185&lt;=$T181,$T181&gt;1,$T181&lt;&gt;""),VLOOKUP(VALUE($F178&amp;","&amp;W185),INTEGRANTES!$D$19:$G$106,2,0),"")</f>
        <v>MSING SAS</v>
      </c>
      <c r="Y185" s="596">
        <f>IF(X185&lt;&gt;"",VLOOKUP(VALUE($F178&amp;","&amp;$W185),INTEGRANTES!$D$19:$G$106,3,0),"")</f>
        <v>0.4</v>
      </c>
      <c r="Z185" s="597">
        <f>IF(X185="","",SUMIF($J184:$J189,$X185,$N184:$N189))</f>
        <v>268.786</v>
      </c>
      <c r="AA185" s="593" t="str">
        <f>IF($Y185="","",IF(AND($Y185&gt;=20%,$Z185&gt;=$Z190),"CUMPLE","NO CUMPLE"))</f>
        <v>NO CUMPLE</v>
      </c>
      <c r="AB185" s="680"/>
      <c r="AC185" s="593" t="str">
        <f t="shared" si="70"/>
        <v>NO CUMPLE</v>
      </c>
      <c r="AD185" s="680"/>
      <c r="AE185" s="593" t="str">
        <f t="shared" si="71"/>
        <v>NO CUMPLE</v>
      </c>
    </row>
    <row r="186" spans="1:31" s="353" customFormat="1" ht="22.5" customHeight="1">
      <c r="A186" s="351"/>
      <c r="B186" s="342" t="str">
        <f t="shared" ref="B186:B189" si="73">IF(D186="","",B185+1)</f>
        <v/>
      </c>
      <c r="C186" s="619"/>
      <c r="D186" s="620"/>
      <c r="E186" s="628"/>
      <c r="F186" s="622"/>
      <c r="G186" s="623"/>
      <c r="H186" s="624"/>
      <c r="I186" s="625"/>
      <c r="J186" s="629"/>
      <c r="K186" s="627"/>
      <c r="L186" s="618"/>
      <c r="M186" s="556" t="str">
        <f t="shared" ref="M186:M189" si="74">IF(OR(K186="",L186=""),"",IF(I186="SI",H186*L186,""))</f>
        <v/>
      </c>
      <c r="N186" s="504" t="str">
        <f>IF(OR(I186="",M186=""),"",IF(I186="SI",ROUND(M186,3),0))</f>
        <v/>
      </c>
      <c r="O186" s="636"/>
      <c r="Q186" s="352" t="str">
        <f t="shared" si="68"/>
        <v/>
      </c>
      <c r="R186" s="636"/>
      <c r="S186" s="352" t="str">
        <f t="shared" si="72"/>
        <v/>
      </c>
      <c r="T186" s="656" t="str">
        <f t="shared" si="69"/>
        <v/>
      </c>
      <c r="U186" s="586"/>
      <c r="W186" s="594">
        <v>3</v>
      </c>
      <c r="X186" s="595" t="str">
        <f>IF(AND(W186&lt;=$T181,$T181&gt;1,$T181&lt;&gt;""),VLOOKUP(VALUE($F178&amp;","&amp;W186),INTEGRANTES!$D$19:$G$106,2,0),"")</f>
        <v/>
      </c>
      <c r="Y186" s="596" t="str">
        <f>IF(X186&lt;&gt;"",VLOOKUP(VALUE($F178&amp;","&amp;$W186),INTEGRANTES!$D$19:$G$106,3,0),"")</f>
        <v/>
      </c>
      <c r="Z186" s="597" t="str">
        <f>IF(X186="","",SUMIF($J184:$J189,$X186,$N184:$N189))</f>
        <v/>
      </c>
      <c r="AA186" s="593" t="str">
        <f>IF($Y186="","",IF(AND($Y186&gt;=20%,$Z186&gt;=$Z190),"CUMPLE","NO CUMPLE"))</f>
        <v/>
      </c>
      <c r="AB186" s="680"/>
      <c r="AC186" s="593" t="str">
        <f t="shared" si="70"/>
        <v/>
      </c>
      <c r="AD186" s="680"/>
      <c r="AE186" s="593" t="str">
        <f t="shared" si="71"/>
        <v/>
      </c>
    </row>
    <row r="187" spans="1:31" s="353" customFormat="1" ht="22.5" customHeight="1">
      <c r="A187" s="351"/>
      <c r="B187" s="342" t="str">
        <f t="shared" si="73"/>
        <v/>
      </c>
      <c r="C187" s="619"/>
      <c r="D187" s="620"/>
      <c r="E187" s="628"/>
      <c r="F187" s="622"/>
      <c r="G187" s="623"/>
      <c r="H187" s="624"/>
      <c r="I187" s="625"/>
      <c r="J187" s="629"/>
      <c r="K187" s="627"/>
      <c r="L187" s="618"/>
      <c r="M187" s="555" t="str">
        <f t="shared" si="74"/>
        <v/>
      </c>
      <c r="N187" s="504" t="str">
        <f>IF(OR(I187="",M187=""),"",IF(I187="SI",ROUND(M187,3),0))</f>
        <v/>
      </c>
      <c r="O187" s="636"/>
      <c r="Q187" s="352" t="str">
        <f t="shared" si="68"/>
        <v/>
      </c>
      <c r="R187" s="636"/>
      <c r="S187" s="352" t="str">
        <f t="shared" si="72"/>
        <v/>
      </c>
      <c r="T187" s="656" t="str">
        <f t="shared" si="69"/>
        <v/>
      </c>
      <c r="U187" s="586"/>
      <c r="W187" s="594">
        <v>4</v>
      </c>
      <c r="X187" s="595" t="str">
        <f>IF(AND(W187&lt;=$T181,$T181&gt;1,$T181&lt;&gt;""),VLOOKUP(VALUE($F178&amp;","&amp;W187),INTEGRANTES!$D$19:$G$106,2,0),"")</f>
        <v/>
      </c>
      <c r="Y187" s="596" t="str">
        <f>IF(X187&lt;&gt;"",VLOOKUP(VALUE($F178&amp;","&amp;$W187),INTEGRANTES!$D$19:$G$106,3,0),"")</f>
        <v/>
      </c>
      <c r="Z187" s="597" t="str">
        <f>IF(X187="","",SUMIF($J184:$J189,$X187,$N184:$N189))</f>
        <v/>
      </c>
      <c r="AA187" s="593" t="str">
        <f>IF($Y187="","",IF(AND($Y187&gt;=20%,$Z187&gt;=$Z190),"CUMPLE","NO CUMPLE"))</f>
        <v/>
      </c>
      <c r="AB187" s="680"/>
      <c r="AC187" s="593" t="str">
        <f t="shared" si="70"/>
        <v/>
      </c>
      <c r="AD187" s="680"/>
      <c r="AE187" s="593" t="str">
        <f t="shared" si="71"/>
        <v/>
      </c>
    </row>
    <row r="188" spans="1:31" s="353" customFormat="1" ht="22.5" customHeight="1">
      <c r="A188" s="351"/>
      <c r="B188" s="342" t="str">
        <f t="shared" si="73"/>
        <v/>
      </c>
      <c r="C188" s="619"/>
      <c r="D188" s="620"/>
      <c r="E188" s="628"/>
      <c r="F188" s="622"/>
      <c r="G188" s="623"/>
      <c r="H188" s="624"/>
      <c r="I188" s="625"/>
      <c r="J188" s="629"/>
      <c r="K188" s="627"/>
      <c r="L188" s="618"/>
      <c r="M188" s="556" t="str">
        <f t="shared" si="74"/>
        <v/>
      </c>
      <c r="N188" s="504" t="str">
        <f>IF(OR(I188="",M188=""),"",IF(I188="SI",ROUND(M188,3),0))</f>
        <v/>
      </c>
      <c r="O188" s="636"/>
      <c r="Q188" s="352" t="str">
        <f t="shared" si="68"/>
        <v/>
      </c>
      <c r="R188" s="636"/>
      <c r="S188" s="352" t="str">
        <f t="shared" si="72"/>
        <v/>
      </c>
      <c r="T188" s="656" t="str">
        <f t="shared" si="69"/>
        <v/>
      </c>
      <c r="U188" s="586"/>
      <c r="W188" s="594">
        <v>5</v>
      </c>
      <c r="X188" s="595" t="str">
        <f>IF(AND(W188&lt;=$T181,$T181&gt;1,$T181&lt;&gt;""),VLOOKUP(VALUE($F178&amp;","&amp;W188),INTEGRANTES!$D$19:$G$106,2,0),"")</f>
        <v/>
      </c>
      <c r="Y188" s="596" t="str">
        <f>IF(X188&lt;&gt;"",VLOOKUP(VALUE($F178&amp;","&amp;$W188),INTEGRANTES!$D$19:$G$106,3,0),"")</f>
        <v/>
      </c>
      <c r="Z188" s="597" t="str">
        <f>IF(X188="","",SUMIF($J184:$J189,$X188,$N184:$N189))</f>
        <v/>
      </c>
      <c r="AA188" s="593" t="str">
        <f t="shared" ref="AA188:AA189" si="75">IF($Y188="","",IF(AND($Y188&gt;=20%,$Z188&gt;=$Z191),"CUMPLE","NO CUMPLE"))</f>
        <v/>
      </c>
      <c r="AB188" s="680"/>
      <c r="AC188" s="593" t="str">
        <f t="shared" si="70"/>
        <v/>
      </c>
      <c r="AD188" s="680"/>
      <c r="AE188" s="593" t="str">
        <f t="shared" si="71"/>
        <v/>
      </c>
    </row>
    <row r="189" spans="1:31" s="353" customFormat="1" ht="22.5" customHeight="1">
      <c r="A189" s="351"/>
      <c r="B189" s="342" t="str">
        <f t="shared" si="73"/>
        <v/>
      </c>
      <c r="C189" s="619"/>
      <c r="D189" s="620"/>
      <c r="E189" s="628"/>
      <c r="F189" s="622"/>
      <c r="G189" s="623"/>
      <c r="H189" s="624"/>
      <c r="I189" s="625"/>
      <c r="J189" s="629"/>
      <c r="K189" s="627"/>
      <c r="L189" s="618"/>
      <c r="M189" s="555" t="str">
        <f t="shared" si="74"/>
        <v/>
      </c>
      <c r="N189" s="504" t="str">
        <f>IF(OR(I189="",M189=""),"",IF(I189="SI",ROUND(M189,3),0))</f>
        <v/>
      </c>
      <c r="O189" s="636"/>
      <c r="Q189" s="352" t="str">
        <f t="shared" si="68"/>
        <v/>
      </c>
      <c r="R189" s="636"/>
      <c r="S189" s="352" t="str">
        <f t="shared" si="72"/>
        <v/>
      </c>
      <c r="T189" s="656" t="str">
        <f t="shared" si="69"/>
        <v/>
      </c>
      <c r="U189" s="586"/>
      <c r="W189" s="599">
        <v>6</v>
      </c>
      <c r="X189" s="595" t="str">
        <f>IF(AND(W189&lt;=$T181,$T181&gt;1,$T181&lt;&gt;""),VLOOKUP(VALUE($F178&amp;","&amp;W189),INTEGRANTES!$D$19:$G$106,2,0),"")</f>
        <v/>
      </c>
      <c r="Y189" s="606" t="str">
        <f>IF(X189&lt;&gt;"",VLOOKUP(VALUE($F178&amp;","&amp;$W189),INTEGRANTES!$D$19:$G$106,3,0),"")</f>
        <v/>
      </c>
      <c r="Z189" s="607" t="str">
        <f>IF(X189="","",SUMIF($J184:$J189,$X189,$N184:$N189))</f>
        <v/>
      </c>
      <c r="AA189" s="593" t="str">
        <f t="shared" si="75"/>
        <v/>
      </c>
      <c r="AB189" s="680"/>
      <c r="AC189" s="593" t="str">
        <f t="shared" si="70"/>
        <v/>
      </c>
      <c r="AD189" s="680"/>
      <c r="AE189" s="593" t="str">
        <f t="shared" si="71"/>
        <v/>
      </c>
    </row>
    <row r="190" spans="1:31" ht="5.0999999999999996" customHeight="1" thickBot="1">
      <c r="B190" s="354"/>
      <c r="C190" s="359"/>
      <c r="D190" s="355"/>
      <c r="E190" s="368"/>
      <c r="F190" s="355"/>
      <c r="G190" s="355"/>
      <c r="H190" s="355"/>
      <c r="I190" s="356"/>
      <c r="J190" s="357"/>
      <c r="K190" s="358"/>
      <c r="L190" s="355"/>
      <c r="M190" s="356"/>
      <c r="N190" s="360"/>
      <c r="O190" s="352" t="str">
        <f>IF(L190="","",IF(AND(L190&gt;=YEAR($M$15), J190="SI",L190&lt;=S184),"CUMPLE","NO CUMPLE"))</f>
        <v/>
      </c>
      <c r="Q190" s="352" t="str">
        <f>IF(N190="","",IF(AND(N190&gt;=YEAR($M$15), L190="SI",N190&lt;=V184),"CUMPLE","NO CUMPLE"))</f>
        <v/>
      </c>
      <c r="R190" s="352" t="str">
        <f>IF(P190="","",IF(AND(P190&gt;=YEAR($M$15), M190="SI",P190&lt;=W184),"CUMPLE","NO CUMPLE"))</f>
        <v/>
      </c>
      <c r="S190" s="352" t="str">
        <f>IF(P190="","",IF(AND(P190&gt;=YEAR($M$15), N190="SI",P190&lt;=X184),"CUMPLE","NO CUMPLE"))</f>
        <v/>
      </c>
      <c r="T190" s="564"/>
      <c r="U190" s="586"/>
      <c r="W190" s="600"/>
      <c r="X190" s="600"/>
      <c r="Y190" s="600"/>
      <c r="Z190" s="605">
        <f>MAX(Z184:Z189)</f>
        <v>411.58</v>
      </c>
      <c r="AA190" s="600"/>
      <c r="AB190" s="602"/>
      <c r="AC190" s="602"/>
      <c r="AD190" s="602"/>
      <c r="AE190" s="602"/>
    </row>
    <row r="191" spans="1:31" s="52" customFormat="1" ht="17.100000000000001" customHeight="1" thickTop="1" thickBot="1">
      <c r="A191" s="361">
        <f>F178</f>
        <v>10</v>
      </c>
      <c r="B191" s="364"/>
      <c r="C191" s="379"/>
      <c r="D191" s="664"/>
      <c r="E191" s="752"/>
      <c r="F191" s="752"/>
      <c r="G191" s="752"/>
      <c r="H191" s="752"/>
      <c r="I191" s="752"/>
      <c r="J191" s="752"/>
      <c r="K191" s="752"/>
      <c r="L191" s="753"/>
      <c r="M191" s="754"/>
      <c r="N191" s="365">
        <f>SUM(N184:N190)</f>
        <v>680.36599999999999</v>
      </c>
      <c r="O191" s="373"/>
      <c r="Q191" s="373" t="str">
        <f>IF(COUNTIF(Q184:Q187,"CUMPLE")&gt;0,"CUMPLE","NO CUMPLE")</f>
        <v>CUMPLE</v>
      </c>
      <c r="R191" s="374" t="str">
        <f>IF(COUNTIF(R184:R187,"COLOMBIA")&gt;0,"CUMPLE","NO CUMPLE")</f>
        <v>CUMPLE</v>
      </c>
      <c r="S191" s="373" t="str">
        <f>IF(COUNTIF(S184:S187,"CUMPLE")&gt;0,"CUMPLE","NO CUMPLE")</f>
        <v>CUMPLE</v>
      </c>
      <c r="T191" s="566"/>
      <c r="U191" s="587"/>
      <c r="AA191" s="589" t="str">
        <f>IF(COUNTIF(AA184:AA189,"CUMPLE")&gt;0,"CUMPLE","NO CUMPLE")</f>
        <v>CUMPLE</v>
      </c>
      <c r="AB191" s="735" t="str">
        <f>IF(COUNTIF(AC184:AC189,"CUMPLE")&gt;0,"CUMPLE","NO CUMPLE")</f>
        <v>CUMPLE</v>
      </c>
      <c r="AC191" s="736"/>
      <c r="AD191" s="735" t="str">
        <f>IF(COUNTIF(AE184:AE189,"CUMPLE")&gt;0,"CUMPLE","NO CUMPLE")</f>
        <v>CUMPLE</v>
      </c>
      <c r="AE191" s="736"/>
    </row>
    <row r="192" spans="1:31" ht="16.5" thickTop="1">
      <c r="B192" s="557"/>
      <c r="C192" s="558"/>
      <c r="D192" s="558"/>
      <c r="E192" s="558"/>
      <c r="F192" s="558"/>
      <c r="G192" s="558"/>
      <c r="H192" s="558"/>
      <c r="I192" s="558"/>
      <c r="J192" s="558"/>
      <c r="K192" s="558"/>
      <c r="L192" s="80"/>
      <c r="M192" s="362" t="s">
        <v>516</v>
      </c>
      <c r="N192" s="369">
        <f ca="1">VFrequerido!Y24</f>
        <v>537.11</v>
      </c>
      <c r="O192" s="568"/>
      <c r="Q192" s="570"/>
      <c r="R192" s="571"/>
      <c r="S192" s="572"/>
      <c r="T192" s="573"/>
      <c r="U192" s="80"/>
    </row>
    <row r="193" spans="1:31" ht="15.75" thickBot="1">
      <c r="A193" s="490" t="str">
        <f>"E"&amp;F178</f>
        <v>E10</v>
      </c>
      <c r="B193" s="559"/>
      <c r="C193" s="560"/>
      <c r="D193" s="560"/>
      <c r="E193" s="560"/>
      <c r="F193" s="560"/>
      <c r="G193" s="560"/>
      <c r="H193" s="560"/>
      <c r="I193" s="560"/>
      <c r="J193" s="560"/>
      <c r="K193" s="560"/>
      <c r="L193" s="363"/>
      <c r="M193" s="755" t="str">
        <f ca="1">IF(OR(N191=0,N191&lt;N192),"NO CUMPLE","CUMPLE")</f>
        <v>CUMPLE</v>
      </c>
      <c r="N193" s="756"/>
      <c r="O193" s="569"/>
      <c r="Q193" s="492"/>
      <c r="R193" s="493"/>
      <c r="S193" s="363"/>
      <c r="T193" s="574"/>
      <c r="U193" s="80"/>
    </row>
    <row r="194" spans="1:31" ht="13.5" thickTop="1"/>
    <row r="196" spans="1:31">
      <c r="F196" s="757">
        <f>F178+1</f>
        <v>11</v>
      </c>
      <c r="G196" s="758" t="str">
        <f>VLOOKUP(F196,PROPO,2,FALSE)</f>
        <v>GNG INGENIERIA S.A.S</v>
      </c>
      <c r="H196" s="758"/>
      <c r="I196" s="758"/>
      <c r="J196" s="758"/>
      <c r="K196" s="52"/>
      <c r="O196" s="52"/>
      <c r="Q196" s="52"/>
      <c r="R196" s="52"/>
    </row>
    <row r="197" spans="1:31">
      <c r="B197" s="328"/>
      <c r="C197" s="328"/>
      <c r="D197" s="328"/>
      <c r="E197" s="328"/>
      <c r="F197" s="757"/>
      <c r="G197" s="758"/>
      <c r="H197" s="758"/>
      <c r="I197" s="758"/>
      <c r="J197" s="758"/>
      <c r="K197" s="52"/>
      <c r="N197" s="567"/>
      <c r="O197" s="52"/>
      <c r="Q197" s="52"/>
      <c r="R197" s="52"/>
    </row>
    <row r="198" spans="1:31" ht="13.5" thickBot="1">
      <c r="B198" s="329"/>
      <c r="C198" s="329"/>
      <c r="D198" s="56"/>
      <c r="E198" s="56"/>
      <c r="F198" s="56"/>
      <c r="G198" s="56"/>
      <c r="H198" s="56"/>
      <c r="I198" s="56"/>
      <c r="J198" s="56"/>
      <c r="K198" s="330"/>
      <c r="L198" s="331"/>
      <c r="M198" s="331"/>
      <c r="N198" s="330"/>
      <c r="O198" s="330"/>
      <c r="Q198" s="330"/>
      <c r="R198" s="330"/>
    </row>
    <row r="199" spans="1:31" ht="50.1" customHeight="1" thickTop="1" thickBot="1">
      <c r="B199" s="332" t="s">
        <v>16</v>
      </c>
      <c r="C199" s="744" t="s">
        <v>121</v>
      </c>
      <c r="D199" s="333" t="s">
        <v>17</v>
      </c>
      <c r="E199" s="746" t="s">
        <v>18</v>
      </c>
      <c r="F199" s="747"/>
      <c r="G199" s="748" t="s">
        <v>117</v>
      </c>
      <c r="H199" s="749"/>
      <c r="I199" s="744" t="s">
        <v>39</v>
      </c>
      <c r="J199" s="744" t="s">
        <v>0</v>
      </c>
      <c r="K199" s="665" t="s">
        <v>19</v>
      </c>
      <c r="L199" s="750" t="s">
        <v>20</v>
      </c>
      <c r="M199" s="751"/>
      <c r="N199" s="68" t="s">
        <v>52</v>
      </c>
      <c r="O199" s="501" t="s">
        <v>151</v>
      </c>
      <c r="Q199" s="665" t="s">
        <v>127</v>
      </c>
      <c r="R199" s="665" t="s">
        <v>138</v>
      </c>
      <c r="S199" s="665" t="s">
        <v>163</v>
      </c>
      <c r="T199" s="565">
        <f>IF(VLOOKUP(F196,PROPONENTES!$C$19:$E$54,3,0)="","",VLOOKUP(F196,PROPONENTES!$C$19:$E$54,3,0))</f>
        <v>1</v>
      </c>
      <c r="U199" s="582"/>
      <c r="W199" s="737" t="s">
        <v>167</v>
      </c>
      <c r="X199" s="738"/>
      <c r="Y199" s="738"/>
      <c r="Z199" s="738"/>
      <c r="AA199" s="738"/>
      <c r="AB199" s="738"/>
      <c r="AC199" s="738"/>
      <c r="AD199" s="738"/>
      <c r="AE199" s="739"/>
    </row>
    <row r="200" spans="1:31" ht="50.1" customHeight="1" thickTop="1" thickBot="1">
      <c r="B200" s="334" t="s">
        <v>21</v>
      </c>
      <c r="C200" s="745"/>
      <c r="D200" s="335" t="s">
        <v>22</v>
      </c>
      <c r="E200" s="366" t="s">
        <v>23</v>
      </c>
      <c r="F200" s="336" t="s">
        <v>24</v>
      </c>
      <c r="G200" s="337" t="s">
        <v>118</v>
      </c>
      <c r="H200" s="338" t="s">
        <v>119</v>
      </c>
      <c r="I200" s="745"/>
      <c r="J200" s="745"/>
      <c r="K200" s="663" t="s">
        <v>120</v>
      </c>
      <c r="L200" s="339" t="s">
        <v>150</v>
      </c>
      <c r="M200" s="340" t="s">
        <v>14</v>
      </c>
      <c r="N200" s="341" t="s">
        <v>14</v>
      </c>
      <c r="O200" s="502" t="s">
        <v>152</v>
      </c>
      <c r="Q200" s="663" t="s">
        <v>128</v>
      </c>
      <c r="R200" s="663" t="s">
        <v>139</v>
      </c>
      <c r="S200" s="663" t="s">
        <v>164</v>
      </c>
      <c r="T200" s="575" t="s">
        <v>83</v>
      </c>
      <c r="U200" s="583"/>
      <c r="W200" s="740" t="s">
        <v>166</v>
      </c>
      <c r="X200" s="743"/>
      <c r="Y200" s="663" t="s">
        <v>168</v>
      </c>
      <c r="Z200" s="663" t="s">
        <v>169</v>
      </c>
      <c r="AA200" s="663" t="s">
        <v>174</v>
      </c>
      <c r="AB200" s="740" t="s">
        <v>524</v>
      </c>
      <c r="AC200" s="741"/>
      <c r="AD200" s="742" t="s">
        <v>522</v>
      </c>
      <c r="AE200" s="741"/>
    </row>
    <row r="201" spans="1:31" ht="14.25" hidden="1" customHeight="1">
      <c r="B201" s="342">
        <v>0</v>
      </c>
      <c r="C201" s="347"/>
      <c r="D201" s="343"/>
      <c r="E201" s="367"/>
      <c r="F201" s="344"/>
      <c r="G201" s="345"/>
      <c r="H201" s="346"/>
      <c r="I201" s="347"/>
      <c r="J201" s="347"/>
      <c r="K201" s="347"/>
      <c r="L201" s="348"/>
      <c r="M201" s="349"/>
      <c r="N201" s="350"/>
      <c r="O201" s="347"/>
      <c r="Q201" s="347"/>
      <c r="R201" s="347"/>
      <c r="S201" s="347"/>
      <c r="T201" s="563"/>
      <c r="U201" s="584"/>
      <c r="W201" s="502" t="s">
        <v>166</v>
      </c>
      <c r="X201" s="502"/>
      <c r="Y201" s="502" t="s">
        <v>168</v>
      </c>
      <c r="Z201" s="502" t="s">
        <v>169</v>
      </c>
      <c r="AA201" s="502" t="s">
        <v>170</v>
      </c>
      <c r="AB201" s="661" t="s">
        <v>170</v>
      </c>
      <c r="AC201" s="661" t="s">
        <v>170</v>
      </c>
      <c r="AD201" s="661" t="s">
        <v>170</v>
      </c>
      <c r="AE201" s="661" t="s">
        <v>170</v>
      </c>
    </row>
    <row r="202" spans="1:31" s="353" customFormat="1" ht="22.5" customHeight="1" thickTop="1">
      <c r="A202" s="351"/>
      <c r="B202" s="342">
        <f>IF(D202="","",B201+1)</f>
        <v>1</v>
      </c>
      <c r="C202" s="609">
        <v>169</v>
      </c>
      <c r="D202" s="610" t="s">
        <v>263</v>
      </c>
      <c r="E202" s="611" t="s">
        <v>264</v>
      </c>
      <c r="F202" s="612" t="s">
        <v>265</v>
      </c>
      <c r="G202" s="613" t="s">
        <v>215</v>
      </c>
      <c r="H202" s="614">
        <v>0.5</v>
      </c>
      <c r="I202" s="615" t="s">
        <v>173</v>
      </c>
      <c r="J202" s="616" t="s">
        <v>186</v>
      </c>
      <c r="K202" s="617">
        <v>39964</v>
      </c>
      <c r="L202" s="618">
        <v>68.400000000000006</v>
      </c>
      <c r="M202" s="494">
        <f>IF(OR(K202="",L202=""),"",IF(I202="SI",H202*L202,""))</f>
        <v>34.200000000000003</v>
      </c>
      <c r="N202" s="503">
        <f>IF(OR(I202="",M202=""),"",IF(I202="NO",0,IF(I202="SI",ROUND(M202,3),0)))</f>
        <v>34.200000000000003</v>
      </c>
      <c r="O202" s="636"/>
      <c r="Q202" s="352" t="str">
        <f t="shared" ref="Q202:Q207" si="76">IF(K202="","",IF(AND(YEAR(K202)&gt;=YEAR($M$15), I202="SI",K202&lt;=$N$15),"CUMPLE","NO CUMPLE"))</f>
        <v>NO CUMPLE</v>
      </c>
      <c r="R202" s="636"/>
      <c r="S202" s="352" t="str">
        <f>IF(T202="","",IF(T202&gt;=20%,"CUMPLE","NO CUMPLE"))</f>
        <v/>
      </c>
      <c r="T202" s="671" t="str">
        <f t="shared" ref="T202:T207" si="77">IF(R202="","",VLOOKUP(J202,INTEGRAN,2,FALSE))</f>
        <v/>
      </c>
      <c r="U202" s="585"/>
      <c r="W202" s="594">
        <v>1</v>
      </c>
      <c r="X202" s="595" t="str">
        <f>IF(AND(W202&lt;=$T199,$T199&gt;1,$T199&lt;&gt;""),VLOOKUP(VALUE($F196&amp;","&amp;W202),INTEGRANTES!$D$19:$G$106,2,0),"")</f>
        <v/>
      </c>
      <c r="Y202" s="596" t="str">
        <f>IF(X202&lt;&gt;"",VLOOKUP(VALUE($F196&amp;","&amp;$W202),INTEGRANTES!$D$19:$G$106,3,0),"")</f>
        <v/>
      </c>
      <c r="Z202" s="597" t="str">
        <f>IF(X202="","",SUMIF($J202:$J207,$X202,$N202:$N207))</f>
        <v/>
      </c>
      <c r="AA202" s="604" t="str">
        <f>IF($Y202="","",IF(AND($Y202&gt;=20%,$Z202&gt;=$Z208),"CUMPLE","NO CUMPLE"))</f>
        <v/>
      </c>
      <c r="AB202" s="681" t="s">
        <v>525</v>
      </c>
      <c r="AC202" s="592" t="str">
        <f t="shared" ref="AC202:AC207" si="78">IF(X202="","",IF(AND(Y202&gt;=40%,AB202="SI"),"CUMPLE","NO CUMPLE"))</f>
        <v/>
      </c>
      <c r="AD202" s="681" t="s">
        <v>525</v>
      </c>
      <c r="AE202" s="593" t="str">
        <f t="shared" ref="AE202:AE207" si="79">IF(X202="","",IF(AD202="SI","CUMPLE","NO CUMPLE"))</f>
        <v/>
      </c>
    </row>
    <row r="203" spans="1:31" s="353" customFormat="1" ht="22.5" customHeight="1">
      <c r="A203" s="351"/>
      <c r="B203" s="342">
        <f>IF(D203="","",B202+1)</f>
        <v>2</v>
      </c>
      <c r="C203" s="619">
        <v>137</v>
      </c>
      <c r="D203" s="620" t="s">
        <v>266</v>
      </c>
      <c r="E203" s="621" t="s">
        <v>267</v>
      </c>
      <c r="F203" s="622" t="s">
        <v>268</v>
      </c>
      <c r="G203" s="623" t="s">
        <v>215</v>
      </c>
      <c r="H203" s="624">
        <v>0.32</v>
      </c>
      <c r="I203" s="625" t="s">
        <v>173</v>
      </c>
      <c r="J203" s="626" t="s">
        <v>186</v>
      </c>
      <c r="K203" s="627">
        <v>41743</v>
      </c>
      <c r="L203" s="618">
        <v>1572.03</v>
      </c>
      <c r="M203" s="556">
        <f>IF(OR(K203="",L203=""),"",IF(I203="SI",H203*L203,""))</f>
        <v>503.0496</v>
      </c>
      <c r="N203" s="504">
        <f>IF(OR(I203="",M203=""),"",IF(I203="SI",ROUND(M203,3),0))</f>
        <v>503.05</v>
      </c>
      <c r="O203" s="636"/>
      <c r="Q203" s="352" t="str">
        <f>IF(K203="","",IF(AND((K203)&gt;=($M$15), I203="SI",K203&lt;=$N$15),"CUMPLE","NO CUMPLE"))</f>
        <v>NO CUMPLE</v>
      </c>
      <c r="R203" s="636" t="s">
        <v>140</v>
      </c>
      <c r="S203" s="352" t="str">
        <f>IF(T203="","",IF(T203&gt;=20%,"CUMPLE","NO CUMPLE"))</f>
        <v>CUMPLE</v>
      </c>
      <c r="T203" s="671">
        <f t="shared" si="77"/>
        <v>1</v>
      </c>
      <c r="U203" s="586"/>
      <c r="W203" s="594">
        <v>2</v>
      </c>
      <c r="X203" s="595" t="str">
        <f>IF(AND(W203&lt;=$T199,$T199&gt;1,$T199&lt;&gt;""),VLOOKUP(VALUE($F196&amp;","&amp;W203),INTEGRANTES!$D$19:$G$106,2,0),"")</f>
        <v/>
      </c>
      <c r="Y203" s="596" t="str">
        <f>IF(X203&lt;&gt;"",VLOOKUP(VALUE($F196&amp;","&amp;$W203),INTEGRANTES!$D$19:$G$106,3,0),"")</f>
        <v/>
      </c>
      <c r="Z203" s="597" t="str">
        <f>IF(X203="","",SUMIF($J202:$J207,$X203,$N202:$N207))</f>
        <v/>
      </c>
      <c r="AA203" s="604" t="str">
        <f>IF($Y203="","",IF(AND($Y203&gt;=20%,$Z203&gt;=$Z208),"CUMPLE","NO CUMPLE"))</f>
        <v/>
      </c>
      <c r="AB203" s="682"/>
      <c r="AC203" s="593" t="str">
        <f t="shared" si="78"/>
        <v/>
      </c>
      <c r="AD203" s="682"/>
      <c r="AE203" s="593" t="str">
        <f t="shared" si="79"/>
        <v/>
      </c>
    </row>
    <row r="204" spans="1:31" s="353" customFormat="1" ht="22.5" customHeight="1">
      <c r="A204" s="351"/>
      <c r="B204" s="342" t="str">
        <f t="shared" ref="B204:B207" si="80">IF(D204="","",B203+1)</f>
        <v/>
      </c>
      <c r="C204" s="619"/>
      <c r="D204" s="620"/>
      <c r="E204" s="628"/>
      <c r="F204" s="622"/>
      <c r="G204" s="623"/>
      <c r="H204" s="624"/>
      <c r="I204" s="625"/>
      <c r="J204" s="629"/>
      <c r="K204" s="627"/>
      <c r="L204" s="618"/>
      <c r="M204" s="556" t="str">
        <f t="shared" ref="M204:M207" si="81">IF(OR(K204="",L204=""),"",IF(I204="SI",H204*L204,""))</f>
        <v/>
      </c>
      <c r="N204" s="504" t="str">
        <f>IF(OR(I204="",M204=""),"",IF(I204="SI",ROUND(M204,3),0))</f>
        <v/>
      </c>
      <c r="O204" s="636"/>
      <c r="Q204" s="352" t="str">
        <f t="shared" si="76"/>
        <v/>
      </c>
      <c r="R204" s="636"/>
      <c r="S204" s="352" t="str">
        <f t="shared" ref="S204:S207" si="82">IF(T204="","",IF(T204&gt;=20%,"CUMPLE","NO CUMPLE"))</f>
        <v/>
      </c>
      <c r="T204" s="671" t="str">
        <f t="shared" si="77"/>
        <v/>
      </c>
      <c r="U204" s="586"/>
      <c r="W204" s="594">
        <v>3</v>
      </c>
      <c r="X204" s="595" t="str">
        <f>IF(AND(W204&lt;=$T199,$T199&gt;1,$T199&lt;&gt;""),VLOOKUP(VALUE($F196&amp;","&amp;W204),INTEGRANTES!$D$19:$G$106,2,0),"")</f>
        <v/>
      </c>
      <c r="Y204" s="596" t="str">
        <f>IF(X204&lt;&gt;"",VLOOKUP(VALUE($F196&amp;","&amp;$W204),INTEGRANTES!$D$19:$G$106,3,0),"")</f>
        <v/>
      </c>
      <c r="Z204" s="597" t="str">
        <f>IF(X204="","",SUMIF($J202:$J207,$X204,$N202:$N207))</f>
        <v/>
      </c>
      <c r="AA204" s="604" t="str">
        <f>IF($Y204="","",IF(AND($Y204&gt;=20%,$Z204&gt;=$Z208),"CUMPLE","NO CUMPLE"))</f>
        <v/>
      </c>
      <c r="AB204" s="682"/>
      <c r="AC204" s="593" t="str">
        <f t="shared" si="78"/>
        <v/>
      </c>
      <c r="AD204" s="682"/>
      <c r="AE204" s="593" t="str">
        <f t="shared" si="79"/>
        <v/>
      </c>
    </row>
    <row r="205" spans="1:31" s="353" customFormat="1" ht="22.5" customHeight="1">
      <c r="A205" s="351"/>
      <c r="B205" s="342" t="str">
        <f t="shared" si="80"/>
        <v/>
      </c>
      <c r="C205" s="619"/>
      <c r="D205" s="620"/>
      <c r="E205" s="628"/>
      <c r="F205" s="622"/>
      <c r="G205" s="623"/>
      <c r="H205" s="624"/>
      <c r="I205" s="625"/>
      <c r="J205" s="629"/>
      <c r="K205" s="627"/>
      <c r="L205" s="618"/>
      <c r="M205" s="555" t="str">
        <f t="shared" si="81"/>
        <v/>
      </c>
      <c r="N205" s="504" t="str">
        <f>IF(OR(I205="",M205=""),"",IF(I205="SI",ROUND(M205,3),0))</f>
        <v/>
      </c>
      <c r="O205" s="636"/>
      <c r="Q205" s="352" t="str">
        <f t="shared" si="76"/>
        <v/>
      </c>
      <c r="R205" s="636"/>
      <c r="S205" s="352" t="str">
        <f t="shared" si="82"/>
        <v/>
      </c>
      <c r="T205" s="671" t="str">
        <f t="shared" si="77"/>
        <v/>
      </c>
      <c r="U205" s="586"/>
      <c r="W205" s="594">
        <v>4</v>
      </c>
      <c r="X205" s="595" t="str">
        <f>IF(AND(W205&lt;=$T199,$T199&gt;1,$T199&lt;&gt;""),VLOOKUP(VALUE($F196&amp;","&amp;W205),INTEGRANTES!$D$19:$G$106,2,0),"")</f>
        <v/>
      </c>
      <c r="Y205" s="596" t="str">
        <f>IF(X205&lt;&gt;"",VLOOKUP(VALUE($F196&amp;","&amp;$W205),INTEGRANTES!$D$19:$G$106,3,0),"")</f>
        <v/>
      </c>
      <c r="Z205" s="597" t="str">
        <f>IF(X205="","",SUMIF($J202:$J207,$X205,$N202:$N207))</f>
        <v/>
      </c>
      <c r="AA205" s="604" t="str">
        <f>IF($Y205="","",IF(AND($Y205&gt;=20%,$Z205&gt;=$Z208),"CUMPLE","NO CUMPLE"))</f>
        <v/>
      </c>
      <c r="AB205" s="682"/>
      <c r="AC205" s="593" t="str">
        <f t="shared" si="78"/>
        <v/>
      </c>
      <c r="AD205" s="682"/>
      <c r="AE205" s="593" t="str">
        <f t="shared" si="79"/>
        <v/>
      </c>
    </row>
    <row r="206" spans="1:31" s="353" customFormat="1" ht="22.5" customHeight="1">
      <c r="A206" s="351"/>
      <c r="B206" s="342" t="str">
        <f t="shared" si="80"/>
        <v/>
      </c>
      <c r="C206" s="619"/>
      <c r="D206" s="620"/>
      <c r="E206" s="628"/>
      <c r="F206" s="622"/>
      <c r="G206" s="623"/>
      <c r="H206" s="624"/>
      <c r="I206" s="625"/>
      <c r="J206" s="629"/>
      <c r="K206" s="627"/>
      <c r="L206" s="618"/>
      <c r="M206" s="556" t="str">
        <f t="shared" si="81"/>
        <v/>
      </c>
      <c r="N206" s="504" t="str">
        <f>IF(OR(I206="",M206=""),"",IF(I206="SI",ROUND(M206,3),0))</f>
        <v/>
      </c>
      <c r="O206" s="636"/>
      <c r="Q206" s="352" t="str">
        <f t="shared" si="76"/>
        <v/>
      </c>
      <c r="R206" s="636"/>
      <c r="S206" s="352" t="str">
        <f t="shared" si="82"/>
        <v/>
      </c>
      <c r="T206" s="671" t="str">
        <f t="shared" si="77"/>
        <v/>
      </c>
      <c r="U206" s="586"/>
      <c r="W206" s="594">
        <v>5</v>
      </c>
      <c r="X206" s="595" t="str">
        <f>IF(AND(W206&lt;=$T199,$T199&gt;1,$T199&lt;&gt;""),VLOOKUP(VALUE($F196&amp;","&amp;W206),INTEGRANTES!$D$19:$G$106,2,0),"")</f>
        <v/>
      </c>
      <c r="Y206" s="596" t="str">
        <f>IF(X206&lt;&gt;"",VLOOKUP(VALUE($F196&amp;","&amp;$W206),INTEGRANTES!$D$19:$G$106,3,0),"")</f>
        <v/>
      </c>
      <c r="Z206" s="597" t="str">
        <f>IF(X206="","",SUMIF($J202:$J207,$X206,$N202:$N207))</f>
        <v/>
      </c>
      <c r="AA206" s="604" t="str">
        <f>IF($Y206="","",IF(AND($Y206&gt;=20%,$Z206&gt;=$Z208),"CUMPLE","NO CUMPLE"))</f>
        <v/>
      </c>
      <c r="AB206" s="682"/>
      <c r="AC206" s="593" t="str">
        <f t="shared" si="78"/>
        <v/>
      </c>
      <c r="AD206" s="682"/>
      <c r="AE206" s="593" t="str">
        <f t="shared" si="79"/>
        <v/>
      </c>
    </row>
    <row r="207" spans="1:31" s="353" customFormat="1" ht="22.5" customHeight="1">
      <c r="A207" s="351"/>
      <c r="B207" s="342" t="str">
        <f t="shared" si="80"/>
        <v/>
      </c>
      <c r="C207" s="619"/>
      <c r="D207" s="620"/>
      <c r="E207" s="628"/>
      <c r="F207" s="622"/>
      <c r="G207" s="623"/>
      <c r="H207" s="624"/>
      <c r="I207" s="625"/>
      <c r="J207" s="629"/>
      <c r="K207" s="627"/>
      <c r="L207" s="618"/>
      <c r="M207" s="555" t="str">
        <f t="shared" si="81"/>
        <v/>
      </c>
      <c r="N207" s="504" t="str">
        <f>IF(OR(I207="",M207=""),"",IF(I207="SI",ROUND(M207,3),0))</f>
        <v/>
      </c>
      <c r="O207" s="636"/>
      <c r="Q207" s="352" t="str">
        <f t="shared" si="76"/>
        <v/>
      </c>
      <c r="R207" s="636"/>
      <c r="S207" s="352" t="str">
        <f t="shared" si="82"/>
        <v/>
      </c>
      <c r="T207" s="671" t="str">
        <f t="shared" si="77"/>
        <v/>
      </c>
      <c r="U207" s="586"/>
      <c r="W207" s="599">
        <v>6</v>
      </c>
      <c r="X207" s="595" t="str">
        <f>IF(AND(W207&lt;=$T199,$T199&gt;1,$T199&lt;&gt;""),VLOOKUP(VALUE($F196&amp;","&amp;W207),INTEGRANTES!$D$19:$G$106,2,0),"")</f>
        <v/>
      </c>
      <c r="Y207" s="606" t="str">
        <f>IF(X207&lt;&gt;"",VLOOKUP(VALUE($F196&amp;","&amp;$W207),INTEGRANTES!$D$19:$G$106,3,0),"")</f>
        <v/>
      </c>
      <c r="Z207" s="607" t="str">
        <f>IF(X207="","",SUMIF($J202:$J207,$X207,$N202:$N207))</f>
        <v/>
      </c>
      <c r="AA207" s="608" t="str">
        <f>IF($Y207="","",IF(AND($Y207&gt;=20%,$Z207&gt;=$Z208),"CUMPLE","NO CUMPLE"))</f>
        <v/>
      </c>
      <c r="AB207" s="682"/>
      <c r="AC207" s="593" t="str">
        <f t="shared" si="78"/>
        <v/>
      </c>
      <c r="AD207" s="682"/>
      <c r="AE207" s="593" t="str">
        <f t="shared" si="79"/>
        <v/>
      </c>
    </row>
    <row r="208" spans="1:31" ht="5.0999999999999996" customHeight="1" thickBot="1">
      <c r="B208" s="354"/>
      <c r="C208" s="359"/>
      <c r="D208" s="355"/>
      <c r="E208" s="368"/>
      <c r="F208" s="355"/>
      <c r="G208" s="355"/>
      <c r="H208" s="355"/>
      <c r="I208" s="356"/>
      <c r="J208" s="357"/>
      <c r="K208" s="358"/>
      <c r="L208" s="355"/>
      <c r="M208" s="356"/>
      <c r="N208" s="360"/>
      <c r="O208" s="352" t="str">
        <f>IF(L208="","",IF(AND(L208&gt;=YEAR($M$15), J208="SI",L208&lt;=S202),"CUMPLE","NO CUMPLE"))</f>
        <v/>
      </c>
      <c r="Q208" s="352" t="str">
        <f>IF(N208="","",IF(AND(N208&gt;=YEAR($M$15), L208="SI",N208&lt;=V202),"CUMPLE","NO CUMPLE"))</f>
        <v/>
      </c>
      <c r="R208" s="352" t="str">
        <f>IF(P208="","",IF(AND(P208&gt;=YEAR($M$15), M208="SI",P208&lt;=W202),"CUMPLE","NO CUMPLE"))</f>
        <v/>
      </c>
      <c r="S208" s="352" t="str">
        <f>IF(P208="","",IF(AND(P208&gt;=YEAR($M$15), N208="SI",P208&lt;=X202),"CUMPLE","NO CUMPLE"))</f>
        <v/>
      </c>
      <c r="T208" s="564"/>
      <c r="U208" s="586"/>
      <c r="W208" s="600"/>
      <c r="X208" s="600"/>
      <c r="Y208" s="600"/>
      <c r="Z208" s="605">
        <f>MAX(Z202:Z207)</f>
        <v>0</v>
      </c>
      <c r="AA208" s="600"/>
      <c r="AB208" s="602"/>
      <c r="AC208" s="602"/>
      <c r="AD208" s="602"/>
      <c r="AE208" s="602"/>
    </row>
    <row r="209" spans="1:31" s="52" customFormat="1" ht="17.100000000000001" customHeight="1" thickTop="1" thickBot="1">
      <c r="A209" s="361">
        <f>F196</f>
        <v>11</v>
      </c>
      <c r="B209" s="364"/>
      <c r="C209" s="379"/>
      <c r="D209" s="664"/>
      <c r="E209" s="752"/>
      <c r="F209" s="752"/>
      <c r="G209" s="752"/>
      <c r="H209" s="752"/>
      <c r="I209" s="752"/>
      <c r="J209" s="752"/>
      <c r="K209" s="752"/>
      <c r="L209" s="753"/>
      <c r="M209" s="754"/>
      <c r="N209" s="365">
        <f>SUM(N202:N208)</f>
        <v>537.25</v>
      </c>
      <c r="O209" s="373"/>
      <c r="Q209" s="373" t="str">
        <f>IF(COUNTIF(Q202:Q205,"CUMPLE")&gt;0,"CUMPLE","NO CUMPLE")</f>
        <v>NO CUMPLE</v>
      </c>
      <c r="R209" s="374" t="str">
        <f>IF(COUNTIF(R202:R205,"COLOMBIA")&gt;0,"CUMPLE","NO CUMPLE")</f>
        <v>CUMPLE</v>
      </c>
      <c r="S209" s="373" t="str">
        <f>IF(COUNTIF(S202:S205,"CUMPLE")&gt;0,"CUMPLE","NO CUMPLE")</f>
        <v>CUMPLE</v>
      </c>
      <c r="T209" s="566"/>
      <c r="U209" s="587"/>
      <c r="AA209" s="589" t="str">
        <f>IF(T199=1,"CUMPLE",IF(COUNTIF(AA202:AA207,"CUMPLE")&gt;0,"CUMPLE","NO CUMPLE"))</f>
        <v>CUMPLE</v>
      </c>
      <c r="AB209" s="735" t="str">
        <f>IF(COUNTIF(AC202:AC207,"CUMPLE")&gt;0,"CUMPLE","NO CUMPLE")</f>
        <v>NO CUMPLE</v>
      </c>
      <c r="AC209" s="736"/>
      <c r="AD209" s="735" t="str">
        <f>IF(COUNTIF(AE202:AE207,"CUMPLE")&gt;0,"CUMPLE","NO CUMPLE")</f>
        <v>NO CUMPLE</v>
      </c>
      <c r="AE209" s="736"/>
    </row>
    <row r="210" spans="1:31" ht="16.5" thickTop="1">
      <c r="B210" s="557"/>
      <c r="C210" s="558"/>
      <c r="D210" s="558"/>
      <c r="E210" s="558"/>
      <c r="F210" s="558"/>
      <c r="G210" s="558"/>
      <c r="H210" s="558"/>
      <c r="I210" s="558"/>
      <c r="J210" s="558"/>
      <c r="K210" s="558"/>
      <c r="L210" s="80"/>
      <c r="M210" s="362" t="s">
        <v>516</v>
      </c>
      <c r="N210" s="369">
        <f ca="1">VFrequerido!Y25</f>
        <v>537.11</v>
      </c>
      <c r="O210" s="568"/>
      <c r="Q210" s="570"/>
      <c r="R210" s="571"/>
      <c r="S210" s="572"/>
      <c r="T210" s="573"/>
      <c r="U210" s="80"/>
    </row>
    <row r="211" spans="1:31" ht="15.75" thickBot="1">
      <c r="A211" s="490" t="str">
        <f>"E"&amp;F196</f>
        <v>E11</v>
      </c>
      <c r="B211" s="559"/>
      <c r="C211" s="560"/>
      <c r="D211" s="560"/>
      <c r="E211" s="560"/>
      <c r="F211" s="560"/>
      <c r="G211" s="560"/>
      <c r="H211" s="560"/>
      <c r="I211" s="560"/>
      <c r="J211" s="560"/>
      <c r="K211" s="560"/>
      <c r="L211" s="363"/>
      <c r="M211" s="755" t="str">
        <f ca="1">IF(OR(N209=0,N209&lt;N210),"NO CUMPLE","CUMPLE")</f>
        <v>CUMPLE</v>
      </c>
      <c r="N211" s="756"/>
      <c r="O211" s="569"/>
      <c r="Q211" s="492"/>
      <c r="R211" s="493"/>
      <c r="S211" s="363"/>
      <c r="T211" s="574"/>
      <c r="U211" s="80"/>
    </row>
    <row r="212" spans="1:31" ht="13.5" thickTop="1"/>
    <row r="214" spans="1:31">
      <c r="F214" s="757">
        <f>F196+1</f>
        <v>12</v>
      </c>
      <c r="G214" s="758" t="str">
        <f>VLOOKUP(F214,PROPO,2,FALSE)</f>
        <v>RAMON IVAN ORDOÑEZ TEJADA</v>
      </c>
      <c r="H214" s="758"/>
      <c r="I214" s="758"/>
      <c r="J214" s="758"/>
      <c r="K214" s="52"/>
      <c r="O214" s="52"/>
      <c r="Q214" s="52"/>
      <c r="R214" s="52"/>
    </row>
    <row r="215" spans="1:31">
      <c r="B215" s="328"/>
      <c r="C215" s="328"/>
      <c r="D215" s="328"/>
      <c r="E215" s="328"/>
      <c r="F215" s="757"/>
      <c r="G215" s="758"/>
      <c r="H215" s="758"/>
      <c r="I215" s="758"/>
      <c r="J215" s="758"/>
      <c r="K215" s="52"/>
      <c r="N215" s="567"/>
      <c r="O215" s="52"/>
      <c r="Q215" s="52"/>
      <c r="R215" s="52"/>
    </row>
    <row r="216" spans="1:31" ht="13.5" thickBot="1">
      <c r="B216" s="329"/>
      <c r="C216" s="329"/>
      <c r="D216" s="56"/>
      <c r="E216" s="56"/>
      <c r="F216" s="56"/>
      <c r="G216" s="56"/>
      <c r="H216" s="56"/>
      <c r="I216" s="56"/>
      <c r="J216" s="56"/>
      <c r="K216" s="330"/>
      <c r="L216" s="331"/>
      <c r="M216" s="331"/>
      <c r="N216" s="330"/>
      <c r="O216" s="330"/>
      <c r="Q216" s="330"/>
      <c r="R216" s="330"/>
    </row>
    <row r="217" spans="1:31" ht="50.1" customHeight="1" thickTop="1" thickBot="1">
      <c r="B217" s="332" t="s">
        <v>16</v>
      </c>
      <c r="C217" s="744" t="s">
        <v>121</v>
      </c>
      <c r="D217" s="333" t="s">
        <v>17</v>
      </c>
      <c r="E217" s="746" t="s">
        <v>18</v>
      </c>
      <c r="F217" s="747"/>
      <c r="G217" s="748" t="s">
        <v>117</v>
      </c>
      <c r="H217" s="749"/>
      <c r="I217" s="744" t="s">
        <v>39</v>
      </c>
      <c r="J217" s="744" t="s">
        <v>0</v>
      </c>
      <c r="K217" s="665" t="s">
        <v>19</v>
      </c>
      <c r="L217" s="750" t="s">
        <v>20</v>
      </c>
      <c r="M217" s="751"/>
      <c r="N217" s="68" t="s">
        <v>52</v>
      </c>
      <c r="O217" s="501" t="s">
        <v>151</v>
      </c>
      <c r="Q217" s="665" t="s">
        <v>127</v>
      </c>
      <c r="R217" s="665" t="s">
        <v>138</v>
      </c>
      <c r="S217" s="665" t="s">
        <v>163</v>
      </c>
      <c r="T217" s="565">
        <f>IF(VLOOKUP(F214,PROPONENTES!$C$19:$E$54,3,0)="","",VLOOKUP(F214,PROPONENTES!$C$19:$E$54,3,0))</f>
        <v>1</v>
      </c>
      <c r="U217" s="582"/>
      <c r="W217" s="737" t="s">
        <v>167</v>
      </c>
      <c r="X217" s="738"/>
      <c r="Y217" s="738"/>
      <c r="Z217" s="738"/>
      <c r="AA217" s="738"/>
      <c r="AB217" s="738"/>
      <c r="AC217" s="738"/>
      <c r="AD217" s="738"/>
      <c r="AE217" s="739"/>
    </row>
    <row r="218" spans="1:31" ht="50.1" customHeight="1" thickTop="1" thickBot="1">
      <c r="B218" s="334" t="s">
        <v>21</v>
      </c>
      <c r="C218" s="745"/>
      <c r="D218" s="335" t="s">
        <v>22</v>
      </c>
      <c r="E218" s="366" t="s">
        <v>23</v>
      </c>
      <c r="F218" s="336" t="s">
        <v>24</v>
      </c>
      <c r="G218" s="337" t="s">
        <v>118</v>
      </c>
      <c r="H218" s="338" t="s">
        <v>119</v>
      </c>
      <c r="I218" s="745"/>
      <c r="J218" s="745"/>
      <c r="K218" s="663" t="s">
        <v>120</v>
      </c>
      <c r="L218" s="339" t="s">
        <v>150</v>
      </c>
      <c r="M218" s="340" t="s">
        <v>14</v>
      </c>
      <c r="N218" s="341" t="s">
        <v>14</v>
      </c>
      <c r="O218" s="502" t="s">
        <v>152</v>
      </c>
      <c r="Q218" s="663" t="s">
        <v>128</v>
      </c>
      <c r="R218" s="663" t="s">
        <v>139</v>
      </c>
      <c r="S218" s="663" t="s">
        <v>164</v>
      </c>
      <c r="T218" s="575" t="s">
        <v>83</v>
      </c>
      <c r="U218" s="583"/>
      <c r="W218" s="740" t="s">
        <v>166</v>
      </c>
      <c r="X218" s="743"/>
      <c r="Y218" s="663" t="s">
        <v>168</v>
      </c>
      <c r="Z218" s="663" t="s">
        <v>169</v>
      </c>
      <c r="AA218" s="663" t="s">
        <v>174</v>
      </c>
      <c r="AB218" s="740" t="s">
        <v>524</v>
      </c>
      <c r="AC218" s="741"/>
      <c r="AD218" s="742" t="s">
        <v>522</v>
      </c>
      <c r="AE218" s="741"/>
    </row>
    <row r="219" spans="1:31" ht="14.25" hidden="1" customHeight="1">
      <c r="B219" s="342">
        <v>0</v>
      </c>
      <c r="C219" s="347"/>
      <c r="D219" s="343"/>
      <c r="E219" s="367"/>
      <c r="F219" s="344"/>
      <c r="G219" s="345"/>
      <c r="H219" s="346"/>
      <c r="I219" s="347"/>
      <c r="J219" s="347"/>
      <c r="K219" s="347"/>
      <c r="L219" s="348"/>
      <c r="M219" s="349"/>
      <c r="N219" s="350"/>
      <c r="O219" s="347"/>
      <c r="Q219" s="347"/>
      <c r="R219" s="347"/>
      <c r="S219" s="347"/>
      <c r="T219" s="563"/>
      <c r="U219" s="584"/>
      <c r="W219" s="502" t="s">
        <v>166</v>
      </c>
      <c r="X219" s="502"/>
      <c r="Y219" s="502" t="s">
        <v>168</v>
      </c>
      <c r="Z219" s="502" t="s">
        <v>169</v>
      </c>
      <c r="AA219" s="502" t="s">
        <v>170</v>
      </c>
      <c r="AB219" s="661" t="s">
        <v>170</v>
      </c>
      <c r="AC219" s="661" t="s">
        <v>170</v>
      </c>
      <c r="AD219" s="661" t="s">
        <v>170</v>
      </c>
      <c r="AE219" s="661" t="s">
        <v>170</v>
      </c>
    </row>
    <row r="220" spans="1:31" s="353" customFormat="1" ht="22.5" customHeight="1" thickTop="1">
      <c r="A220" s="351"/>
      <c r="B220" s="342">
        <f>IF(D220="","",B219+1)</f>
        <v>1</v>
      </c>
      <c r="C220" s="609">
        <v>66</v>
      </c>
      <c r="D220" s="610" t="s">
        <v>248</v>
      </c>
      <c r="E220" s="611" t="s">
        <v>269</v>
      </c>
      <c r="F220" s="612" t="s">
        <v>270</v>
      </c>
      <c r="G220" s="613" t="s">
        <v>172</v>
      </c>
      <c r="H220" s="614">
        <v>0.4</v>
      </c>
      <c r="I220" s="615" t="s">
        <v>173</v>
      </c>
      <c r="J220" s="616" t="s">
        <v>187</v>
      </c>
      <c r="K220" s="617">
        <v>43190</v>
      </c>
      <c r="L220" s="618">
        <v>524.65</v>
      </c>
      <c r="M220" s="494">
        <f>IF(OR(K220="",L220=""),"",IF(I220="SI",H220*L220,""))</f>
        <v>209.86</v>
      </c>
      <c r="N220" s="503">
        <f>IF(OR(I220="",M220=""),"",IF(I220="NO",0,IF(I220="SI",ROUND(M220,3),0)))</f>
        <v>209.86</v>
      </c>
      <c r="O220" s="636"/>
      <c r="Q220" s="352" t="str">
        <f t="shared" ref="Q220:Q225" si="83">IF(K220="","",IF(AND(YEAR(K220)&gt;=YEAR($M$15), I220="SI",K220&lt;=$N$15),"CUMPLE","NO CUMPLE"))</f>
        <v>CUMPLE</v>
      </c>
      <c r="R220" s="636" t="s">
        <v>140</v>
      </c>
      <c r="S220" s="352" t="str">
        <f>IF(T220="","",IF(T220&gt;=20%,"CUMPLE","NO CUMPLE"))</f>
        <v>CUMPLE</v>
      </c>
      <c r="T220" s="671">
        <f>IF(R220="","",VLOOKUP(J220,INTEGRAN,2,FALSE))</f>
        <v>1</v>
      </c>
      <c r="U220" s="585"/>
      <c r="W220" s="594">
        <v>1</v>
      </c>
      <c r="X220" s="595" t="str">
        <f>IF(AND(W220&lt;=$T217,$T217&gt;1,$T217&lt;&gt;""),VLOOKUP(VALUE($F214&amp;","&amp;W220),INTEGRANTES!$D$19:$G$106,2,0),"")</f>
        <v/>
      </c>
      <c r="Y220" s="596" t="str">
        <f>IF(X220&lt;&gt;"",VLOOKUP(VALUE($F214&amp;","&amp;$W220),INTEGRANTES!$D$19:$G$106,3,0),"")</f>
        <v/>
      </c>
      <c r="Z220" s="597" t="str">
        <f>IF(X220="","",SUMIF($J220:$J225,$X220,$N220:$N225))</f>
        <v/>
      </c>
      <c r="AA220" s="604" t="str">
        <f>IF($Y220="","",IF(AND($Y220&gt;=20%,$Z220&gt;=$Z226),"CUMPLE","NO CUMPLE"))</f>
        <v/>
      </c>
      <c r="AB220" s="683"/>
      <c r="AC220" s="592" t="str">
        <f t="shared" ref="AC220:AC225" si="84">IF(X220="","",IF(AND(Y220&gt;=40%,AB220="SI"),"CUMPLE","NO CUMPLE"))</f>
        <v/>
      </c>
      <c r="AD220" s="681"/>
      <c r="AE220" s="593" t="str">
        <f t="shared" ref="AE220:AE225" si="85">IF(X220="","",IF(AD220="SI","CUMPLE","NO CUMPLE"))</f>
        <v/>
      </c>
    </row>
    <row r="221" spans="1:31" s="353" customFormat="1" ht="22.5" customHeight="1">
      <c r="A221" s="351"/>
      <c r="B221" s="342">
        <f>IF(D221="","",B220+1)</f>
        <v>2</v>
      </c>
      <c r="C221" s="619">
        <v>45</v>
      </c>
      <c r="D221" s="620" t="s">
        <v>248</v>
      </c>
      <c r="E221" s="621" t="s">
        <v>271</v>
      </c>
      <c r="F221" s="622" t="s">
        <v>272</v>
      </c>
      <c r="G221" s="623" t="s">
        <v>226</v>
      </c>
      <c r="H221" s="624">
        <v>1</v>
      </c>
      <c r="I221" s="625" t="s">
        <v>173</v>
      </c>
      <c r="J221" s="629" t="s">
        <v>187</v>
      </c>
      <c r="K221" s="627">
        <v>39624</v>
      </c>
      <c r="L221" s="618">
        <v>217.5</v>
      </c>
      <c r="M221" s="556">
        <f>IF(OR(K221="",L221=""),"",IF(I221="SI",H221*L221,""))</f>
        <v>217.5</v>
      </c>
      <c r="N221" s="504">
        <f>IF(OR(I221="",M221=""),"",IF(I221="SI",ROUND(M221,3),0))</f>
        <v>217.5</v>
      </c>
      <c r="O221" s="636"/>
      <c r="Q221" s="352" t="str">
        <f t="shared" si="83"/>
        <v>NO CUMPLE</v>
      </c>
      <c r="R221" s="636" t="s">
        <v>140</v>
      </c>
      <c r="S221" s="352" t="str">
        <f t="shared" ref="S221:S225" si="86">IF(T221="","",IF(T221&gt;=20%,"CUMPLE","NO CUMPLE"))</f>
        <v>CUMPLE</v>
      </c>
      <c r="T221" s="671">
        <f t="shared" ref="T221:T225" si="87">IF(R221="","",VLOOKUP(J221,INTEGRAN,2,FALSE))</f>
        <v>1</v>
      </c>
      <c r="U221" s="586"/>
      <c r="W221" s="594">
        <v>2</v>
      </c>
      <c r="X221" s="595" t="str">
        <f>IF(AND(W221&lt;=$T217,$T217&gt;1,$T217&lt;&gt;""),VLOOKUP(VALUE($F214&amp;","&amp;W221),INTEGRANTES!$D$19:$G$106,2,0),"")</f>
        <v/>
      </c>
      <c r="Y221" s="596" t="str">
        <f>IF(X221&lt;&gt;"",VLOOKUP(VALUE($F214&amp;","&amp;$W221),INTEGRANTES!$D$19:$G$106,3,0),"")</f>
        <v/>
      </c>
      <c r="Z221" s="597" t="str">
        <f>IF(X221="","",SUMIF($J220:$J225,$X221,$N220:$N225))</f>
        <v/>
      </c>
      <c r="AA221" s="604" t="str">
        <f>IF($Y221="","",IF(AND($Y221&gt;=20%,$Z221&gt;=$Z226),"CUMPLE","NO CUMPLE"))</f>
        <v/>
      </c>
      <c r="AB221" s="682"/>
      <c r="AC221" s="593" t="str">
        <f t="shared" si="84"/>
        <v/>
      </c>
      <c r="AD221" s="682"/>
      <c r="AE221" s="593" t="str">
        <f t="shared" si="85"/>
        <v/>
      </c>
    </row>
    <row r="222" spans="1:31" s="353" customFormat="1" ht="22.5" customHeight="1">
      <c r="A222" s="351"/>
      <c r="B222" s="342" t="str">
        <f t="shared" ref="B222:B225" si="88">IF(D222="","",B221+1)</f>
        <v/>
      </c>
      <c r="C222" s="619"/>
      <c r="D222" s="620"/>
      <c r="E222" s="628"/>
      <c r="F222" s="622"/>
      <c r="G222" s="623"/>
      <c r="H222" s="624"/>
      <c r="I222" s="625"/>
      <c r="J222" s="629"/>
      <c r="K222" s="627"/>
      <c r="L222" s="618"/>
      <c r="M222" s="556" t="str">
        <f t="shared" ref="M222:M225" si="89">IF(OR(K222="",L222=""),"",IF(I222="SI",H222*L222,""))</f>
        <v/>
      </c>
      <c r="N222" s="504" t="str">
        <f>IF(OR(I222="",M222=""),"",IF(I222="SI",ROUND(M222,3),0))</f>
        <v/>
      </c>
      <c r="O222" s="636"/>
      <c r="Q222" s="352" t="str">
        <f t="shared" si="83"/>
        <v/>
      </c>
      <c r="R222" s="636"/>
      <c r="S222" s="352" t="str">
        <f t="shared" si="86"/>
        <v/>
      </c>
      <c r="T222" s="671" t="str">
        <f t="shared" si="87"/>
        <v/>
      </c>
      <c r="U222" s="586"/>
      <c r="W222" s="594">
        <v>3</v>
      </c>
      <c r="X222" s="595" t="str">
        <f>IF(AND(W222&lt;=$T217,$T217&gt;1,$T217&lt;&gt;""),VLOOKUP(VALUE($F214&amp;","&amp;W222),INTEGRANTES!$D$19:$G$106,2,0),"")</f>
        <v/>
      </c>
      <c r="Y222" s="596" t="str">
        <f>IF(X222&lt;&gt;"",VLOOKUP(VALUE($F214&amp;","&amp;$W222),INTEGRANTES!$D$19:$G$106,3,0),"")</f>
        <v/>
      </c>
      <c r="Z222" s="597" t="str">
        <f>IF(X222="","",SUMIF($J220:$J225,$X222,$N220:$N225))</f>
        <v/>
      </c>
      <c r="AA222" s="604" t="str">
        <f>IF($Y222="","",IF(AND($Y222&gt;=20%,$Z222&gt;=$Z226),"CUMPLE","NO CUMPLE"))</f>
        <v/>
      </c>
      <c r="AB222" s="682"/>
      <c r="AC222" s="593" t="str">
        <f t="shared" si="84"/>
        <v/>
      </c>
      <c r="AD222" s="682"/>
      <c r="AE222" s="593" t="str">
        <f t="shared" si="85"/>
        <v/>
      </c>
    </row>
    <row r="223" spans="1:31" s="353" customFormat="1" ht="22.5" customHeight="1">
      <c r="A223" s="351"/>
      <c r="B223" s="342" t="str">
        <f t="shared" si="88"/>
        <v/>
      </c>
      <c r="C223" s="619"/>
      <c r="D223" s="620"/>
      <c r="E223" s="628"/>
      <c r="F223" s="622"/>
      <c r="G223" s="623"/>
      <c r="H223" s="624"/>
      <c r="I223" s="625"/>
      <c r="J223" s="629"/>
      <c r="K223" s="627"/>
      <c r="L223" s="618"/>
      <c r="M223" s="555" t="str">
        <f t="shared" si="89"/>
        <v/>
      </c>
      <c r="N223" s="504" t="str">
        <f>IF(OR(I223="",M223=""),"",IF(I223="SI",ROUND(M223,3),0))</f>
        <v/>
      </c>
      <c r="O223" s="636"/>
      <c r="Q223" s="352" t="str">
        <f t="shared" si="83"/>
        <v/>
      </c>
      <c r="R223" s="636"/>
      <c r="S223" s="352" t="str">
        <f t="shared" si="86"/>
        <v/>
      </c>
      <c r="T223" s="671" t="str">
        <f t="shared" si="87"/>
        <v/>
      </c>
      <c r="U223" s="586"/>
      <c r="W223" s="594">
        <v>4</v>
      </c>
      <c r="X223" s="595" t="str">
        <f>IF(AND(W223&lt;=$T217,$T217&gt;1,$T217&lt;&gt;""),VLOOKUP(VALUE($F214&amp;","&amp;W223),INTEGRANTES!$D$19:$G$106,2,0),"")</f>
        <v/>
      </c>
      <c r="Y223" s="596" t="str">
        <f>IF(X223&lt;&gt;"",VLOOKUP(VALUE($F214&amp;","&amp;$W223),INTEGRANTES!$D$19:$G$106,3,0),"")</f>
        <v/>
      </c>
      <c r="Z223" s="597" t="str">
        <f>IF(X223="","",SUMIF($J220:$J225,$X223,$N220:$N225))</f>
        <v/>
      </c>
      <c r="AA223" s="604" t="str">
        <f>IF($Y223="","",IF(AND($Y223&gt;=20%,$Z223&gt;=$Z226),"CUMPLE","NO CUMPLE"))</f>
        <v/>
      </c>
      <c r="AB223" s="682"/>
      <c r="AC223" s="593" t="str">
        <f t="shared" si="84"/>
        <v/>
      </c>
      <c r="AD223" s="682"/>
      <c r="AE223" s="593" t="str">
        <f t="shared" si="85"/>
        <v/>
      </c>
    </row>
    <row r="224" spans="1:31" s="353" customFormat="1" ht="22.5" customHeight="1">
      <c r="A224" s="351"/>
      <c r="B224" s="342" t="str">
        <f t="shared" si="88"/>
        <v/>
      </c>
      <c r="C224" s="619"/>
      <c r="D224" s="620"/>
      <c r="E224" s="628"/>
      <c r="F224" s="622"/>
      <c r="G224" s="623"/>
      <c r="H224" s="624"/>
      <c r="I224" s="625"/>
      <c r="J224" s="629"/>
      <c r="K224" s="627"/>
      <c r="L224" s="618"/>
      <c r="M224" s="556" t="str">
        <f t="shared" si="89"/>
        <v/>
      </c>
      <c r="N224" s="504" t="str">
        <f>IF(OR(I224="",M224=""),"",IF(I224="SI",ROUND(M224,3),0))</f>
        <v/>
      </c>
      <c r="O224" s="636"/>
      <c r="Q224" s="352" t="str">
        <f t="shared" si="83"/>
        <v/>
      </c>
      <c r="R224" s="636"/>
      <c r="S224" s="352" t="str">
        <f t="shared" si="86"/>
        <v/>
      </c>
      <c r="T224" s="671" t="str">
        <f t="shared" si="87"/>
        <v/>
      </c>
      <c r="U224" s="586"/>
      <c r="W224" s="594">
        <v>5</v>
      </c>
      <c r="X224" s="595" t="str">
        <f>IF(AND(W224&lt;=$T217,$T217&gt;1,$T217&lt;&gt;""),VLOOKUP(VALUE($F214&amp;","&amp;W224),INTEGRANTES!$D$19:$G$106,2,0),"")</f>
        <v/>
      </c>
      <c r="Y224" s="596" t="str">
        <f>IF(X224&lt;&gt;"",VLOOKUP(VALUE($F214&amp;","&amp;$W224),INTEGRANTES!$D$19:$G$106,3,0),"")</f>
        <v/>
      </c>
      <c r="Z224" s="597" t="str">
        <f>IF(X224="","",SUMIF($J220:$J225,$X224,$N220:$N225))</f>
        <v/>
      </c>
      <c r="AA224" s="604" t="str">
        <f>IF($Y224="","",IF(AND($Y224&gt;=20%,$Z224&gt;=$Z226),"CUMPLE","NO CUMPLE"))</f>
        <v/>
      </c>
      <c r="AB224" s="682"/>
      <c r="AC224" s="593" t="str">
        <f t="shared" si="84"/>
        <v/>
      </c>
      <c r="AD224" s="682"/>
      <c r="AE224" s="593" t="str">
        <f t="shared" si="85"/>
        <v/>
      </c>
    </row>
    <row r="225" spans="1:31" s="353" customFormat="1" ht="22.5" customHeight="1">
      <c r="A225" s="351"/>
      <c r="B225" s="342" t="str">
        <f t="shared" si="88"/>
        <v/>
      </c>
      <c r="C225" s="619"/>
      <c r="D225" s="620"/>
      <c r="E225" s="628"/>
      <c r="F225" s="622"/>
      <c r="G225" s="623"/>
      <c r="H225" s="624"/>
      <c r="I225" s="625"/>
      <c r="J225" s="629"/>
      <c r="K225" s="627"/>
      <c r="L225" s="618"/>
      <c r="M225" s="555" t="str">
        <f t="shared" si="89"/>
        <v/>
      </c>
      <c r="N225" s="504" t="str">
        <f>IF(OR(I225="",M225=""),"",IF(I225="SI",ROUND(M225,3),0))</f>
        <v/>
      </c>
      <c r="O225" s="636"/>
      <c r="Q225" s="352" t="str">
        <f t="shared" si="83"/>
        <v/>
      </c>
      <c r="R225" s="636"/>
      <c r="S225" s="352" t="str">
        <f t="shared" si="86"/>
        <v/>
      </c>
      <c r="T225" s="671" t="str">
        <f t="shared" si="87"/>
        <v/>
      </c>
      <c r="U225" s="586"/>
      <c r="W225" s="599">
        <v>6</v>
      </c>
      <c r="X225" s="595" t="str">
        <f>IF(AND(W225&lt;=$T217,$T217&gt;1,$T217&lt;&gt;""),VLOOKUP(VALUE($F214&amp;","&amp;W225),INTEGRANTES!$D$19:$G$106,2,0),"")</f>
        <v/>
      </c>
      <c r="Y225" s="606" t="str">
        <f>IF(X225&lt;&gt;"",VLOOKUP(VALUE($F214&amp;","&amp;$W225),INTEGRANTES!$D$19:$G$106,3,0),"")</f>
        <v/>
      </c>
      <c r="Z225" s="607" t="str">
        <f>IF(X225="","",SUMIF($J220:$J225,$X225,$N220:$N225))</f>
        <v/>
      </c>
      <c r="AA225" s="608" t="str">
        <f>IF($Y225="","",IF(AND($Y225&gt;=20%,$Z225&gt;=$Z226),"CUMPLE","NO CUMPLE"))</f>
        <v/>
      </c>
      <c r="AB225" s="682"/>
      <c r="AC225" s="593" t="str">
        <f t="shared" si="84"/>
        <v/>
      </c>
      <c r="AD225" s="682"/>
      <c r="AE225" s="593" t="str">
        <f t="shared" si="85"/>
        <v/>
      </c>
    </row>
    <row r="226" spans="1:31" ht="5.0999999999999996" customHeight="1" thickBot="1">
      <c r="B226" s="354"/>
      <c r="C226" s="359"/>
      <c r="D226" s="355"/>
      <c r="E226" s="368"/>
      <c r="F226" s="355"/>
      <c r="G226" s="355"/>
      <c r="H226" s="355"/>
      <c r="I226" s="356"/>
      <c r="J226" s="357"/>
      <c r="K226" s="358"/>
      <c r="L226" s="355"/>
      <c r="M226" s="356"/>
      <c r="N226" s="360"/>
      <c r="O226" s="352" t="str">
        <f>IF(L226="","",IF(AND(L226&gt;=YEAR($M$15), J226="SI",L226&lt;=S220),"CUMPLE","NO CUMPLE"))</f>
        <v/>
      </c>
      <c r="Q226" s="352" t="str">
        <f>IF(N226="","",IF(AND(N226&gt;=YEAR($M$15), L226="SI",N226&lt;=V220),"CUMPLE","NO CUMPLE"))</f>
        <v/>
      </c>
      <c r="R226" s="352" t="str">
        <f>IF(P226="","",IF(AND(P226&gt;=YEAR($M$15), M226="SI",P226&lt;=W220),"CUMPLE","NO CUMPLE"))</f>
        <v/>
      </c>
      <c r="S226" s="352" t="str">
        <f>IF(P226="","",IF(AND(P226&gt;=YEAR($M$15), N226="SI",P226&lt;=X220),"CUMPLE","NO CUMPLE"))</f>
        <v/>
      </c>
      <c r="T226" s="564"/>
      <c r="U226" s="586"/>
      <c r="W226" s="600"/>
      <c r="X226" s="600"/>
      <c r="Y226" s="600"/>
      <c r="Z226" s="605">
        <f>MAX(Z220:Z225)</f>
        <v>0</v>
      </c>
      <c r="AA226" s="600"/>
      <c r="AB226" s="602"/>
      <c r="AC226" s="602"/>
      <c r="AD226" s="602"/>
      <c r="AE226" s="602"/>
    </row>
    <row r="227" spans="1:31" s="52" customFormat="1" ht="17.100000000000001" customHeight="1" thickTop="1" thickBot="1">
      <c r="A227" s="361">
        <f>F214</f>
        <v>12</v>
      </c>
      <c r="B227" s="364"/>
      <c r="C227" s="379"/>
      <c r="D227" s="664"/>
      <c r="E227" s="752"/>
      <c r="F227" s="752"/>
      <c r="G227" s="752"/>
      <c r="H227" s="752"/>
      <c r="I227" s="752"/>
      <c r="J227" s="752"/>
      <c r="K227" s="752"/>
      <c r="L227" s="753"/>
      <c r="M227" s="754"/>
      <c r="N227" s="365">
        <f>SUM(N220:N226)</f>
        <v>427.36</v>
      </c>
      <c r="O227" s="373"/>
      <c r="Q227" s="373" t="str">
        <f>IF(COUNTIF(Q220:Q223,"CUMPLE")&gt;0,"CUMPLE","NO CUMPLE")</f>
        <v>CUMPLE</v>
      </c>
      <c r="R227" s="374" t="str">
        <f>IF(COUNTIF(R220:R223,"COLOMBIA")&gt;0,"CUMPLE","NO CUMPLE")</f>
        <v>CUMPLE</v>
      </c>
      <c r="S227" s="373" t="str">
        <f>IF(COUNTIF(S220:S223,"CUMPLE")&gt;0,"CUMPLE","NO CUMPLE")</f>
        <v>CUMPLE</v>
      </c>
      <c r="T227" s="566"/>
      <c r="U227" s="587"/>
      <c r="AA227" s="589" t="str">
        <f>IF(T217=1,"CUMPLE",IF(COUNTIF(AA220:AA225,"CUMPLE")&gt;0,"CUMPLE","NO CUMPLE"))</f>
        <v>CUMPLE</v>
      </c>
      <c r="AB227" s="735" t="str">
        <f>IF(COUNTIF(AC220:AC225,"CUMPLE")&gt;0,"CUMPLE","NO CUMPLE")</f>
        <v>NO CUMPLE</v>
      </c>
      <c r="AC227" s="736"/>
      <c r="AD227" s="735" t="str">
        <f>IF(COUNTIF(AE220:AE225,"CUMPLE")&gt;0,"CUMPLE","NO CUMPLE")</f>
        <v>NO CUMPLE</v>
      </c>
      <c r="AE227" s="736"/>
    </row>
    <row r="228" spans="1:31" ht="16.5" thickTop="1">
      <c r="B228" s="557"/>
      <c r="C228" s="558"/>
      <c r="D228" s="558"/>
      <c r="E228" s="558"/>
      <c r="F228" s="558"/>
      <c r="G228" s="558"/>
      <c r="H228" s="558"/>
      <c r="I228" s="558"/>
      <c r="J228" s="558"/>
      <c r="K228" s="558"/>
      <c r="L228" s="80"/>
      <c r="M228" s="362" t="s">
        <v>516</v>
      </c>
      <c r="N228" s="369">
        <f ca="1">VFrequerido!Y26</f>
        <v>342.54</v>
      </c>
      <c r="O228" s="568"/>
      <c r="Q228" s="570"/>
      <c r="R228" s="571"/>
      <c r="S228" s="572"/>
      <c r="T228" s="573"/>
      <c r="U228" s="80"/>
    </row>
    <row r="229" spans="1:31" ht="15.75" thickBot="1">
      <c r="A229" s="490" t="str">
        <f>"E"&amp;F214</f>
        <v>E12</v>
      </c>
      <c r="B229" s="559"/>
      <c r="C229" s="560"/>
      <c r="D229" s="560"/>
      <c r="E229" s="560"/>
      <c r="F229" s="560"/>
      <c r="G229" s="560"/>
      <c r="H229" s="560"/>
      <c r="I229" s="560"/>
      <c r="J229" s="560"/>
      <c r="K229" s="560"/>
      <c r="L229" s="363"/>
      <c r="M229" s="755" t="str">
        <f ca="1">IF(OR(N227=0,N227&lt;N228),"NO CUMPLE","CUMPLE")</f>
        <v>CUMPLE</v>
      </c>
      <c r="N229" s="756"/>
      <c r="O229" s="569"/>
      <c r="Q229" s="492"/>
      <c r="R229" s="493"/>
      <c r="S229" s="363"/>
      <c r="T229" s="574"/>
      <c r="U229" s="80"/>
    </row>
    <row r="230" spans="1:31" ht="13.5" thickTop="1"/>
    <row r="232" spans="1:31">
      <c r="F232" s="757">
        <f>F214+1</f>
        <v>13</v>
      </c>
      <c r="G232" s="758" t="str">
        <f>VLOOKUP(F232,PROPO,2,FALSE)</f>
        <v>CONSORCIO VIAS BICENTENARIO 2.0</v>
      </c>
      <c r="H232" s="758"/>
      <c r="I232" s="758"/>
      <c r="J232" s="758"/>
      <c r="K232" s="52"/>
      <c r="O232" s="52"/>
      <c r="Q232" s="52"/>
      <c r="R232" s="52"/>
    </row>
    <row r="233" spans="1:31">
      <c r="B233" s="328"/>
      <c r="C233" s="328"/>
      <c r="D233" s="328"/>
      <c r="E233" s="328"/>
      <c r="F233" s="757"/>
      <c r="G233" s="758"/>
      <c r="H233" s="758"/>
      <c r="I233" s="758"/>
      <c r="J233" s="758"/>
      <c r="K233" s="52"/>
      <c r="N233" s="567"/>
      <c r="O233" s="52"/>
      <c r="Q233" s="52"/>
      <c r="R233" s="52"/>
    </row>
    <row r="234" spans="1:31" ht="13.5" thickBot="1">
      <c r="B234" s="329"/>
      <c r="C234" s="329"/>
      <c r="D234" s="56"/>
      <c r="E234" s="56"/>
      <c r="F234" s="56"/>
      <c r="G234" s="56"/>
      <c r="H234" s="56"/>
      <c r="I234" s="56"/>
      <c r="J234" s="56"/>
      <c r="K234" s="330"/>
      <c r="L234" s="331"/>
      <c r="M234" s="331"/>
      <c r="N234" s="330"/>
      <c r="O234" s="330"/>
      <c r="Q234" s="330"/>
      <c r="R234" s="330"/>
    </row>
    <row r="235" spans="1:31" ht="50.1" customHeight="1" thickTop="1" thickBot="1">
      <c r="B235" s="332" t="s">
        <v>16</v>
      </c>
      <c r="C235" s="744" t="s">
        <v>121</v>
      </c>
      <c r="D235" s="333" t="s">
        <v>17</v>
      </c>
      <c r="E235" s="746" t="s">
        <v>18</v>
      </c>
      <c r="F235" s="747"/>
      <c r="G235" s="748" t="s">
        <v>117</v>
      </c>
      <c r="H235" s="749"/>
      <c r="I235" s="744" t="s">
        <v>39</v>
      </c>
      <c r="J235" s="744" t="s">
        <v>0</v>
      </c>
      <c r="K235" s="665" t="s">
        <v>19</v>
      </c>
      <c r="L235" s="750" t="s">
        <v>20</v>
      </c>
      <c r="M235" s="751"/>
      <c r="N235" s="68" t="s">
        <v>52</v>
      </c>
      <c r="O235" s="501" t="s">
        <v>151</v>
      </c>
      <c r="Q235" s="665" t="s">
        <v>127</v>
      </c>
      <c r="R235" s="665" t="s">
        <v>138</v>
      </c>
      <c r="S235" s="665" t="s">
        <v>163</v>
      </c>
      <c r="T235" s="565">
        <f>IF(VLOOKUP(F232,PROPONENTES!$C$19:$E$54,3,0)="","",VLOOKUP(F232,PROPONENTES!$C$19:$E$54,3,0))</f>
        <v>2</v>
      </c>
      <c r="U235" s="582"/>
      <c r="W235" s="737" t="s">
        <v>167</v>
      </c>
      <c r="X235" s="738"/>
      <c r="Y235" s="738"/>
      <c r="Z235" s="738"/>
      <c r="AA235" s="738"/>
      <c r="AB235" s="738"/>
      <c r="AC235" s="738"/>
      <c r="AD235" s="738"/>
      <c r="AE235" s="739"/>
    </row>
    <row r="236" spans="1:31" ht="50.1" customHeight="1" thickTop="1" thickBot="1">
      <c r="B236" s="334" t="s">
        <v>21</v>
      </c>
      <c r="C236" s="745"/>
      <c r="D236" s="335" t="s">
        <v>22</v>
      </c>
      <c r="E236" s="366" t="s">
        <v>23</v>
      </c>
      <c r="F236" s="336" t="s">
        <v>24</v>
      </c>
      <c r="G236" s="337" t="s">
        <v>118</v>
      </c>
      <c r="H236" s="338" t="s">
        <v>119</v>
      </c>
      <c r="I236" s="745"/>
      <c r="J236" s="745"/>
      <c r="K236" s="663" t="s">
        <v>120</v>
      </c>
      <c r="L236" s="339" t="s">
        <v>150</v>
      </c>
      <c r="M236" s="340" t="s">
        <v>14</v>
      </c>
      <c r="N236" s="341" t="s">
        <v>14</v>
      </c>
      <c r="O236" s="502" t="s">
        <v>152</v>
      </c>
      <c r="Q236" s="663" t="s">
        <v>128</v>
      </c>
      <c r="R236" s="663" t="s">
        <v>139</v>
      </c>
      <c r="S236" s="663" t="s">
        <v>164</v>
      </c>
      <c r="T236" s="575" t="s">
        <v>83</v>
      </c>
      <c r="U236" s="583"/>
      <c r="W236" s="740" t="s">
        <v>166</v>
      </c>
      <c r="X236" s="743"/>
      <c r="Y236" s="663" t="s">
        <v>168</v>
      </c>
      <c r="Z236" s="663" t="s">
        <v>169</v>
      </c>
      <c r="AA236" s="663" t="s">
        <v>174</v>
      </c>
      <c r="AB236" s="740" t="s">
        <v>524</v>
      </c>
      <c r="AC236" s="741"/>
      <c r="AD236" s="742" t="s">
        <v>522</v>
      </c>
      <c r="AE236" s="741"/>
    </row>
    <row r="237" spans="1:31" ht="14.25" hidden="1" customHeight="1">
      <c r="B237" s="342">
        <v>0</v>
      </c>
      <c r="C237" s="347"/>
      <c r="D237" s="343"/>
      <c r="E237" s="367"/>
      <c r="F237" s="344"/>
      <c r="G237" s="345"/>
      <c r="H237" s="346"/>
      <c r="I237" s="347"/>
      <c r="J237" s="347"/>
      <c r="K237" s="347"/>
      <c r="L237" s="348"/>
      <c r="M237" s="349"/>
      <c r="N237" s="350"/>
      <c r="O237" s="347"/>
      <c r="Q237" s="347"/>
      <c r="R237" s="347"/>
      <c r="S237" s="347"/>
      <c r="T237" s="563"/>
      <c r="U237" s="584"/>
      <c r="W237" s="502" t="s">
        <v>166</v>
      </c>
      <c r="X237" s="502"/>
      <c r="Y237" s="502" t="s">
        <v>168</v>
      </c>
      <c r="Z237" s="502" t="s">
        <v>169</v>
      </c>
      <c r="AA237" s="502" t="s">
        <v>170</v>
      </c>
      <c r="AB237" s="661" t="s">
        <v>170</v>
      </c>
      <c r="AC237" s="661" t="s">
        <v>170</v>
      </c>
      <c r="AD237" s="661" t="s">
        <v>170</v>
      </c>
      <c r="AE237" s="661" t="s">
        <v>170</v>
      </c>
    </row>
    <row r="238" spans="1:31" s="353" customFormat="1" ht="60.75" customHeight="1" thickTop="1">
      <c r="A238" s="351"/>
      <c r="B238" s="342">
        <f>IF(D238="","",B237+1)</f>
        <v>1</v>
      </c>
      <c r="C238" s="609">
        <v>8</v>
      </c>
      <c r="D238" s="610" t="s">
        <v>217</v>
      </c>
      <c r="E238" s="611" t="s">
        <v>427</v>
      </c>
      <c r="F238" s="612" t="s">
        <v>431</v>
      </c>
      <c r="G238" s="613" t="s">
        <v>226</v>
      </c>
      <c r="H238" s="614">
        <v>1</v>
      </c>
      <c r="I238" s="615" t="s">
        <v>173</v>
      </c>
      <c r="J238" s="616" t="s">
        <v>274</v>
      </c>
      <c r="K238" s="617">
        <v>38610</v>
      </c>
      <c r="L238" s="618">
        <v>83.9</v>
      </c>
      <c r="M238" s="494">
        <f>IF(OR(K238="",L238=""),"",IF(I238="SI",H238*L238,""))</f>
        <v>83.9</v>
      </c>
      <c r="N238" s="503">
        <f>IF(OR(I238="",M238=""),"",IF(I238="NO",0,IF(I238="SI",ROUND(M238,3),0)))</f>
        <v>83.9</v>
      </c>
      <c r="O238" s="636"/>
      <c r="Q238" s="352" t="str">
        <f t="shared" ref="Q238:Q243" si="90">IF(K238="","",IF(AND(YEAR(K238)&gt;=YEAR($M$15), I238="SI",K238&lt;=$N$15),"CUMPLE","NO CUMPLE"))</f>
        <v>NO CUMPLE</v>
      </c>
      <c r="R238" s="636" t="s">
        <v>140</v>
      </c>
      <c r="S238" s="352" t="str">
        <f>IF(T238="","",IF(T238&gt;=20%,"CUMPLE","NO CUMPLE"))</f>
        <v>CUMPLE</v>
      </c>
      <c r="T238" s="656">
        <f t="shared" ref="T238:T243" si="91">IF(R238="","",VLOOKUP(J238,INTEGRAN,2,FALSE))</f>
        <v>0.4</v>
      </c>
      <c r="U238" s="585"/>
      <c r="W238" s="594">
        <v>1</v>
      </c>
      <c r="X238" s="595" t="str">
        <f>IF(AND(W238&lt;=$T235,$T235&gt;1,$T235&lt;&gt;""),VLOOKUP(VALUE($F232&amp;","&amp;W238),INTEGRANTES!$D$19:$G$106,2,0),"")</f>
        <v>ASDRUBAL DE JESUS GOMEZ ESPINDOLA</v>
      </c>
      <c r="Y238" s="596">
        <f>IF(X238&lt;&gt;"",VLOOKUP(VALUE($F232&amp;","&amp;$W238),INTEGRANTES!$D$19:$G$106,3,0),"")</f>
        <v>0.6</v>
      </c>
      <c r="Z238" s="597">
        <f>IF(X238="","",SUMIF($J238:$J243,$X238,$N238:$N243))</f>
        <v>0</v>
      </c>
      <c r="AA238" s="604" t="str">
        <f>IF($Y238="","",IF(AND($Y238&gt;=20%,$Z238&gt;=$Z244),"CUMPLE","NO CUMPLE"))</f>
        <v>NO CUMPLE</v>
      </c>
      <c r="AB238" s="681"/>
      <c r="AC238" s="592" t="str">
        <f t="shared" ref="AC238:AC243" si="92">IF(X238="","",IF(AND(Y238&gt;=40%,AB238="SI"),"CUMPLE","NO CUMPLE"))</f>
        <v>NO CUMPLE</v>
      </c>
      <c r="AD238" s="681"/>
      <c r="AE238" s="593" t="str">
        <f t="shared" ref="AE238:AE243" si="93">IF(X238="","",IF(AD238="SI","CUMPLE","NO CUMPLE"))</f>
        <v>NO CUMPLE</v>
      </c>
    </row>
    <row r="239" spans="1:31" s="353" customFormat="1" ht="22.5" customHeight="1">
      <c r="A239" s="351"/>
      <c r="B239" s="342">
        <f>IF(D239="","",B238+1)</f>
        <v>2</v>
      </c>
      <c r="C239" s="619">
        <v>11</v>
      </c>
      <c r="D239" s="610" t="s">
        <v>217</v>
      </c>
      <c r="E239" s="621" t="s">
        <v>428</v>
      </c>
      <c r="F239" s="622" t="s">
        <v>432</v>
      </c>
      <c r="G239" s="623" t="s">
        <v>172</v>
      </c>
      <c r="H239" s="624">
        <v>0.5</v>
      </c>
      <c r="I239" s="625" t="s">
        <v>173</v>
      </c>
      <c r="J239" s="616" t="s">
        <v>274</v>
      </c>
      <c r="K239" s="627">
        <v>42106</v>
      </c>
      <c r="L239" s="618">
        <v>132.4</v>
      </c>
      <c r="M239" s="556">
        <f>IF(OR(K239="",L239=""),"",IF(I239="SI",H239*L239,""))</f>
        <v>66.2</v>
      </c>
      <c r="N239" s="504">
        <f>IF(OR(I239="",M239=""),"",IF(I239="SI",ROUND(M239,3),0))</f>
        <v>66.2</v>
      </c>
      <c r="O239" s="636"/>
      <c r="Q239" s="352" t="str">
        <f t="shared" si="90"/>
        <v>CUMPLE</v>
      </c>
      <c r="R239" s="636" t="s">
        <v>140</v>
      </c>
      <c r="S239" s="352" t="str">
        <f t="shared" ref="S239:S243" si="94">IF(T239="","",IF(T239&gt;=20%,"CUMPLE","NO CUMPLE"))</f>
        <v>CUMPLE</v>
      </c>
      <c r="T239" s="656">
        <f t="shared" si="91"/>
        <v>0.4</v>
      </c>
      <c r="U239" s="586"/>
      <c r="W239" s="594">
        <v>2</v>
      </c>
      <c r="X239" s="595" t="str">
        <f>IF(AND(W239&lt;=$T235,$T235&gt;1,$T235&lt;&gt;""),VLOOKUP(VALUE($F232&amp;","&amp;W239),INTEGRANTES!$D$19:$G$106,2,0),"")</f>
        <v>JAIRO ORLANDO CASTILLO CARDOZO</v>
      </c>
      <c r="Y239" s="596">
        <f>IF(X239&lt;&gt;"",VLOOKUP(VALUE($F232&amp;","&amp;$W239),INTEGRANTES!$D$19:$G$106,3,0),"")</f>
        <v>0.4</v>
      </c>
      <c r="Z239" s="597">
        <f>IF(X239="","",SUMIF($J238:$J243,$X239,$N238:$N243))</f>
        <v>325.27</v>
      </c>
      <c r="AA239" s="604" t="str">
        <f>IF($Y239="","",IF(AND($Y239&gt;=20%,$Z239&gt;=$Z244),"CUMPLE","NO CUMPLE"))</f>
        <v>CUMPLE</v>
      </c>
      <c r="AB239" s="682" t="s">
        <v>525</v>
      </c>
      <c r="AC239" s="593" t="str">
        <f t="shared" si="92"/>
        <v>CUMPLE</v>
      </c>
      <c r="AD239" s="682" t="s">
        <v>525</v>
      </c>
      <c r="AE239" s="593" t="str">
        <f t="shared" si="93"/>
        <v>CUMPLE</v>
      </c>
    </row>
    <row r="240" spans="1:31" s="353" customFormat="1" ht="22.5" customHeight="1">
      <c r="A240" s="351"/>
      <c r="B240" s="342">
        <f t="shared" ref="B240:B243" si="95">IF(D240="","",B239+1)</f>
        <v>3</v>
      </c>
      <c r="C240" s="619">
        <v>9</v>
      </c>
      <c r="D240" s="610" t="s">
        <v>217</v>
      </c>
      <c r="E240" s="628" t="s">
        <v>429</v>
      </c>
      <c r="F240" s="622" t="s">
        <v>433</v>
      </c>
      <c r="G240" s="623" t="s">
        <v>226</v>
      </c>
      <c r="H240" s="624">
        <v>1</v>
      </c>
      <c r="I240" s="625" t="s">
        <v>173</v>
      </c>
      <c r="J240" s="616" t="s">
        <v>274</v>
      </c>
      <c r="K240" s="627">
        <v>38797</v>
      </c>
      <c r="L240" s="618">
        <v>175.17</v>
      </c>
      <c r="M240" s="556">
        <f t="shared" ref="M240:M243" si="96">IF(OR(K240="",L240=""),"",IF(I240="SI",H240*L240,""))</f>
        <v>175.17</v>
      </c>
      <c r="N240" s="504">
        <f>IF(OR(I240="",M240=""),"",IF(I240="SI",ROUND(M240,3),0))</f>
        <v>175.17</v>
      </c>
      <c r="O240" s="636"/>
      <c r="Q240" s="352" t="str">
        <f t="shared" si="90"/>
        <v>NO CUMPLE</v>
      </c>
      <c r="R240" s="636" t="s">
        <v>140</v>
      </c>
      <c r="S240" s="352" t="str">
        <f t="shared" si="94"/>
        <v>CUMPLE</v>
      </c>
      <c r="T240" s="656">
        <f t="shared" si="91"/>
        <v>0.4</v>
      </c>
      <c r="U240" s="586"/>
      <c r="W240" s="594">
        <v>3</v>
      </c>
      <c r="X240" s="595" t="str">
        <f>IF(AND(W240&lt;=$T235,$T235&gt;1,$T235&lt;&gt;""),VLOOKUP(VALUE($F232&amp;","&amp;W240),INTEGRANTES!$D$19:$G$106,2,0),"")</f>
        <v/>
      </c>
      <c r="Y240" s="596" t="str">
        <f>IF(X240&lt;&gt;"",VLOOKUP(VALUE($F232&amp;","&amp;$W240),INTEGRANTES!$D$19:$G$106,3,0),"")</f>
        <v/>
      </c>
      <c r="Z240" s="597" t="str">
        <f>IF(X240="","",SUMIF($J238:$J243,$X240,$N238:$N243))</f>
        <v/>
      </c>
      <c r="AA240" s="604" t="str">
        <f>IF($Y240="","",IF(AND($Y240&gt;=20%,$Z240&gt;=$Z244),"CUMPLE","NO CUMPLE"))</f>
        <v/>
      </c>
      <c r="AB240" s="682"/>
      <c r="AC240" s="593" t="str">
        <f t="shared" si="92"/>
        <v/>
      </c>
      <c r="AD240" s="682"/>
      <c r="AE240" s="593" t="str">
        <f t="shared" si="93"/>
        <v/>
      </c>
    </row>
    <row r="241" spans="1:31" s="353" customFormat="1" ht="22.5" customHeight="1">
      <c r="A241" s="351"/>
      <c r="B241" s="342">
        <f t="shared" si="95"/>
        <v>4</v>
      </c>
      <c r="C241" s="619"/>
      <c r="D241" s="620" t="s">
        <v>426</v>
      </c>
      <c r="E241" s="628" t="s">
        <v>430</v>
      </c>
      <c r="F241" s="622" t="s">
        <v>434</v>
      </c>
      <c r="G241" s="623" t="s">
        <v>172</v>
      </c>
      <c r="H241" s="624">
        <v>0.4</v>
      </c>
      <c r="I241" s="625" t="s">
        <v>404</v>
      </c>
      <c r="J241" s="629" t="s">
        <v>273</v>
      </c>
      <c r="K241" s="627">
        <v>42171</v>
      </c>
      <c r="L241" s="618">
        <v>1219.31</v>
      </c>
      <c r="M241" s="555" t="str">
        <f t="shared" si="96"/>
        <v/>
      </c>
      <c r="N241" s="504" t="str">
        <f>IF(OR(I241="",M241=""),"",IF(I241="SI",ROUND(M241,3),0))</f>
        <v/>
      </c>
      <c r="O241" s="636"/>
      <c r="Q241" s="352" t="str">
        <f t="shared" si="90"/>
        <v>NO CUMPLE</v>
      </c>
      <c r="R241" s="636" t="s">
        <v>140</v>
      </c>
      <c r="S241" s="352" t="str">
        <f t="shared" si="94"/>
        <v>CUMPLE</v>
      </c>
      <c r="T241" s="656">
        <f t="shared" si="91"/>
        <v>0.6</v>
      </c>
      <c r="U241" s="586"/>
      <c r="W241" s="594">
        <v>4</v>
      </c>
      <c r="X241" s="595" t="str">
        <f>IF(AND(W241&lt;=$T235,$T235&gt;1,$T235&lt;&gt;""),VLOOKUP(VALUE($F232&amp;","&amp;W241),INTEGRANTES!$D$19:$G$106,2,0),"")</f>
        <v/>
      </c>
      <c r="Y241" s="596" t="str">
        <f>IF(X241&lt;&gt;"",VLOOKUP(VALUE($F232&amp;","&amp;$W241),INTEGRANTES!$D$19:$G$106,3,0),"")</f>
        <v/>
      </c>
      <c r="Z241" s="597" t="str">
        <f>IF(X241="","",SUMIF($J238:$J243,$X241,$N238:$N243))</f>
        <v/>
      </c>
      <c r="AA241" s="604" t="str">
        <f>IF($Y241="","",IF(AND($Y241&gt;=20%,$Z241&gt;=$Z244),"CUMPLE","NO CUMPLE"))</f>
        <v/>
      </c>
      <c r="AB241" s="682"/>
      <c r="AC241" s="593" t="str">
        <f t="shared" si="92"/>
        <v/>
      </c>
      <c r="AD241" s="682"/>
      <c r="AE241" s="593" t="str">
        <f t="shared" si="93"/>
        <v/>
      </c>
    </row>
    <row r="242" spans="1:31" s="353" customFormat="1" ht="22.5" customHeight="1">
      <c r="A242" s="351"/>
      <c r="B242" s="342" t="str">
        <f t="shared" si="95"/>
        <v/>
      </c>
      <c r="C242" s="619"/>
      <c r="D242" s="620"/>
      <c r="E242" s="628"/>
      <c r="F242" s="622"/>
      <c r="G242" s="623"/>
      <c r="H242" s="624"/>
      <c r="I242" s="625"/>
      <c r="J242" s="629"/>
      <c r="K242" s="627"/>
      <c r="L242" s="618"/>
      <c r="M242" s="556" t="str">
        <f t="shared" si="96"/>
        <v/>
      </c>
      <c r="N242" s="504" t="str">
        <f>IF(OR(I242="",M242=""),"",IF(I242="SI",ROUND(M242,3),0))</f>
        <v/>
      </c>
      <c r="O242" s="636"/>
      <c r="Q242" s="352" t="str">
        <f t="shared" si="90"/>
        <v/>
      </c>
      <c r="R242" s="636"/>
      <c r="S242" s="352" t="str">
        <f t="shared" si="94"/>
        <v/>
      </c>
      <c r="T242" s="656" t="str">
        <f t="shared" si="91"/>
        <v/>
      </c>
      <c r="U242" s="586"/>
      <c r="W242" s="594">
        <v>5</v>
      </c>
      <c r="X242" s="595" t="str">
        <f>IF(AND(W242&lt;=$T235,$T235&gt;1,$T235&lt;&gt;""),VLOOKUP(VALUE($F232&amp;","&amp;W242),INTEGRANTES!$D$19:$G$106,2,0),"")</f>
        <v/>
      </c>
      <c r="Y242" s="596" t="str">
        <f>IF(X242&lt;&gt;"",VLOOKUP(VALUE($F232&amp;","&amp;$W242),INTEGRANTES!$D$19:$G$106,3,0),"")</f>
        <v/>
      </c>
      <c r="Z242" s="597" t="str">
        <f>IF(X242="","",SUMIF($J238:$J243,$X242,$N238:$N243))</f>
        <v/>
      </c>
      <c r="AA242" s="604" t="str">
        <f>IF($Y242="","",IF(AND($Y242&gt;=20%,$Z242&gt;=$Z244),"CUMPLE","NO CUMPLE"))</f>
        <v/>
      </c>
      <c r="AB242" s="682"/>
      <c r="AC242" s="593" t="str">
        <f t="shared" si="92"/>
        <v/>
      </c>
      <c r="AD242" s="682"/>
      <c r="AE242" s="593" t="str">
        <f t="shared" si="93"/>
        <v/>
      </c>
    </row>
    <row r="243" spans="1:31" s="353" customFormat="1" ht="22.5" customHeight="1">
      <c r="A243" s="351"/>
      <c r="B243" s="342" t="str">
        <f t="shared" si="95"/>
        <v/>
      </c>
      <c r="C243" s="619"/>
      <c r="D243" s="620"/>
      <c r="E243" s="628"/>
      <c r="F243" s="622"/>
      <c r="G243" s="623"/>
      <c r="H243" s="624"/>
      <c r="I243" s="625"/>
      <c r="J243" s="629"/>
      <c r="K243" s="627"/>
      <c r="L243" s="618"/>
      <c r="M243" s="555" t="str">
        <f t="shared" si="96"/>
        <v/>
      </c>
      <c r="N243" s="504" t="str">
        <f>IF(OR(I243="",M243=""),"",IF(I243="SI",ROUND(M243,3),0))</f>
        <v/>
      </c>
      <c r="O243" s="636"/>
      <c r="Q243" s="352" t="str">
        <f t="shared" si="90"/>
        <v/>
      </c>
      <c r="R243" s="636"/>
      <c r="S243" s="352" t="str">
        <f t="shared" si="94"/>
        <v/>
      </c>
      <c r="T243" s="656" t="str">
        <f t="shared" si="91"/>
        <v/>
      </c>
      <c r="U243" s="586"/>
      <c r="W243" s="599">
        <v>6</v>
      </c>
      <c r="X243" s="595" t="str">
        <f>IF(AND(W243&lt;=$T235,$T235&gt;1,$T235&lt;&gt;""),VLOOKUP(VALUE($F232&amp;","&amp;W243),INTEGRANTES!$D$19:$G$106,2,0),"")</f>
        <v/>
      </c>
      <c r="Y243" s="606" t="str">
        <f>IF(X243&lt;&gt;"",VLOOKUP(VALUE($F232&amp;","&amp;$W243),INTEGRANTES!$D$19:$G$106,3,0),"")</f>
        <v/>
      </c>
      <c r="Z243" s="607" t="str">
        <f>IF(X243="","",SUMIF($J238:$J243,$X243,$N238:$N243))</f>
        <v/>
      </c>
      <c r="AA243" s="608" t="str">
        <f>IF($Y243="","",IF(AND($Y243&gt;=20%,$Z243&gt;=$Z244),"CUMPLE","NO CUMPLE"))</f>
        <v/>
      </c>
      <c r="AB243" s="682"/>
      <c r="AC243" s="593" t="str">
        <f t="shared" si="92"/>
        <v/>
      </c>
      <c r="AD243" s="682"/>
      <c r="AE243" s="593" t="str">
        <f t="shared" si="93"/>
        <v/>
      </c>
    </row>
    <row r="244" spans="1:31" ht="5.0999999999999996" customHeight="1" thickBot="1">
      <c r="B244" s="354"/>
      <c r="C244" s="359"/>
      <c r="D244" s="355"/>
      <c r="E244" s="368"/>
      <c r="F244" s="355"/>
      <c r="G244" s="355"/>
      <c r="H244" s="355"/>
      <c r="I244" s="356"/>
      <c r="J244" s="357"/>
      <c r="K244" s="358"/>
      <c r="L244" s="355"/>
      <c r="M244" s="356"/>
      <c r="N244" s="360"/>
      <c r="O244" s="352" t="str">
        <f>IF(L244="","",IF(AND(L244&gt;=YEAR($M$15), J244="SI",L244&lt;=S238),"CUMPLE","NO CUMPLE"))</f>
        <v/>
      </c>
      <c r="Q244" s="352" t="str">
        <f>IF(N244="","",IF(AND(N244&gt;=YEAR($M$15), L244="SI",N244&lt;=V238),"CUMPLE","NO CUMPLE"))</f>
        <v/>
      </c>
      <c r="R244" s="352" t="str">
        <f>IF(P244="","",IF(AND(P244&gt;=YEAR($M$15), M244="SI",P244&lt;=W238),"CUMPLE","NO CUMPLE"))</f>
        <v/>
      </c>
      <c r="S244" s="352" t="str">
        <f>IF(P244="","",IF(AND(P244&gt;=YEAR($M$15), N244="SI",P244&lt;=X238),"CUMPLE","NO CUMPLE"))</f>
        <v/>
      </c>
      <c r="T244" s="564"/>
      <c r="U244" s="586"/>
      <c r="W244" s="600"/>
      <c r="X244" s="600"/>
      <c r="Y244" s="600"/>
      <c r="Z244" s="605">
        <f>MAX(Z238:Z243)</f>
        <v>325.27</v>
      </c>
      <c r="AA244" s="600"/>
      <c r="AB244" s="602"/>
      <c r="AC244" s="602"/>
      <c r="AD244" s="602"/>
      <c r="AE244" s="602"/>
    </row>
    <row r="245" spans="1:31" s="52" customFormat="1" ht="17.100000000000001" customHeight="1" thickTop="1" thickBot="1">
      <c r="A245" s="361">
        <f>F232</f>
        <v>13</v>
      </c>
      <c r="B245" s="364"/>
      <c r="C245" s="379"/>
      <c r="D245" s="664"/>
      <c r="E245" s="752"/>
      <c r="F245" s="752"/>
      <c r="G245" s="752"/>
      <c r="H245" s="752"/>
      <c r="I245" s="752"/>
      <c r="J245" s="752"/>
      <c r="K245" s="752"/>
      <c r="L245" s="753"/>
      <c r="M245" s="754"/>
      <c r="N245" s="365">
        <f>SUM(N238:N244)</f>
        <v>325.27</v>
      </c>
      <c r="O245" s="373"/>
      <c r="Q245" s="373" t="str">
        <f>IF(COUNTIF(Q238:Q241,"CUMPLE")&gt;0,"CUMPLE","NO CUMPLE")</f>
        <v>CUMPLE</v>
      </c>
      <c r="R245" s="374" t="str">
        <f>IF(COUNTIF(R238:R241,"COLOMBIA")&gt;0,"CUMPLE","NO CUMPLE")</f>
        <v>CUMPLE</v>
      </c>
      <c r="S245" s="373" t="str">
        <f>IF(COUNTIF(S238:S241,"CUMPLE")&gt;0,"CUMPLE","NO CUMPLE")</f>
        <v>CUMPLE</v>
      </c>
      <c r="T245" s="566"/>
      <c r="U245" s="587"/>
      <c r="AA245" s="589" t="str">
        <f>IF(COUNTIF(AA238:AA243,"CUMPLE")&gt;0,"CUMPLE","NO CUMPLE")</f>
        <v>CUMPLE</v>
      </c>
      <c r="AB245" s="735" t="str">
        <f>IF(COUNTIF(AC238:AC243,"CUMPLE")&gt;0,"CUMPLE","NO CUMPLE")</f>
        <v>CUMPLE</v>
      </c>
      <c r="AC245" s="736"/>
      <c r="AD245" s="735" t="str">
        <f>IF(COUNTIF(AE238:AE243,"CUMPLE")&gt;0,"CUMPLE","NO CUMPLE")</f>
        <v>CUMPLE</v>
      </c>
      <c r="AE245" s="736"/>
    </row>
    <row r="246" spans="1:31" ht="16.5" thickTop="1">
      <c r="B246" s="557"/>
      <c r="C246" s="558"/>
      <c r="D246" s="558"/>
      <c r="E246" s="558"/>
      <c r="F246" s="558"/>
      <c r="G246" s="558"/>
      <c r="H246" s="558"/>
      <c r="I246" s="558"/>
      <c r="J246" s="558"/>
      <c r="K246" s="558"/>
      <c r="L246" s="80"/>
      <c r="M246" s="362" t="s">
        <v>516</v>
      </c>
      <c r="N246" s="369">
        <f ca="1">VFrequerido!Y27</f>
        <v>537.11</v>
      </c>
      <c r="O246" s="568"/>
      <c r="Q246" s="570"/>
      <c r="R246" s="571"/>
      <c r="S246" s="572"/>
      <c r="T246" s="573"/>
      <c r="U246" s="80"/>
    </row>
    <row r="247" spans="1:31" ht="15.75" thickBot="1">
      <c r="A247" s="490" t="str">
        <f>"E"&amp;F232</f>
        <v>E13</v>
      </c>
      <c r="B247" s="559"/>
      <c r="C247" s="560"/>
      <c r="D247" s="560"/>
      <c r="E247" s="560"/>
      <c r="F247" s="560"/>
      <c r="G247" s="560"/>
      <c r="H247" s="560"/>
      <c r="I247" s="560"/>
      <c r="J247" s="560"/>
      <c r="K247" s="560"/>
      <c r="L247" s="363"/>
      <c r="M247" s="755" t="str">
        <f ca="1">IF(OR(N245=0,N245&lt;N246),"NO CUMPLE","CUMPLE")</f>
        <v>NO CUMPLE</v>
      </c>
      <c r="N247" s="756"/>
      <c r="O247" s="569"/>
      <c r="Q247" s="492"/>
      <c r="R247" s="493"/>
      <c r="S247" s="363"/>
      <c r="T247" s="574"/>
      <c r="U247" s="80"/>
    </row>
    <row r="248" spans="1:31" ht="13.5" thickTop="1"/>
    <row r="250" spans="1:31">
      <c r="F250" s="757">
        <f>F232+1</f>
        <v>14</v>
      </c>
      <c r="G250" s="758" t="str">
        <f>VLOOKUP(F250,PROPO,2,FALSE)</f>
        <v>CONSORCIO INUC</v>
      </c>
      <c r="H250" s="758"/>
      <c r="I250" s="758"/>
      <c r="J250" s="758"/>
      <c r="K250" s="52"/>
      <c r="O250" s="52"/>
      <c r="Q250" s="52"/>
      <c r="R250" s="52"/>
    </row>
    <row r="251" spans="1:31">
      <c r="B251" s="328"/>
      <c r="C251" s="328"/>
      <c r="D251" s="328"/>
      <c r="E251" s="328"/>
      <c r="F251" s="757"/>
      <c r="G251" s="758"/>
      <c r="H251" s="758"/>
      <c r="I251" s="758"/>
      <c r="J251" s="758"/>
      <c r="K251" s="52"/>
      <c r="N251" s="567"/>
      <c r="O251" s="52"/>
      <c r="Q251" s="52"/>
      <c r="R251" s="52"/>
    </row>
    <row r="252" spans="1:31" ht="13.5" thickBot="1">
      <c r="B252" s="329"/>
      <c r="C252" s="329"/>
      <c r="D252" s="56"/>
      <c r="E252" s="56"/>
      <c r="F252" s="56"/>
      <c r="G252" s="56"/>
      <c r="H252" s="56"/>
      <c r="I252" s="56"/>
      <c r="J252" s="56"/>
      <c r="K252" s="330"/>
      <c r="L252" s="331"/>
      <c r="M252" s="331"/>
      <c r="N252" s="330"/>
      <c r="O252" s="330"/>
      <c r="Q252" s="330"/>
      <c r="R252" s="330"/>
    </row>
    <row r="253" spans="1:31" ht="50.1" customHeight="1" thickTop="1" thickBot="1">
      <c r="B253" s="332" t="s">
        <v>16</v>
      </c>
      <c r="C253" s="744" t="s">
        <v>121</v>
      </c>
      <c r="D253" s="333" t="s">
        <v>17</v>
      </c>
      <c r="E253" s="746" t="s">
        <v>18</v>
      </c>
      <c r="F253" s="747"/>
      <c r="G253" s="748" t="s">
        <v>117</v>
      </c>
      <c r="H253" s="749"/>
      <c r="I253" s="744" t="s">
        <v>39</v>
      </c>
      <c r="J253" s="744" t="s">
        <v>0</v>
      </c>
      <c r="K253" s="665" t="s">
        <v>19</v>
      </c>
      <c r="L253" s="750" t="s">
        <v>20</v>
      </c>
      <c r="M253" s="751"/>
      <c r="N253" s="68" t="s">
        <v>52</v>
      </c>
      <c r="O253" s="501" t="s">
        <v>151</v>
      </c>
      <c r="Q253" s="665" t="s">
        <v>127</v>
      </c>
      <c r="R253" s="665" t="s">
        <v>138</v>
      </c>
      <c r="S253" s="665" t="s">
        <v>163</v>
      </c>
      <c r="T253" s="565">
        <f>IF(VLOOKUP(F250,PROPONENTES!$C$19:$E$54,3,0)="","",VLOOKUP(F250,PROPONENTES!$C$19:$E$54,3,0))</f>
        <v>2</v>
      </c>
      <c r="U253" s="582"/>
      <c r="W253" s="737" t="s">
        <v>167</v>
      </c>
      <c r="X253" s="738"/>
      <c r="Y253" s="738"/>
      <c r="Z253" s="738"/>
      <c r="AA253" s="738"/>
      <c r="AB253" s="738"/>
      <c r="AC253" s="738"/>
      <c r="AD253" s="738"/>
      <c r="AE253" s="739"/>
    </row>
    <row r="254" spans="1:31" ht="50.1" customHeight="1" thickTop="1" thickBot="1">
      <c r="B254" s="334" t="s">
        <v>21</v>
      </c>
      <c r="C254" s="745"/>
      <c r="D254" s="335" t="s">
        <v>22</v>
      </c>
      <c r="E254" s="366" t="s">
        <v>23</v>
      </c>
      <c r="F254" s="336" t="s">
        <v>24</v>
      </c>
      <c r="G254" s="337" t="s">
        <v>118</v>
      </c>
      <c r="H254" s="338" t="s">
        <v>119</v>
      </c>
      <c r="I254" s="745"/>
      <c r="J254" s="745"/>
      <c r="K254" s="663" t="s">
        <v>120</v>
      </c>
      <c r="L254" s="339" t="s">
        <v>150</v>
      </c>
      <c r="M254" s="340" t="s">
        <v>14</v>
      </c>
      <c r="N254" s="341" t="s">
        <v>14</v>
      </c>
      <c r="O254" s="502" t="s">
        <v>152</v>
      </c>
      <c r="Q254" s="663" t="s">
        <v>128</v>
      </c>
      <c r="R254" s="663" t="s">
        <v>139</v>
      </c>
      <c r="S254" s="663" t="s">
        <v>164</v>
      </c>
      <c r="T254" s="575" t="s">
        <v>83</v>
      </c>
      <c r="U254" s="583"/>
      <c r="W254" s="740" t="s">
        <v>166</v>
      </c>
      <c r="X254" s="743"/>
      <c r="Y254" s="663" t="s">
        <v>168</v>
      </c>
      <c r="Z254" s="663" t="s">
        <v>169</v>
      </c>
      <c r="AA254" s="663" t="s">
        <v>174</v>
      </c>
      <c r="AB254" s="740" t="s">
        <v>524</v>
      </c>
      <c r="AC254" s="741"/>
      <c r="AD254" s="742" t="s">
        <v>522</v>
      </c>
      <c r="AE254" s="741"/>
    </row>
    <row r="255" spans="1:31" ht="14.25" hidden="1" customHeight="1">
      <c r="B255" s="342">
        <v>0</v>
      </c>
      <c r="C255" s="347"/>
      <c r="D255" s="343"/>
      <c r="E255" s="367"/>
      <c r="F255" s="344"/>
      <c r="G255" s="345"/>
      <c r="H255" s="346"/>
      <c r="I255" s="347"/>
      <c r="J255" s="347"/>
      <c r="K255" s="347"/>
      <c r="L255" s="348"/>
      <c r="M255" s="349"/>
      <c r="N255" s="350"/>
      <c r="O255" s="347"/>
      <c r="Q255" s="347"/>
      <c r="R255" s="347"/>
      <c r="S255" s="347"/>
      <c r="T255" s="563"/>
      <c r="U255" s="584"/>
      <c r="W255" s="502" t="s">
        <v>166</v>
      </c>
      <c r="X255" s="502"/>
      <c r="Y255" s="502" t="s">
        <v>168</v>
      </c>
      <c r="Z255" s="502" t="s">
        <v>169</v>
      </c>
      <c r="AA255" s="502" t="s">
        <v>170</v>
      </c>
      <c r="AB255" s="661" t="s">
        <v>170</v>
      </c>
      <c r="AC255" s="661" t="s">
        <v>170</v>
      </c>
      <c r="AD255" s="661" t="s">
        <v>170</v>
      </c>
      <c r="AE255" s="661" t="s">
        <v>170</v>
      </c>
    </row>
    <row r="256" spans="1:31" s="353" customFormat="1" ht="68.25" customHeight="1" thickTop="1">
      <c r="A256" s="351"/>
      <c r="B256" s="342">
        <f>IF(D256="","",B255+1)</f>
        <v>1</v>
      </c>
      <c r="C256" s="609">
        <v>19</v>
      </c>
      <c r="D256" s="610" t="s">
        <v>217</v>
      </c>
      <c r="E256" s="611" t="s">
        <v>435</v>
      </c>
      <c r="F256" s="612" t="s">
        <v>438</v>
      </c>
      <c r="G256" s="613" t="s">
        <v>172</v>
      </c>
      <c r="H256" s="614">
        <v>0.5</v>
      </c>
      <c r="I256" s="615" t="s">
        <v>173</v>
      </c>
      <c r="J256" s="616" t="s">
        <v>276</v>
      </c>
      <c r="K256" s="617">
        <v>40626</v>
      </c>
      <c r="L256" s="618">
        <v>297.47000000000003</v>
      </c>
      <c r="M256" s="494">
        <f>IF(OR(K256="",L256=""),"",IF(I256="SI",H256*L256,""))</f>
        <v>148.73500000000001</v>
      </c>
      <c r="N256" s="503">
        <f>IF(OR(I256="",M256=""),"",IF(I256="NO",0,IF(I256="SI",ROUND(M256,3),0)))</f>
        <v>148.73500000000001</v>
      </c>
      <c r="O256" s="636"/>
      <c r="Q256" s="352" t="str">
        <f t="shared" ref="Q256:Q261" si="97">IF(K256="","",IF(AND(YEAR(K256)&gt;=YEAR($M$15), I256="SI",K256&lt;=$N$15),"CUMPLE","NO CUMPLE"))</f>
        <v>NO CUMPLE</v>
      </c>
      <c r="R256" s="636" t="s">
        <v>140</v>
      </c>
      <c r="S256" s="352" t="str">
        <f>IF(T256="","",IF(T256&gt;=20%,"CUMPLE","NO CUMPLE"))</f>
        <v>CUMPLE</v>
      </c>
      <c r="T256" s="656">
        <f t="shared" ref="T256:T261" si="98">IF(R256="","",VLOOKUP(J256,INTEGRAN,2,FALSE))</f>
        <v>0.6</v>
      </c>
      <c r="U256" s="585"/>
      <c r="W256" s="594">
        <v>1</v>
      </c>
      <c r="X256" s="595" t="str">
        <f>IF(AND(W256&lt;=$T253,$T253&gt;1,$T253&lt;&gt;""),VLOOKUP(VALUE($F250&amp;","&amp;W256),INTEGRANTES!$D$19:$G$106,2,0),"")</f>
        <v>UCING LIMITADA</v>
      </c>
      <c r="Y256" s="596">
        <f>IF(X256&lt;&gt;"",VLOOKUP(VALUE($F250&amp;","&amp;$W256),INTEGRANTES!$D$19:$G$106,3,0),"")</f>
        <v>0.4</v>
      </c>
      <c r="Z256" s="597">
        <f>IF(X256="","",SUMIF($J256:$J261,$X256,$N256:$N261))</f>
        <v>91.69</v>
      </c>
      <c r="AA256" s="604" t="str">
        <f>IF($Y256="","",IF(AND($Y256&gt;=20%,$Z256&gt;=$Z262),"CUMPLE","NO CUMPLE"))</f>
        <v>NO CUMPLE</v>
      </c>
      <c r="AB256" s="681"/>
      <c r="AC256" s="592" t="str">
        <f t="shared" ref="AC256:AC261" si="99">IF(X256="","",IF(AND(Y256&gt;=40%,AB256="SI"),"CUMPLE","NO CUMPLE"))</f>
        <v>NO CUMPLE</v>
      </c>
      <c r="AD256" s="681"/>
      <c r="AE256" s="593" t="str">
        <f t="shared" ref="AE256:AE261" si="100">IF(X256="","",IF(AD256="SI","CUMPLE","NO CUMPLE"))</f>
        <v>NO CUMPLE</v>
      </c>
    </row>
    <row r="257" spans="1:31" s="353" customFormat="1" ht="48.75" customHeight="1">
      <c r="A257" s="351"/>
      <c r="B257" s="342">
        <f>IF(D257="","",B256+1)</f>
        <v>2</v>
      </c>
      <c r="C257" s="619">
        <v>23</v>
      </c>
      <c r="D257" s="610" t="s">
        <v>217</v>
      </c>
      <c r="E257" s="621" t="s">
        <v>442</v>
      </c>
      <c r="F257" s="622" t="s">
        <v>439</v>
      </c>
      <c r="G257" s="623" t="s">
        <v>226</v>
      </c>
      <c r="H257" s="624">
        <v>1</v>
      </c>
      <c r="I257" s="625" t="s">
        <v>173</v>
      </c>
      <c r="J257" s="629" t="s">
        <v>276</v>
      </c>
      <c r="K257" s="627">
        <v>41370</v>
      </c>
      <c r="L257" s="618">
        <v>407.89</v>
      </c>
      <c r="M257" s="556">
        <f>IF(OR(K257="",L257=""),"",IF(I257="SI",H257*L257,""))</f>
        <v>407.89</v>
      </c>
      <c r="N257" s="504">
        <f>IF(OR(I257="",M257=""),"",IF(I257="SI",ROUND(M257,3),0))</f>
        <v>407.89</v>
      </c>
      <c r="O257" s="636"/>
      <c r="Q257" s="352" t="str">
        <f t="shared" si="97"/>
        <v>NO CUMPLE</v>
      </c>
      <c r="R257" s="636" t="s">
        <v>140</v>
      </c>
      <c r="S257" s="352" t="str">
        <f t="shared" ref="S257:S261" si="101">IF(T257="","",IF(T257&gt;=20%,"CUMPLE","NO CUMPLE"))</f>
        <v>CUMPLE</v>
      </c>
      <c r="T257" s="656">
        <f t="shared" si="98"/>
        <v>0.6</v>
      </c>
      <c r="U257" s="586"/>
      <c r="W257" s="594">
        <v>2</v>
      </c>
      <c r="X257" s="595" t="str">
        <f>IF(AND(W257&lt;=$T253,$T253&gt;1,$T253&lt;&gt;""),VLOOKUP(VALUE($F250&amp;","&amp;W257),INTEGRANTES!$D$19:$G$106,2,0),"")</f>
        <v>INGENIERÍA DE ESTUDIOS Y ASESORÍAS S.A.S - INESAS</v>
      </c>
      <c r="Y257" s="596">
        <f>IF(X257&lt;&gt;"",VLOOKUP(VALUE($F250&amp;","&amp;$W257),INTEGRANTES!$D$19:$G$106,3,0),"")</f>
        <v>0.6</v>
      </c>
      <c r="Z257" s="597">
        <f>IF(X257="","",SUMIF($J256:$J261,$X257,$N256:$N261))</f>
        <v>556.625</v>
      </c>
      <c r="AA257" s="604" t="str">
        <f>IF($Y257="","",IF(AND($Y257&gt;=20%,$Z257&gt;=$Z262),"CUMPLE","NO CUMPLE"))</f>
        <v>CUMPLE</v>
      </c>
      <c r="AB257" s="682" t="s">
        <v>525</v>
      </c>
      <c r="AC257" s="593" t="str">
        <f t="shared" si="99"/>
        <v>CUMPLE</v>
      </c>
      <c r="AD257" s="682" t="s">
        <v>525</v>
      </c>
      <c r="AE257" s="593" t="str">
        <f t="shared" si="100"/>
        <v>CUMPLE</v>
      </c>
    </row>
    <row r="258" spans="1:31" s="353" customFormat="1" ht="48.75" customHeight="1">
      <c r="A258" s="351"/>
      <c r="B258" s="342">
        <f t="shared" ref="B258:B261" si="102">IF(D258="","",B257+1)</f>
        <v>3</v>
      </c>
      <c r="C258" s="619">
        <v>123</v>
      </c>
      <c r="D258" s="610" t="s">
        <v>217</v>
      </c>
      <c r="E258" s="628" t="s">
        <v>436</v>
      </c>
      <c r="F258" s="622" t="s">
        <v>440</v>
      </c>
      <c r="G258" s="623" t="s">
        <v>226</v>
      </c>
      <c r="H258" s="624">
        <v>1</v>
      </c>
      <c r="I258" s="625" t="s">
        <v>173</v>
      </c>
      <c r="J258" s="629" t="s">
        <v>275</v>
      </c>
      <c r="K258" s="627">
        <v>42947</v>
      </c>
      <c r="L258" s="618">
        <v>29.83</v>
      </c>
      <c r="M258" s="556">
        <f t="shared" ref="M258:M261" si="103">IF(OR(K258="",L258=""),"",IF(I258="SI",H258*L258,""))</f>
        <v>29.83</v>
      </c>
      <c r="N258" s="504">
        <f>IF(OR(I258="",M258=""),"",IF(I258="SI",ROUND(M258,3),0))</f>
        <v>29.83</v>
      </c>
      <c r="O258" s="636"/>
      <c r="Q258" s="352" t="str">
        <f t="shared" si="97"/>
        <v>CUMPLE</v>
      </c>
      <c r="R258" s="636" t="s">
        <v>140</v>
      </c>
      <c r="S258" s="352" t="str">
        <f t="shared" si="101"/>
        <v>CUMPLE</v>
      </c>
      <c r="T258" s="656">
        <f t="shared" si="98"/>
        <v>0.4</v>
      </c>
      <c r="U258" s="586"/>
      <c r="W258" s="594">
        <v>3</v>
      </c>
      <c r="X258" s="595" t="str">
        <f>IF(AND(W258&lt;=$T253,$T253&gt;1,$T253&lt;&gt;""),VLOOKUP(VALUE($F250&amp;","&amp;W258),INTEGRANTES!$D$19:$G$106,2,0),"")</f>
        <v/>
      </c>
      <c r="Y258" s="596" t="str">
        <f>IF(X258&lt;&gt;"",VLOOKUP(VALUE($F250&amp;","&amp;$W258),INTEGRANTES!$D$19:$G$106,3,0),"")</f>
        <v/>
      </c>
      <c r="Z258" s="597" t="str">
        <f>IF(X258="","",SUMIF($J256:$J261,$X258,$N256:$N261))</f>
        <v/>
      </c>
      <c r="AA258" s="604" t="str">
        <f>IF($Y258="","",IF(AND($Y258&gt;=20%,$Z258&gt;=$Z262),"CUMPLE","NO CUMPLE"))</f>
        <v/>
      </c>
      <c r="AB258" s="682"/>
      <c r="AC258" s="593" t="str">
        <f t="shared" si="99"/>
        <v/>
      </c>
      <c r="AD258" s="682"/>
      <c r="AE258" s="593" t="str">
        <f t="shared" si="100"/>
        <v/>
      </c>
    </row>
    <row r="259" spans="1:31" s="353" customFormat="1" ht="45" customHeight="1">
      <c r="A259" s="351"/>
      <c r="B259" s="342">
        <f t="shared" si="102"/>
        <v>4</v>
      </c>
      <c r="C259" s="619">
        <v>149</v>
      </c>
      <c r="D259" s="610" t="s">
        <v>217</v>
      </c>
      <c r="E259" s="628" t="s">
        <v>437</v>
      </c>
      <c r="F259" s="622" t="s">
        <v>441</v>
      </c>
      <c r="G259" s="623" t="s">
        <v>226</v>
      </c>
      <c r="H259" s="624">
        <v>1</v>
      </c>
      <c r="I259" s="625" t="s">
        <v>173</v>
      </c>
      <c r="J259" s="629" t="s">
        <v>275</v>
      </c>
      <c r="K259" s="627">
        <v>43459</v>
      </c>
      <c r="L259" s="618">
        <v>61.86</v>
      </c>
      <c r="M259" s="555">
        <f t="shared" si="103"/>
        <v>61.86</v>
      </c>
      <c r="N259" s="504">
        <f>IF(OR(I259="",M259=""),"",IF(I259="SI",ROUND(M259,3),0))</f>
        <v>61.86</v>
      </c>
      <c r="O259" s="636"/>
      <c r="Q259" s="352" t="str">
        <f t="shared" si="97"/>
        <v>CUMPLE</v>
      </c>
      <c r="R259" s="636" t="s">
        <v>140</v>
      </c>
      <c r="S259" s="352" t="str">
        <f t="shared" si="101"/>
        <v>CUMPLE</v>
      </c>
      <c r="T259" s="656">
        <f t="shared" si="98"/>
        <v>0.4</v>
      </c>
      <c r="U259" s="586"/>
      <c r="W259" s="594">
        <v>4</v>
      </c>
      <c r="X259" s="595" t="str">
        <f>IF(AND(W259&lt;=$T253,$T253&gt;1,$T253&lt;&gt;""),VLOOKUP(VALUE($F250&amp;","&amp;W259),INTEGRANTES!$D$19:$G$106,2,0),"")</f>
        <v/>
      </c>
      <c r="Y259" s="596" t="str">
        <f>IF(X259&lt;&gt;"",VLOOKUP(VALUE($F250&amp;","&amp;$W259),INTEGRANTES!$D$19:$G$106,3,0),"")</f>
        <v/>
      </c>
      <c r="Z259" s="597" t="str">
        <f>IF(X259="","",SUMIF($J256:$J261,$X259,$N256:$N261))</f>
        <v/>
      </c>
      <c r="AA259" s="604" t="str">
        <f>IF($Y259="","",IF(AND($Y259&gt;=20%,$Z259&gt;=$Z262),"CUMPLE","NO CUMPLE"))</f>
        <v/>
      </c>
      <c r="AB259" s="682"/>
      <c r="AC259" s="593" t="str">
        <f t="shared" si="99"/>
        <v/>
      </c>
      <c r="AD259" s="682"/>
      <c r="AE259" s="593" t="str">
        <f t="shared" si="100"/>
        <v/>
      </c>
    </row>
    <row r="260" spans="1:31" s="353" customFormat="1" ht="22.5" customHeight="1">
      <c r="A260" s="351"/>
      <c r="B260" s="342" t="str">
        <f t="shared" si="102"/>
        <v/>
      </c>
      <c r="C260" s="619"/>
      <c r="D260" s="620"/>
      <c r="E260" s="628"/>
      <c r="F260" s="622"/>
      <c r="G260" s="623"/>
      <c r="H260" s="624"/>
      <c r="I260" s="625"/>
      <c r="J260" s="629"/>
      <c r="K260" s="627"/>
      <c r="L260" s="618"/>
      <c r="M260" s="556" t="str">
        <f t="shared" si="103"/>
        <v/>
      </c>
      <c r="N260" s="504" t="str">
        <f>IF(OR(I260="",M260=""),"",IF(I260="SI",ROUND(M260,3),0))</f>
        <v/>
      </c>
      <c r="O260" s="636"/>
      <c r="Q260" s="352" t="str">
        <f t="shared" si="97"/>
        <v/>
      </c>
      <c r="R260" s="636"/>
      <c r="S260" s="352" t="str">
        <f t="shared" si="101"/>
        <v/>
      </c>
      <c r="T260" s="656" t="str">
        <f t="shared" si="98"/>
        <v/>
      </c>
      <c r="U260" s="586"/>
      <c r="W260" s="594">
        <v>5</v>
      </c>
      <c r="X260" s="595" t="str">
        <f>IF(AND(W260&lt;=$T253,$T253&gt;1,$T253&lt;&gt;""),VLOOKUP(VALUE($F250&amp;","&amp;W260),INTEGRANTES!$D$19:$G$106,2,0),"")</f>
        <v/>
      </c>
      <c r="Y260" s="596" t="str">
        <f>IF(X260&lt;&gt;"",VLOOKUP(VALUE($F250&amp;","&amp;$W260),INTEGRANTES!$D$19:$G$106,3,0),"")</f>
        <v/>
      </c>
      <c r="Z260" s="597" t="str">
        <f>IF(X260="","",SUMIF($J256:$J261,$X260,$N256:$N261))</f>
        <v/>
      </c>
      <c r="AA260" s="604" t="str">
        <f>IF($Y260="","",IF(AND($Y260&gt;=20%,$Z260&gt;=$Z262),"CUMPLE","NO CUMPLE"))</f>
        <v/>
      </c>
      <c r="AB260" s="682"/>
      <c r="AC260" s="593" t="str">
        <f t="shared" si="99"/>
        <v/>
      </c>
      <c r="AD260" s="682"/>
      <c r="AE260" s="593" t="str">
        <f t="shared" si="100"/>
        <v/>
      </c>
    </row>
    <row r="261" spans="1:31" s="353" customFormat="1" ht="22.5" customHeight="1">
      <c r="A261" s="351"/>
      <c r="B261" s="342" t="str">
        <f t="shared" si="102"/>
        <v/>
      </c>
      <c r="C261" s="619"/>
      <c r="D261" s="620"/>
      <c r="E261" s="628"/>
      <c r="F261" s="622"/>
      <c r="G261" s="623"/>
      <c r="H261" s="624"/>
      <c r="I261" s="625"/>
      <c r="J261" s="629"/>
      <c r="K261" s="627"/>
      <c r="L261" s="618"/>
      <c r="M261" s="555" t="str">
        <f t="shared" si="103"/>
        <v/>
      </c>
      <c r="N261" s="504" t="str">
        <f>IF(OR(I261="",M261=""),"",IF(I261="SI",ROUND(M261,3),0))</f>
        <v/>
      </c>
      <c r="O261" s="636"/>
      <c r="Q261" s="352" t="str">
        <f t="shared" si="97"/>
        <v/>
      </c>
      <c r="R261" s="636"/>
      <c r="S261" s="352" t="str">
        <f t="shared" si="101"/>
        <v/>
      </c>
      <c r="T261" s="656" t="str">
        <f t="shared" si="98"/>
        <v/>
      </c>
      <c r="U261" s="586"/>
      <c r="W261" s="599">
        <v>6</v>
      </c>
      <c r="X261" s="595" t="str">
        <f>IF(AND(W261&lt;=$T253,$T253&gt;1,$T253&lt;&gt;""),VLOOKUP(VALUE($F250&amp;","&amp;W261),INTEGRANTES!$D$19:$G$106,2,0),"")</f>
        <v/>
      </c>
      <c r="Y261" s="606" t="str">
        <f>IF(X261&lt;&gt;"",VLOOKUP(VALUE($F250&amp;","&amp;$W261),INTEGRANTES!$D$19:$G$106,3,0),"")</f>
        <v/>
      </c>
      <c r="Z261" s="607" t="str">
        <f>IF(X261="","",SUMIF($J256:$J261,$X261,$N256:$N261))</f>
        <v/>
      </c>
      <c r="AA261" s="608" t="str">
        <f>IF($Y261="","",IF(AND($Y261&gt;=20%,$Z261&gt;=$Z262),"CUMPLE","NO CUMPLE"))</f>
        <v/>
      </c>
      <c r="AB261" s="682"/>
      <c r="AC261" s="593" t="str">
        <f t="shared" si="99"/>
        <v/>
      </c>
      <c r="AD261" s="682"/>
      <c r="AE261" s="593" t="str">
        <f t="shared" si="100"/>
        <v/>
      </c>
    </row>
    <row r="262" spans="1:31" ht="5.0999999999999996" customHeight="1" thickBot="1">
      <c r="B262" s="354"/>
      <c r="C262" s="359"/>
      <c r="D262" s="355"/>
      <c r="E262" s="368"/>
      <c r="F262" s="355"/>
      <c r="G262" s="355"/>
      <c r="H262" s="355"/>
      <c r="I262" s="356"/>
      <c r="J262" s="357"/>
      <c r="K262" s="358"/>
      <c r="L262" s="355"/>
      <c r="M262" s="356"/>
      <c r="N262" s="360"/>
      <c r="O262" s="352" t="str">
        <f>IF(L262="","",IF(AND(L262&gt;=YEAR($M$15), J262="SI",L262&lt;=S256),"CUMPLE","NO CUMPLE"))</f>
        <v/>
      </c>
      <c r="Q262" s="352" t="str">
        <f>IF(N262="","",IF(AND(N262&gt;=YEAR($M$15), L262="SI",N262&lt;=V256),"CUMPLE","NO CUMPLE"))</f>
        <v/>
      </c>
      <c r="R262" s="352" t="str">
        <f>IF(P262="","",IF(AND(P262&gt;=YEAR($M$15), M262="SI",P262&lt;=W256),"CUMPLE","NO CUMPLE"))</f>
        <v/>
      </c>
      <c r="S262" s="352" t="str">
        <f>IF(P262="","",IF(AND(P262&gt;=YEAR($M$15), N262="SI",P262&lt;=X256),"CUMPLE","NO CUMPLE"))</f>
        <v/>
      </c>
      <c r="T262" s="564"/>
      <c r="U262" s="586"/>
      <c r="W262" s="600"/>
      <c r="X262" s="600"/>
      <c r="Y262" s="600"/>
      <c r="Z262" s="605">
        <f>MAX(Z256:Z261)</f>
        <v>556.625</v>
      </c>
      <c r="AA262" s="600"/>
      <c r="AB262" s="602"/>
      <c r="AC262" s="602"/>
      <c r="AD262" s="602"/>
      <c r="AE262" s="602"/>
    </row>
    <row r="263" spans="1:31" s="52" customFormat="1" ht="17.100000000000001" customHeight="1" thickTop="1" thickBot="1">
      <c r="A263" s="361">
        <f>F250</f>
        <v>14</v>
      </c>
      <c r="B263" s="364"/>
      <c r="C263" s="379"/>
      <c r="D263" s="664"/>
      <c r="E263" s="752"/>
      <c r="F263" s="752"/>
      <c r="G263" s="752"/>
      <c r="H263" s="752"/>
      <c r="I263" s="752"/>
      <c r="J263" s="752"/>
      <c r="K263" s="752"/>
      <c r="L263" s="753"/>
      <c r="M263" s="754"/>
      <c r="N263" s="365">
        <f>SUM(N256:N262)</f>
        <v>648.31500000000005</v>
      </c>
      <c r="O263" s="373"/>
      <c r="Q263" s="373" t="str">
        <f>IF(COUNTIF(Q256:Q259,"CUMPLE")&gt;0,"CUMPLE","NO CUMPLE")</f>
        <v>CUMPLE</v>
      </c>
      <c r="R263" s="374" t="str">
        <f>IF(COUNTIF(R256:R259,"COLOMBIA")&gt;0,"CUMPLE","NO CUMPLE")</f>
        <v>CUMPLE</v>
      </c>
      <c r="S263" s="373" t="str">
        <f>IF(COUNTIF(S256:S259,"CUMPLE")&gt;0,"CUMPLE","NO CUMPLE")</f>
        <v>CUMPLE</v>
      </c>
      <c r="T263" s="566"/>
      <c r="U263" s="587"/>
      <c r="AA263" s="589" t="str">
        <f>IF(COUNTIF(AA256:AA261,"CUMPLE")&gt;0,"CUMPLE","NO CUMPLE")</f>
        <v>CUMPLE</v>
      </c>
      <c r="AB263" s="735" t="str">
        <f>IF(COUNTIF(AC256:AC261,"CUMPLE")&gt;0,"CUMPLE","NO CUMPLE")</f>
        <v>CUMPLE</v>
      </c>
      <c r="AC263" s="736"/>
      <c r="AD263" s="735" t="str">
        <f>IF(COUNTIF(AE256:AE261,"CUMPLE")&gt;0,"CUMPLE","NO CUMPLE")</f>
        <v>CUMPLE</v>
      </c>
      <c r="AE263" s="736"/>
    </row>
    <row r="264" spans="1:31" ht="16.5" thickTop="1">
      <c r="B264" s="557"/>
      <c r="C264" s="558"/>
      <c r="D264" s="558"/>
      <c r="E264" s="558"/>
      <c r="F264" s="558"/>
      <c r="G264" s="558"/>
      <c r="H264" s="558"/>
      <c r="I264" s="558"/>
      <c r="J264" s="558"/>
      <c r="K264" s="558"/>
      <c r="L264" s="80"/>
      <c r="M264" s="362" t="s">
        <v>516</v>
      </c>
      <c r="N264" s="369">
        <f ca="1">VFrequerido!Y28</f>
        <v>537.11</v>
      </c>
      <c r="O264" s="568"/>
      <c r="Q264" s="570"/>
      <c r="R264" s="571"/>
      <c r="S264" s="572"/>
      <c r="T264" s="573"/>
      <c r="U264" s="80"/>
    </row>
    <row r="265" spans="1:31" ht="15.75" thickBot="1">
      <c r="A265" s="490" t="str">
        <f>"E"&amp;F250</f>
        <v>E14</v>
      </c>
      <c r="B265" s="559"/>
      <c r="C265" s="560"/>
      <c r="D265" s="560"/>
      <c r="E265" s="560"/>
      <c r="F265" s="560"/>
      <c r="G265" s="560"/>
      <c r="H265" s="560"/>
      <c r="I265" s="560"/>
      <c r="J265" s="560"/>
      <c r="K265" s="560"/>
      <c r="L265" s="363"/>
      <c r="M265" s="755" t="str">
        <f ca="1">IF(OR(N263=0,N263&lt;N264),"NO CUMPLE","CUMPLE")</f>
        <v>CUMPLE</v>
      </c>
      <c r="N265" s="756"/>
      <c r="O265" s="569"/>
      <c r="Q265" s="492"/>
      <c r="R265" s="493"/>
      <c r="S265" s="363"/>
      <c r="T265" s="574"/>
      <c r="U265" s="80"/>
    </row>
    <row r="266" spans="1:31" ht="13.5" thickTop="1"/>
    <row r="268" spans="1:31">
      <c r="F268" s="757">
        <f>F250+1</f>
        <v>15</v>
      </c>
      <c r="G268" s="758" t="str">
        <f>VLOOKUP(F268,PROPO,2,FALSE)</f>
        <v>CONSORCIO CIVILES 100</v>
      </c>
      <c r="H268" s="758"/>
      <c r="I268" s="758"/>
      <c r="J268" s="758"/>
      <c r="K268" s="52"/>
      <c r="O268" s="52"/>
      <c r="Q268" s="52"/>
      <c r="R268" s="52"/>
    </row>
    <row r="269" spans="1:31">
      <c r="B269" s="328"/>
      <c r="C269" s="328"/>
      <c r="D269" s="328"/>
      <c r="E269" s="328"/>
      <c r="F269" s="757"/>
      <c r="G269" s="758"/>
      <c r="H269" s="758"/>
      <c r="I269" s="758"/>
      <c r="J269" s="758"/>
      <c r="K269" s="52"/>
      <c r="N269" s="567"/>
      <c r="O269" s="52"/>
      <c r="Q269" s="52"/>
      <c r="R269" s="52"/>
    </row>
    <row r="270" spans="1:31" ht="13.5" thickBot="1">
      <c r="B270" s="329"/>
      <c r="C270" s="329"/>
      <c r="D270" s="56"/>
      <c r="E270" s="56"/>
      <c r="F270" s="56"/>
      <c r="G270" s="56"/>
      <c r="H270" s="56"/>
      <c r="I270" s="56"/>
      <c r="J270" s="56"/>
      <c r="K270" s="330"/>
      <c r="L270" s="331"/>
      <c r="M270" s="331"/>
      <c r="N270" s="330"/>
      <c r="O270" s="330"/>
      <c r="Q270" s="330"/>
      <c r="R270" s="330"/>
    </row>
    <row r="271" spans="1:31" ht="50.1" customHeight="1" thickTop="1" thickBot="1">
      <c r="B271" s="332" t="s">
        <v>16</v>
      </c>
      <c r="C271" s="744" t="s">
        <v>121</v>
      </c>
      <c r="D271" s="333" t="s">
        <v>17</v>
      </c>
      <c r="E271" s="746" t="s">
        <v>18</v>
      </c>
      <c r="F271" s="747"/>
      <c r="G271" s="748" t="s">
        <v>117</v>
      </c>
      <c r="H271" s="749"/>
      <c r="I271" s="744" t="s">
        <v>39</v>
      </c>
      <c r="J271" s="744" t="s">
        <v>0</v>
      </c>
      <c r="K271" s="665" t="s">
        <v>19</v>
      </c>
      <c r="L271" s="750" t="s">
        <v>20</v>
      </c>
      <c r="M271" s="751"/>
      <c r="N271" s="68" t="s">
        <v>52</v>
      </c>
      <c r="O271" s="501" t="s">
        <v>151</v>
      </c>
      <c r="Q271" s="665" t="s">
        <v>127</v>
      </c>
      <c r="R271" s="665" t="s">
        <v>138</v>
      </c>
      <c r="S271" s="665" t="s">
        <v>163</v>
      </c>
      <c r="T271" s="565">
        <f>IF(VLOOKUP(F268,PROPONENTES!$C$19:$E$54,3,0)="","",VLOOKUP(F268,PROPONENTES!$C$19:$E$54,3,0))</f>
        <v>2</v>
      </c>
      <c r="U271" s="582"/>
      <c r="W271" s="737" t="s">
        <v>167</v>
      </c>
      <c r="X271" s="738"/>
      <c r="Y271" s="738"/>
      <c r="Z271" s="738"/>
      <c r="AA271" s="738"/>
      <c r="AB271" s="738"/>
      <c r="AC271" s="738"/>
      <c r="AD271" s="738"/>
      <c r="AE271" s="739"/>
    </row>
    <row r="272" spans="1:31" ht="50.1" customHeight="1" thickTop="1" thickBot="1">
      <c r="B272" s="334" t="s">
        <v>21</v>
      </c>
      <c r="C272" s="745"/>
      <c r="D272" s="335" t="s">
        <v>22</v>
      </c>
      <c r="E272" s="366" t="s">
        <v>23</v>
      </c>
      <c r="F272" s="336" t="s">
        <v>24</v>
      </c>
      <c r="G272" s="337" t="s">
        <v>118</v>
      </c>
      <c r="H272" s="338" t="s">
        <v>119</v>
      </c>
      <c r="I272" s="745"/>
      <c r="J272" s="745"/>
      <c r="K272" s="663" t="s">
        <v>120</v>
      </c>
      <c r="L272" s="339" t="s">
        <v>150</v>
      </c>
      <c r="M272" s="340" t="s">
        <v>14</v>
      </c>
      <c r="N272" s="341" t="s">
        <v>14</v>
      </c>
      <c r="O272" s="502" t="s">
        <v>152</v>
      </c>
      <c r="Q272" s="663" t="s">
        <v>128</v>
      </c>
      <c r="R272" s="663" t="s">
        <v>139</v>
      </c>
      <c r="S272" s="663" t="s">
        <v>164</v>
      </c>
      <c r="T272" s="575" t="s">
        <v>83</v>
      </c>
      <c r="U272" s="583"/>
      <c r="W272" s="740" t="s">
        <v>166</v>
      </c>
      <c r="X272" s="743"/>
      <c r="Y272" s="663" t="s">
        <v>168</v>
      </c>
      <c r="Z272" s="663" t="s">
        <v>169</v>
      </c>
      <c r="AA272" s="663" t="s">
        <v>174</v>
      </c>
      <c r="AB272" s="740" t="s">
        <v>524</v>
      </c>
      <c r="AC272" s="741"/>
      <c r="AD272" s="742" t="s">
        <v>522</v>
      </c>
      <c r="AE272" s="741"/>
    </row>
    <row r="273" spans="1:31" ht="14.25" hidden="1" customHeight="1">
      <c r="B273" s="342">
        <v>0</v>
      </c>
      <c r="C273" s="347"/>
      <c r="D273" s="343"/>
      <c r="E273" s="367"/>
      <c r="F273" s="344"/>
      <c r="G273" s="345"/>
      <c r="H273" s="346"/>
      <c r="I273" s="347"/>
      <c r="J273" s="347"/>
      <c r="K273" s="347"/>
      <c r="L273" s="348"/>
      <c r="M273" s="349"/>
      <c r="N273" s="350"/>
      <c r="O273" s="347"/>
      <c r="Q273" s="347"/>
      <c r="R273" s="347"/>
      <c r="S273" s="347"/>
      <c r="T273" s="563"/>
      <c r="U273" s="584"/>
      <c r="W273" s="502" t="s">
        <v>166</v>
      </c>
      <c r="X273" s="502"/>
      <c r="Y273" s="502" t="s">
        <v>168</v>
      </c>
      <c r="Z273" s="502" t="s">
        <v>169</v>
      </c>
      <c r="AA273" s="502" t="s">
        <v>170</v>
      </c>
      <c r="AB273" s="661" t="s">
        <v>170</v>
      </c>
      <c r="AC273" s="661" t="s">
        <v>170</v>
      </c>
      <c r="AD273" s="661" t="s">
        <v>170</v>
      </c>
      <c r="AE273" s="661" t="s">
        <v>170</v>
      </c>
    </row>
    <row r="274" spans="1:31" s="353" customFormat="1" ht="22.5" customHeight="1" thickTop="1">
      <c r="A274" s="351"/>
      <c r="B274" s="342">
        <f>IF(D274="","",B273+1)</f>
        <v>1</v>
      </c>
      <c r="C274" s="609">
        <v>38</v>
      </c>
      <c r="D274" s="610" t="s">
        <v>217</v>
      </c>
      <c r="E274" s="611" t="s">
        <v>443</v>
      </c>
      <c r="F274" s="612" t="s">
        <v>445</v>
      </c>
      <c r="G274" s="613" t="s">
        <v>226</v>
      </c>
      <c r="H274" s="614">
        <v>1</v>
      </c>
      <c r="I274" s="615" t="s">
        <v>173</v>
      </c>
      <c r="J274" s="616" t="s">
        <v>289</v>
      </c>
      <c r="K274" s="617">
        <v>43041</v>
      </c>
      <c r="L274" s="618">
        <v>67.75</v>
      </c>
      <c r="M274" s="494">
        <f>IF(OR(K274="",L274=""),"",IF(I274="SI",H274*L274,""))</f>
        <v>67.75</v>
      </c>
      <c r="N274" s="503">
        <f>IF(OR(I274="",M274=""),"",IF(I274="NO",0,IF(I274="SI",ROUND(M274,3),0)))</f>
        <v>67.75</v>
      </c>
      <c r="O274" s="636"/>
      <c r="Q274" s="352" t="str">
        <f t="shared" ref="Q274:Q279" si="104">IF(K274="","",IF(AND(YEAR(K274)&gt;=YEAR($M$15), I274="SI",K274&lt;=$N$15),"CUMPLE","NO CUMPLE"))</f>
        <v>CUMPLE</v>
      </c>
      <c r="R274" s="636" t="s">
        <v>140</v>
      </c>
      <c r="S274" s="352" t="str">
        <f>IF(T274="","",IF(T274&gt;=20%,"CUMPLE","NO CUMPLE"))</f>
        <v>CUMPLE</v>
      </c>
      <c r="T274" s="656">
        <f t="shared" ref="T274:T279" si="105">IF(R274="","",VLOOKUP(J274,INTEGRAN,2,FALSE))</f>
        <v>0.6</v>
      </c>
      <c r="U274" s="585"/>
      <c r="W274" s="594">
        <v>1</v>
      </c>
      <c r="X274" s="595" t="str">
        <f>IF(AND(W274&lt;=$T271,$T271&gt;1,$T271&lt;&gt;""),VLOOKUP(VALUE($F268&amp;","&amp;W274),INTEGRANTES!$D$19:$G$106,2,0),"")</f>
        <v>NICOLAS RAFAEL REDONDO MOLINA</v>
      </c>
      <c r="Y274" s="596">
        <f>IF(X274&lt;&gt;"",VLOOKUP(VALUE($F268&amp;","&amp;$W274),INTEGRANTES!$D$19:$G$106,3,0),"")</f>
        <v>0.6</v>
      </c>
      <c r="Z274" s="597">
        <f>IF(X274="","",SUMIF($J274:$J279,$X274,$N274:$N279))</f>
        <v>349.02100000000002</v>
      </c>
      <c r="AA274" s="604" t="str">
        <f>IF($Y274="","",IF(AND($Y274&gt;=20%,$Z274&gt;=$Z280),"CUMPLE","NO CUMPLE"))</f>
        <v>CUMPLE</v>
      </c>
      <c r="AB274" s="681" t="s">
        <v>525</v>
      </c>
      <c r="AC274" s="592" t="str">
        <f t="shared" ref="AC274:AC279" si="106">IF(X274="","",IF(AND(Y274&gt;=40%,AB274="SI"),"CUMPLE","NO CUMPLE"))</f>
        <v>CUMPLE</v>
      </c>
      <c r="AD274" s="681" t="s">
        <v>525</v>
      </c>
      <c r="AE274" s="593" t="str">
        <f t="shared" ref="AE274:AE279" si="107">IF(X274="","",IF(AD274="SI","CUMPLE","NO CUMPLE"))</f>
        <v>CUMPLE</v>
      </c>
    </row>
    <row r="275" spans="1:31" s="353" customFormat="1" ht="22.5" customHeight="1">
      <c r="A275" s="351"/>
      <c r="B275" s="342">
        <f>IF(D275="","",B274+1)</f>
        <v>2</v>
      </c>
      <c r="C275" s="619">
        <v>38</v>
      </c>
      <c r="D275" s="610" t="s">
        <v>217</v>
      </c>
      <c r="E275" s="621" t="s">
        <v>444</v>
      </c>
      <c r="F275" s="622" t="s">
        <v>446</v>
      </c>
      <c r="G275" s="623" t="s">
        <v>172</v>
      </c>
      <c r="H275" s="624">
        <v>0.3</v>
      </c>
      <c r="I275" s="625" t="s">
        <v>173</v>
      </c>
      <c r="J275" s="629" t="s">
        <v>289</v>
      </c>
      <c r="K275" s="627">
        <v>41728</v>
      </c>
      <c r="L275" s="618">
        <v>937.57</v>
      </c>
      <c r="M275" s="556">
        <f>IF(OR(K275="",L275=""),"",IF(I275="SI",H275*L275,""))</f>
        <v>281.27100000000002</v>
      </c>
      <c r="N275" s="504">
        <f>IF(OR(I275="",M275=""),"",IF(I275="SI",ROUND(M275,3),0))</f>
        <v>281.27100000000002</v>
      </c>
      <c r="O275" s="636"/>
      <c r="Q275" s="352" t="str">
        <f t="shared" si="104"/>
        <v>CUMPLE</v>
      </c>
      <c r="R275" s="636"/>
      <c r="S275" s="352" t="str">
        <f t="shared" ref="S275:S279" si="108">IF(T275="","",IF(T275&gt;=20%,"CUMPLE","NO CUMPLE"))</f>
        <v/>
      </c>
      <c r="T275" s="656" t="str">
        <f t="shared" si="105"/>
        <v/>
      </c>
      <c r="U275" s="586"/>
      <c r="W275" s="594">
        <v>2</v>
      </c>
      <c r="X275" s="595" t="str">
        <f>IF(AND(W275&lt;=$T271,$T271&gt;1,$T271&lt;&gt;""),VLOOKUP(VALUE($F268&amp;","&amp;W275),INTEGRANTES!$D$19:$G$106,2,0),"")</f>
        <v>OSCAR ALBERTO LOPEZ NUÑEZ</v>
      </c>
      <c r="Y275" s="596">
        <f>IF(X275&lt;&gt;"",VLOOKUP(VALUE($F268&amp;","&amp;$W275),INTEGRANTES!$D$19:$G$106,3,0),"")</f>
        <v>0.4</v>
      </c>
      <c r="Z275" s="597">
        <f>IF(X275="","",SUMIF($J274:$J279,$X275,$N274:$N279))</f>
        <v>282.66000000000003</v>
      </c>
      <c r="AA275" s="604" t="str">
        <f>IF($Y275="","",IF(AND($Y275&gt;=20%,$Z275&gt;=$Z280),"CUMPLE","NO CUMPLE"))</f>
        <v>NO CUMPLE</v>
      </c>
      <c r="AB275" s="682"/>
      <c r="AC275" s="593" t="str">
        <f t="shared" si="106"/>
        <v>NO CUMPLE</v>
      </c>
      <c r="AD275" s="682"/>
      <c r="AE275" s="593" t="str">
        <f t="shared" si="107"/>
        <v>NO CUMPLE</v>
      </c>
    </row>
    <row r="276" spans="1:31" s="353" customFormat="1" ht="22.5" customHeight="1">
      <c r="A276" s="351"/>
      <c r="B276" s="342">
        <f t="shared" ref="B276:B279" si="109">IF(D276="","",B275+1)</f>
        <v>3</v>
      </c>
      <c r="C276" s="619">
        <v>51</v>
      </c>
      <c r="D276" s="610" t="s">
        <v>448</v>
      </c>
      <c r="E276" s="628" t="s">
        <v>400</v>
      </c>
      <c r="F276" s="622" t="s">
        <v>447</v>
      </c>
      <c r="G276" s="623" t="s">
        <v>226</v>
      </c>
      <c r="H276" s="624">
        <v>1</v>
      </c>
      <c r="I276" s="625" t="s">
        <v>173</v>
      </c>
      <c r="J276" s="629" t="s">
        <v>290</v>
      </c>
      <c r="K276" s="627">
        <v>42452</v>
      </c>
      <c r="L276" s="618">
        <v>282.66000000000003</v>
      </c>
      <c r="M276" s="556">
        <f t="shared" ref="M276:M279" si="110">IF(OR(K276="",L276=""),"",IF(I276="SI",H276*L276,""))</f>
        <v>282.66000000000003</v>
      </c>
      <c r="N276" s="504">
        <f>IF(OR(I276="",M276=""),"",IF(I276="SI",ROUND(M276,3),0))</f>
        <v>282.66000000000003</v>
      </c>
      <c r="O276" s="636"/>
      <c r="Q276" s="352" t="str">
        <f t="shared" si="104"/>
        <v>CUMPLE</v>
      </c>
      <c r="R276" s="636"/>
      <c r="S276" s="352" t="str">
        <f t="shared" si="108"/>
        <v/>
      </c>
      <c r="T276" s="656" t="str">
        <f t="shared" si="105"/>
        <v/>
      </c>
      <c r="U276" s="586"/>
      <c r="W276" s="594">
        <v>3</v>
      </c>
      <c r="X276" s="595" t="str">
        <f>IF(AND(W276&lt;=$T271,$T271&gt;1,$T271&lt;&gt;""),VLOOKUP(VALUE($F268&amp;","&amp;W276),INTEGRANTES!$D$19:$G$106,2,0),"")</f>
        <v/>
      </c>
      <c r="Y276" s="596" t="str">
        <f>IF(X276&lt;&gt;"",VLOOKUP(VALUE($F268&amp;","&amp;$W276),INTEGRANTES!$D$19:$G$106,3,0),"")</f>
        <v/>
      </c>
      <c r="Z276" s="597" t="str">
        <f>IF(X276="","",SUMIF($J274:$J279,$X276,$N274:$N279))</f>
        <v/>
      </c>
      <c r="AA276" s="604" t="str">
        <f>IF($Y276="","",IF(AND($Y276&gt;=20%,$Z276&gt;=$Z280),"CUMPLE","NO CUMPLE"))</f>
        <v/>
      </c>
      <c r="AB276" s="682"/>
      <c r="AC276" s="593" t="str">
        <f t="shared" si="106"/>
        <v/>
      </c>
      <c r="AD276" s="682"/>
      <c r="AE276" s="593" t="str">
        <f t="shared" si="107"/>
        <v/>
      </c>
    </row>
    <row r="277" spans="1:31" s="353" customFormat="1" ht="22.5" customHeight="1">
      <c r="A277" s="351"/>
      <c r="B277" s="342" t="str">
        <f t="shared" si="109"/>
        <v/>
      </c>
      <c r="C277" s="619"/>
      <c r="D277" s="620"/>
      <c r="E277" s="628"/>
      <c r="F277" s="622"/>
      <c r="G277" s="623"/>
      <c r="H277" s="624"/>
      <c r="I277" s="625"/>
      <c r="J277" s="629"/>
      <c r="K277" s="627"/>
      <c r="L277" s="618"/>
      <c r="M277" s="555" t="str">
        <f t="shared" si="110"/>
        <v/>
      </c>
      <c r="N277" s="504" t="str">
        <f>IF(OR(I277="",M277=""),"",IF(I277="SI",ROUND(M277,3),0))</f>
        <v/>
      </c>
      <c r="O277" s="636"/>
      <c r="Q277" s="352" t="str">
        <f t="shared" si="104"/>
        <v/>
      </c>
      <c r="R277" s="636"/>
      <c r="S277" s="352" t="str">
        <f t="shared" si="108"/>
        <v/>
      </c>
      <c r="T277" s="656" t="str">
        <f t="shared" si="105"/>
        <v/>
      </c>
      <c r="U277" s="586"/>
      <c r="W277" s="594">
        <v>4</v>
      </c>
      <c r="X277" s="595" t="str">
        <f>IF(AND(W277&lt;=$T271,$T271&gt;1,$T271&lt;&gt;""),VLOOKUP(VALUE($F268&amp;","&amp;W277),INTEGRANTES!$D$19:$G$106,2,0),"")</f>
        <v/>
      </c>
      <c r="Y277" s="596" t="str">
        <f>IF(X277&lt;&gt;"",VLOOKUP(VALUE($F268&amp;","&amp;$W277),INTEGRANTES!$D$19:$G$106,3,0),"")</f>
        <v/>
      </c>
      <c r="Z277" s="597" t="str">
        <f>IF(X277="","",SUMIF($J274:$J279,$X277,$N274:$N279))</f>
        <v/>
      </c>
      <c r="AA277" s="604" t="str">
        <f>IF($Y277="","",IF(AND($Y277&gt;=20%,$Z277&gt;=$Z280),"CUMPLE","NO CUMPLE"))</f>
        <v/>
      </c>
      <c r="AB277" s="682"/>
      <c r="AC277" s="593" t="str">
        <f t="shared" si="106"/>
        <v/>
      </c>
      <c r="AD277" s="682"/>
      <c r="AE277" s="593" t="str">
        <f t="shared" si="107"/>
        <v/>
      </c>
    </row>
    <row r="278" spans="1:31" s="353" customFormat="1" ht="22.5" customHeight="1">
      <c r="A278" s="351"/>
      <c r="B278" s="342" t="str">
        <f t="shared" si="109"/>
        <v/>
      </c>
      <c r="C278" s="619"/>
      <c r="D278" s="620"/>
      <c r="E278" s="628"/>
      <c r="F278" s="622"/>
      <c r="G278" s="623"/>
      <c r="H278" s="624"/>
      <c r="I278" s="625"/>
      <c r="J278" s="629"/>
      <c r="K278" s="627"/>
      <c r="L278" s="618"/>
      <c r="M278" s="556" t="str">
        <f t="shared" si="110"/>
        <v/>
      </c>
      <c r="N278" s="504" t="str">
        <f>IF(OR(I278="",M278=""),"",IF(I278="SI",ROUND(M278,3),0))</f>
        <v/>
      </c>
      <c r="O278" s="636"/>
      <c r="Q278" s="352" t="str">
        <f t="shared" si="104"/>
        <v/>
      </c>
      <c r="R278" s="636"/>
      <c r="S278" s="352" t="str">
        <f t="shared" si="108"/>
        <v/>
      </c>
      <c r="T278" s="656" t="str">
        <f t="shared" si="105"/>
        <v/>
      </c>
      <c r="U278" s="586"/>
      <c r="W278" s="594">
        <v>5</v>
      </c>
      <c r="X278" s="595" t="str">
        <f>IF(AND(W278&lt;=$T271,$T271&gt;1,$T271&lt;&gt;""),VLOOKUP(VALUE($F268&amp;","&amp;W278),INTEGRANTES!$D$19:$G$106,2,0),"")</f>
        <v/>
      </c>
      <c r="Y278" s="596" t="str">
        <f>IF(X278&lt;&gt;"",VLOOKUP(VALUE($F268&amp;","&amp;$W278),INTEGRANTES!$D$19:$G$106,3,0),"")</f>
        <v/>
      </c>
      <c r="Z278" s="597" t="str">
        <f>IF(X278="","",SUMIF($J274:$J279,$X278,$N274:$N279))</f>
        <v/>
      </c>
      <c r="AA278" s="604" t="str">
        <f>IF($Y278="","",IF(AND($Y278&gt;=20%,$Z278&gt;=$Z280),"CUMPLE","NO CUMPLE"))</f>
        <v/>
      </c>
      <c r="AB278" s="682"/>
      <c r="AC278" s="593" t="str">
        <f t="shared" si="106"/>
        <v/>
      </c>
      <c r="AD278" s="682"/>
      <c r="AE278" s="593" t="str">
        <f t="shared" si="107"/>
        <v/>
      </c>
    </row>
    <row r="279" spans="1:31" s="353" customFormat="1" ht="22.5" customHeight="1">
      <c r="A279" s="351"/>
      <c r="B279" s="342" t="str">
        <f t="shared" si="109"/>
        <v/>
      </c>
      <c r="C279" s="619"/>
      <c r="D279" s="620"/>
      <c r="E279" s="628"/>
      <c r="F279" s="622"/>
      <c r="G279" s="623"/>
      <c r="H279" s="624"/>
      <c r="I279" s="625"/>
      <c r="J279" s="629"/>
      <c r="K279" s="627"/>
      <c r="L279" s="618"/>
      <c r="M279" s="555" t="str">
        <f t="shared" si="110"/>
        <v/>
      </c>
      <c r="N279" s="504" t="str">
        <f>IF(OR(I279="",M279=""),"",IF(I279="SI",ROUND(M279,3),0))</f>
        <v/>
      </c>
      <c r="O279" s="636"/>
      <c r="Q279" s="352" t="str">
        <f t="shared" si="104"/>
        <v/>
      </c>
      <c r="R279" s="636"/>
      <c r="S279" s="352" t="str">
        <f t="shared" si="108"/>
        <v/>
      </c>
      <c r="T279" s="656" t="str">
        <f t="shared" si="105"/>
        <v/>
      </c>
      <c r="U279" s="586"/>
      <c r="W279" s="599">
        <v>6</v>
      </c>
      <c r="X279" s="595" t="str">
        <f>IF(AND(W279&lt;=$T271,$T271&gt;1,$T271&lt;&gt;""),VLOOKUP(VALUE($F268&amp;","&amp;W279),INTEGRANTES!$D$19:$G$106,2,0),"")</f>
        <v/>
      </c>
      <c r="Y279" s="606" t="str">
        <f>IF(X279&lt;&gt;"",VLOOKUP(VALUE($F268&amp;","&amp;$W279),INTEGRANTES!$D$19:$G$106,3,0),"")</f>
        <v/>
      </c>
      <c r="Z279" s="607" t="str">
        <f>IF(X279="","",SUMIF($J274:$J279,$X279,$N274:$N279))</f>
        <v/>
      </c>
      <c r="AA279" s="608" t="str">
        <f>IF($Y279="","",IF(AND($Y279&gt;=20%,$Z279&gt;=$Z280),"CUMPLE","NO CUMPLE"))</f>
        <v/>
      </c>
      <c r="AB279" s="682"/>
      <c r="AC279" s="593" t="str">
        <f t="shared" si="106"/>
        <v/>
      </c>
      <c r="AD279" s="682"/>
      <c r="AE279" s="593" t="str">
        <f t="shared" si="107"/>
        <v/>
      </c>
    </row>
    <row r="280" spans="1:31" ht="5.0999999999999996" customHeight="1" thickBot="1">
      <c r="B280" s="354"/>
      <c r="C280" s="359"/>
      <c r="D280" s="355"/>
      <c r="E280" s="368"/>
      <c r="F280" s="355"/>
      <c r="G280" s="355"/>
      <c r="H280" s="355"/>
      <c r="I280" s="356"/>
      <c r="J280" s="357"/>
      <c r="K280" s="358"/>
      <c r="L280" s="355"/>
      <c r="M280" s="356"/>
      <c r="N280" s="360"/>
      <c r="O280" s="352" t="str">
        <f>IF(L280="","",IF(AND(L280&gt;=YEAR($M$15), J280="SI",L280&lt;=S274),"CUMPLE","NO CUMPLE"))</f>
        <v/>
      </c>
      <c r="Q280" s="352" t="str">
        <f>IF(N280="","",IF(AND(N280&gt;=YEAR($M$15), L280="SI",N280&lt;=V274),"CUMPLE","NO CUMPLE"))</f>
        <v/>
      </c>
      <c r="R280" s="352" t="str">
        <f>IF(P280="","",IF(AND(P280&gt;=YEAR($M$15), M280="SI",P280&lt;=W274),"CUMPLE","NO CUMPLE"))</f>
        <v/>
      </c>
      <c r="S280" s="352" t="str">
        <f>IF(P280="","",IF(AND(P280&gt;=YEAR($M$15), N280="SI",P280&lt;=X274),"CUMPLE","NO CUMPLE"))</f>
        <v/>
      </c>
      <c r="T280" s="564"/>
      <c r="U280" s="586"/>
      <c r="W280" s="600"/>
      <c r="X280" s="600"/>
      <c r="Y280" s="600"/>
      <c r="Z280" s="605">
        <f>MAX(Z274:Z279)</f>
        <v>349.02100000000002</v>
      </c>
      <c r="AA280" s="600"/>
      <c r="AB280" s="602"/>
      <c r="AC280" s="602"/>
      <c r="AD280" s="602"/>
      <c r="AE280" s="602"/>
    </row>
    <row r="281" spans="1:31" s="52" customFormat="1" ht="17.100000000000001" customHeight="1" thickTop="1" thickBot="1">
      <c r="A281" s="361">
        <f>F268</f>
        <v>15</v>
      </c>
      <c r="B281" s="364"/>
      <c r="C281" s="379"/>
      <c r="D281" s="664"/>
      <c r="E281" s="752"/>
      <c r="F281" s="752"/>
      <c r="G281" s="752"/>
      <c r="H281" s="752"/>
      <c r="I281" s="752"/>
      <c r="J281" s="752"/>
      <c r="K281" s="752"/>
      <c r="L281" s="753"/>
      <c r="M281" s="754"/>
      <c r="N281" s="365">
        <f>SUM(N274:N280)</f>
        <v>631.68100000000004</v>
      </c>
      <c r="O281" s="373"/>
      <c r="Q281" s="373" t="str">
        <f>IF(COUNTIF(Q274:Q277,"CUMPLE")&gt;0,"CUMPLE","NO CUMPLE")</f>
        <v>CUMPLE</v>
      </c>
      <c r="R281" s="374" t="str">
        <f>IF(COUNTIF(R274:R277,"COLOMBIA")&gt;0,"CUMPLE","NO CUMPLE")</f>
        <v>CUMPLE</v>
      </c>
      <c r="S281" s="373" t="str">
        <f>IF(COUNTIF(S274:S277,"CUMPLE")&gt;0,"CUMPLE","NO CUMPLE")</f>
        <v>CUMPLE</v>
      </c>
      <c r="T281" s="566"/>
      <c r="U281" s="587"/>
      <c r="AA281" s="589" t="str">
        <f>IF(COUNTIF(AA274:AA279,"CUMPLE")&gt;0,"CUMPLE","NO CUMPLE")</f>
        <v>CUMPLE</v>
      </c>
      <c r="AB281" s="735" t="str">
        <f>IF(COUNTIF(AC274:AC279,"CUMPLE")&gt;0,"CUMPLE","NO CUMPLE")</f>
        <v>CUMPLE</v>
      </c>
      <c r="AC281" s="736"/>
      <c r="AD281" s="735" t="str">
        <f>IF(COUNTIF(AE274:AE279,"CUMPLE")&gt;0,"CUMPLE","NO CUMPLE")</f>
        <v>CUMPLE</v>
      </c>
      <c r="AE281" s="736"/>
    </row>
    <row r="282" spans="1:31" ht="16.5" thickTop="1">
      <c r="B282" s="557"/>
      <c r="C282" s="558"/>
      <c r="D282" s="558"/>
      <c r="E282" s="558"/>
      <c r="F282" s="558"/>
      <c r="G282" s="558"/>
      <c r="H282" s="558"/>
      <c r="I282" s="558"/>
      <c r="J282" s="558"/>
      <c r="K282" s="558"/>
      <c r="L282" s="80"/>
      <c r="M282" s="362" t="s">
        <v>516</v>
      </c>
      <c r="N282" s="369">
        <f ca="1">VFrequerido!Y29</f>
        <v>537.11</v>
      </c>
      <c r="O282" s="568"/>
      <c r="Q282" s="570"/>
      <c r="R282" s="571"/>
      <c r="S282" s="572"/>
      <c r="T282" s="573"/>
      <c r="U282" s="80"/>
    </row>
    <row r="283" spans="1:31" ht="15.75" thickBot="1">
      <c r="A283" s="490" t="str">
        <f>"E"&amp;F268</f>
        <v>E15</v>
      </c>
      <c r="B283" s="559"/>
      <c r="C283" s="560"/>
      <c r="D283" s="560"/>
      <c r="E283" s="560"/>
      <c r="F283" s="560"/>
      <c r="G283" s="560"/>
      <c r="H283" s="560"/>
      <c r="I283" s="560"/>
      <c r="J283" s="560"/>
      <c r="K283" s="560"/>
      <c r="L283" s="363"/>
      <c r="M283" s="755" t="str">
        <f ca="1">IF(OR(N281=0,N281&lt;N282),"NO CUMPLE","CUMPLE")</f>
        <v>CUMPLE</v>
      </c>
      <c r="N283" s="756"/>
      <c r="O283" s="569"/>
      <c r="Q283" s="492"/>
      <c r="R283" s="493"/>
      <c r="S283" s="363"/>
      <c r="T283" s="574"/>
      <c r="U283" s="80"/>
    </row>
    <row r="284" spans="1:31" ht="13.5" thickTop="1"/>
    <row r="286" spans="1:31">
      <c r="F286" s="757">
        <f>F268+1</f>
        <v>16</v>
      </c>
      <c r="G286" s="758" t="str">
        <f>VLOOKUP(F286,PROPO,2,FALSE)</f>
        <v>CONSORCIO ADMON IG 100</v>
      </c>
      <c r="H286" s="758"/>
      <c r="I286" s="758"/>
      <c r="J286" s="758"/>
      <c r="K286" s="52"/>
      <c r="O286" s="52"/>
      <c r="Q286" s="52"/>
      <c r="R286" s="52"/>
    </row>
    <row r="287" spans="1:31">
      <c r="B287" s="328"/>
      <c r="C287" s="328"/>
      <c r="D287" s="328"/>
      <c r="E287" s="328"/>
      <c r="F287" s="757"/>
      <c r="G287" s="758"/>
      <c r="H287" s="758"/>
      <c r="I287" s="758"/>
      <c r="J287" s="758"/>
      <c r="K287" s="52"/>
      <c r="N287" s="567"/>
      <c r="O287" s="52"/>
      <c r="Q287" s="52"/>
      <c r="R287" s="52"/>
    </row>
    <row r="288" spans="1:31" ht="13.5" thickBot="1">
      <c r="B288" s="329"/>
      <c r="C288" s="329"/>
      <c r="D288" s="56"/>
      <c r="E288" s="56"/>
      <c r="F288" s="56"/>
      <c r="G288" s="56"/>
      <c r="H288" s="56"/>
      <c r="I288" s="56"/>
      <c r="J288" s="56"/>
      <c r="K288" s="330"/>
      <c r="L288" s="331"/>
      <c r="M288" s="331"/>
      <c r="N288" s="330"/>
      <c r="O288" s="330"/>
      <c r="Q288" s="330"/>
      <c r="R288" s="330"/>
    </row>
    <row r="289" spans="1:31" ht="50.1" customHeight="1" thickTop="1" thickBot="1">
      <c r="B289" s="332" t="s">
        <v>16</v>
      </c>
      <c r="C289" s="744" t="s">
        <v>121</v>
      </c>
      <c r="D289" s="333" t="s">
        <v>17</v>
      </c>
      <c r="E289" s="746" t="s">
        <v>18</v>
      </c>
      <c r="F289" s="747"/>
      <c r="G289" s="748" t="s">
        <v>117</v>
      </c>
      <c r="H289" s="749"/>
      <c r="I289" s="744" t="s">
        <v>39</v>
      </c>
      <c r="J289" s="744" t="s">
        <v>0</v>
      </c>
      <c r="K289" s="665" t="s">
        <v>19</v>
      </c>
      <c r="L289" s="750" t="s">
        <v>20</v>
      </c>
      <c r="M289" s="751"/>
      <c r="N289" s="68" t="s">
        <v>52</v>
      </c>
      <c r="O289" s="501" t="s">
        <v>151</v>
      </c>
      <c r="Q289" s="665" t="s">
        <v>127</v>
      </c>
      <c r="R289" s="665" t="s">
        <v>138</v>
      </c>
      <c r="S289" s="665" t="s">
        <v>163</v>
      </c>
      <c r="T289" s="565">
        <f>IF(VLOOKUP(F286,PROPONENTES!$C$19:$E$54,3,0)="","",VLOOKUP(F286,PROPONENTES!$C$19:$E$54,3,0))</f>
        <v>3</v>
      </c>
      <c r="U289" s="582"/>
      <c r="W289" s="737" t="s">
        <v>167</v>
      </c>
      <c r="X289" s="738"/>
      <c r="Y289" s="738"/>
      <c r="Z289" s="738"/>
      <c r="AA289" s="738"/>
      <c r="AB289" s="738"/>
      <c r="AC289" s="738"/>
      <c r="AD289" s="738"/>
      <c r="AE289" s="739"/>
    </row>
    <row r="290" spans="1:31" ht="50.1" customHeight="1" thickTop="1" thickBot="1">
      <c r="B290" s="334" t="s">
        <v>21</v>
      </c>
      <c r="C290" s="745"/>
      <c r="D290" s="335" t="s">
        <v>22</v>
      </c>
      <c r="E290" s="366" t="s">
        <v>23</v>
      </c>
      <c r="F290" s="336" t="s">
        <v>24</v>
      </c>
      <c r="G290" s="337" t="s">
        <v>118</v>
      </c>
      <c r="H290" s="338" t="s">
        <v>119</v>
      </c>
      <c r="I290" s="745"/>
      <c r="J290" s="745"/>
      <c r="K290" s="663" t="s">
        <v>120</v>
      </c>
      <c r="L290" s="339" t="s">
        <v>150</v>
      </c>
      <c r="M290" s="340" t="s">
        <v>14</v>
      </c>
      <c r="N290" s="341" t="s">
        <v>14</v>
      </c>
      <c r="O290" s="502" t="s">
        <v>152</v>
      </c>
      <c r="Q290" s="663" t="s">
        <v>128</v>
      </c>
      <c r="R290" s="663" t="s">
        <v>139</v>
      </c>
      <c r="S290" s="663" t="s">
        <v>164</v>
      </c>
      <c r="T290" s="575" t="s">
        <v>83</v>
      </c>
      <c r="U290" s="583"/>
      <c r="W290" s="740" t="s">
        <v>166</v>
      </c>
      <c r="X290" s="743"/>
      <c r="Y290" s="663" t="s">
        <v>168</v>
      </c>
      <c r="Z290" s="663" t="s">
        <v>169</v>
      </c>
      <c r="AA290" s="663" t="s">
        <v>174</v>
      </c>
      <c r="AB290" s="740" t="s">
        <v>524</v>
      </c>
      <c r="AC290" s="741"/>
      <c r="AD290" s="742" t="s">
        <v>522</v>
      </c>
      <c r="AE290" s="741"/>
    </row>
    <row r="291" spans="1:31" ht="14.25" hidden="1" customHeight="1">
      <c r="B291" s="342">
        <v>0</v>
      </c>
      <c r="C291" s="347"/>
      <c r="D291" s="343"/>
      <c r="E291" s="367"/>
      <c r="F291" s="344"/>
      <c r="G291" s="345"/>
      <c r="H291" s="346"/>
      <c r="I291" s="347"/>
      <c r="J291" s="347"/>
      <c r="K291" s="347"/>
      <c r="L291" s="348"/>
      <c r="M291" s="349"/>
      <c r="N291" s="350"/>
      <c r="O291" s="347"/>
      <c r="Q291" s="347"/>
      <c r="R291" s="347"/>
      <c r="S291" s="347"/>
      <c r="T291" s="563"/>
      <c r="U291" s="584"/>
      <c r="W291" s="502" t="s">
        <v>166</v>
      </c>
      <c r="X291" s="502"/>
      <c r="Y291" s="502" t="s">
        <v>168</v>
      </c>
      <c r="Z291" s="502" t="s">
        <v>169</v>
      </c>
      <c r="AA291" s="502" t="s">
        <v>170</v>
      </c>
      <c r="AB291" s="661" t="s">
        <v>170</v>
      </c>
      <c r="AC291" s="661" t="s">
        <v>170</v>
      </c>
      <c r="AD291" s="661" t="s">
        <v>170</v>
      </c>
      <c r="AE291" s="661" t="s">
        <v>170</v>
      </c>
    </row>
    <row r="292" spans="1:31" s="353" customFormat="1" ht="22.5" customHeight="1" thickTop="1">
      <c r="A292" s="351"/>
      <c r="B292" s="342">
        <f>IF(D292="","",B291+1)</f>
        <v>1</v>
      </c>
      <c r="C292" s="609">
        <v>58</v>
      </c>
      <c r="D292" s="610" t="s">
        <v>277</v>
      </c>
      <c r="E292" s="611">
        <v>2071746</v>
      </c>
      <c r="F292" s="612" t="s">
        <v>278</v>
      </c>
      <c r="G292" s="613" t="s">
        <v>172</v>
      </c>
      <c r="H292" s="614">
        <v>0.5</v>
      </c>
      <c r="I292" s="615" t="s">
        <v>173</v>
      </c>
      <c r="J292" s="616" t="s">
        <v>292</v>
      </c>
      <c r="K292" s="617">
        <v>39563</v>
      </c>
      <c r="L292" s="618">
        <v>289.88</v>
      </c>
      <c r="M292" s="494">
        <f>IF(OR(K292="",L292=""),"",IF(I292="SI",H292*L292,""))</f>
        <v>144.94</v>
      </c>
      <c r="N292" s="503">
        <f>IF(OR(I292="",M292=""),"",IF(I292="NO",0,IF(I292="SI",ROUND(M292,3),0)))</f>
        <v>144.94</v>
      </c>
      <c r="O292" s="636"/>
      <c r="Q292" s="352" t="str">
        <f t="shared" ref="Q292:Q297" si="111">IF(K292="","",IF(AND(YEAR(K292)&gt;=YEAR($M$15), I292="SI",K292&lt;=$N$15),"CUMPLE","NO CUMPLE"))</f>
        <v>NO CUMPLE</v>
      </c>
      <c r="R292" s="636"/>
      <c r="S292" s="352" t="str">
        <f>IF(T292="","",IF(T292&gt;=20%,"CUMPLE","NO CUMPLE"))</f>
        <v/>
      </c>
      <c r="T292" s="656" t="str">
        <f t="shared" ref="T292:T297" si="112">IF(R292="","",VLOOKUP(J292,INTEGRAN,2,FALSE))</f>
        <v/>
      </c>
      <c r="U292" s="585"/>
      <c r="W292" s="594">
        <v>1</v>
      </c>
      <c r="X292" s="595" t="s">
        <v>291</v>
      </c>
      <c r="Y292" s="596">
        <f>IF(X292&lt;&gt;"",VLOOKUP(VALUE($F286&amp;","&amp;$W292),INTEGRANTES!$D$19:$G$106,3,0),"")</f>
        <v>0.6</v>
      </c>
      <c r="Z292" s="597">
        <f>IF(X292="","",SUMIF($J292:$J297,$X292,$N292:$N297))</f>
        <v>0</v>
      </c>
      <c r="AA292" s="604" t="str">
        <f>IF($Y292="","",IF(AND($Y292&gt;=20%,$Z292&gt;=$Z298),"CUMPLE","NO CUMPLE"))</f>
        <v>CUMPLE</v>
      </c>
      <c r="AB292" s="681" t="s">
        <v>525</v>
      </c>
      <c r="AC292" s="592" t="str">
        <f t="shared" ref="AC292:AC297" si="113">IF(X292="","",IF(AND(Y292&gt;=40%,AB292="SI"),"CUMPLE","NO CUMPLE"))</f>
        <v>CUMPLE</v>
      </c>
      <c r="AD292" s="681" t="s">
        <v>525</v>
      </c>
      <c r="AE292" s="593" t="str">
        <f t="shared" ref="AE292:AE297" si="114">IF(X292="","",IF(AD292="SI","CUMPLE","NO CUMPLE"))</f>
        <v>CUMPLE</v>
      </c>
    </row>
    <row r="293" spans="1:31" s="353" customFormat="1" ht="22.5" customHeight="1">
      <c r="A293" s="351"/>
      <c r="B293" s="342">
        <f>IF(D293="","",B292+1)</f>
        <v>2</v>
      </c>
      <c r="C293" s="619" t="s">
        <v>279</v>
      </c>
      <c r="D293" s="620" t="s">
        <v>280</v>
      </c>
      <c r="E293" s="621" t="s">
        <v>281</v>
      </c>
      <c r="F293" s="622" t="s">
        <v>282</v>
      </c>
      <c r="G293" s="623" t="s">
        <v>226</v>
      </c>
      <c r="H293" s="624">
        <v>0.5</v>
      </c>
      <c r="I293" s="625" t="s">
        <v>173</v>
      </c>
      <c r="J293" s="629" t="s">
        <v>292</v>
      </c>
      <c r="K293" s="627">
        <v>40567</v>
      </c>
      <c r="L293" s="618">
        <v>473.87</v>
      </c>
      <c r="M293" s="556">
        <f>IF(OR(K293="",L293=""),"",IF(I293="SI",H293*L293,""))</f>
        <v>236.935</v>
      </c>
      <c r="N293" s="504">
        <f>IF(OR(I293="",M293=""),"",IF(I293="SI",ROUND(M293,3),0))</f>
        <v>236.935</v>
      </c>
      <c r="O293" s="636"/>
      <c r="Q293" s="352" t="str">
        <f t="shared" si="111"/>
        <v>NO CUMPLE</v>
      </c>
      <c r="R293" s="636" t="s">
        <v>140</v>
      </c>
      <c r="S293" s="352" t="str">
        <f t="shared" ref="S293:S297" si="115">IF(T293="","",IF(T293&gt;=20%,"CUMPLE","NO CUMPLE"))</f>
        <v>CUMPLE</v>
      </c>
      <c r="T293" s="656">
        <f t="shared" si="112"/>
        <v>0.6</v>
      </c>
      <c r="U293" s="586"/>
      <c r="W293" s="594">
        <v>2</v>
      </c>
      <c r="X293" s="595" t="str">
        <f>IF(AND(W293&lt;=$T289,$T289&gt;1,$T289&lt;&gt;""),VLOOKUP(VALUE($F286&amp;","&amp;W293),INTEGRANTES!$D$19:$G$106,2,0),"")</f>
        <v>VICTOR HUGO BRAVO MARTÍNEZ</v>
      </c>
      <c r="Y293" s="596">
        <f>IF(X293&lt;&gt;"",VLOOKUP(VALUE($F286&amp;","&amp;$W293),INTEGRANTES!$D$19:$G$106,3,0),"")</f>
        <v>0.2</v>
      </c>
      <c r="Z293" s="597">
        <f>IF(X293="","",SUMIF($J292:$J297,$X293,$N292:$N297))</f>
        <v>0</v>
      </c>
      <c r="AA293" s="604" t="str">
        <f>IF($Y293="","",IF(AND($Y293&gt;=20%,$Z293&gt;=$Z298),"CUMPLE","NO CUMPLE"))</f>
        <v>CUMPLE</v>
      </c>
      <c r="AB293" s="682"/>
      <c r="AC293" s="593" t="str">
        <f t="shared" si="113"/>
        <v>NO CUMPLE</v>
      </c>
      <c r="AD293" s="682"/>
      <c r="AE293" s="593" t="str">
        <f t="shared" si="114"/>
        <v>NO CUMPLE</v>
      </c>
    </row>
    <row r="294" spans="1:31" s="353" customFormat="1" ht="22.5" customHeight="1">
      <c r="A294" s="351"/>
      <c r="B294" s="342">
        <f t="shared" ref="B294:B297" si="116">IF(D294="","",B293+1)</f>
        <v>3</v>
      </c>
      <c r="C294" s="619" t="s">
        <v>283</v>
      </c>
      <c r="D294" s="620" t="s">
        <v>284</v>
      </c>
      <c r="E294" s="628" t="s">
        <v>285</v>
      </c>
      <c r="F294" s="622" t="s">
        <v>286</v>
      </c>
      <c r="G294" s="623" t="s">
        <v>172</v>
      </c>
      <c r="H294" s="624">
        <v>0.5</v>
      </c>
      <c r="I294" s="625" t="s">
        <v>404</v>
      </c>
      <c r="J294" s="629" t="s">
        <v>292</v>
      </c>
      <c r="K294" s="627">
        <v>42226</v>
      </c>
      <c r="L294" s="618">
        <v>173.16</v>
      </c>
      <c r="M294" s="556" t="str">
        <f t="shared" ref="M294:M297" si="117">IF(OR(K294="",L294=""),"",IF(I294="SI",H294*L294,""))</f>
        <v/>
      </c>
      <c r="N294" s="504" t="str">
        <f>IF(OR(I294="",M294=""),"",IF(I294="SI",ROUND(M294,3),0))</f>
        <v/>
      </c>
      <c r="O294" s="636"/>
      <c r="Q294" s="352" t="str">
        <f t="shared" si="111"/>
        <v>NO CUMPLE</v>
      </c>
      <c r="R294" s="636" t="s">
        <v>140</v>
      </c>
      <c r="S294" s="352" t="str">
        <f t="shared" si="115"/>
        <v>CUMPLE</v>
      </c>
      <c r="T294" s="656">
        <f t="shared" si="112"/>
        <v>0.6</v>
      </c>
      <c r="U294" s="586"/>
      <c r="W294" s="594">
        <v>3</v>
      </c>
      <c r="X294" s="595" t="str">
        <f>IF(AND(W294&lt;=$T289,$T289&gt;1,$T289&lt;&gt;""),VLOOKUP(VALUE($F286&amp;","&amp;W294),INTEGRANTES!$D$19:$G$106,2,0),"")</f>
        <v>WEG INGENIERÍA SAS</v>
      </c>
      <c r="Y294" s="596">
        <f>IF(X294&lt;&gt;"",VLOOKUP(VALUE($F286&amp;","&amp;$W294),INTEGRANTES!$D$19:$G$106,3,0),"")</f>
        <v>0.2</v>
      </c>
      <c r="Z294" s="597">
        <f>IF(X294="","",SUMIF($J292:$J297,$X294,$N292:$N297))</f>
        <v>0</v>
      </c>
      <c r="AA294" s="604" t="str">
        <f>IF($Y294="","",IF(AND($Y294&gt;=20%,$Z294&gt;=$Z298),"CUMPLE","NO CUMPLE"))</f>
        <v>CUMPLE</v>
      </c>
      <c r="AB294" s="682"/>
      <c r="AC294" s="593" t="str">
        <f t="shared" si="113"/>
        <v>NO CUMPLE</v>
      </c>
      <c r="AD294" s="682"/>
      <c r="AE294" s="593" t="str">
        <f t="shared" si="114"/>
        <v>NO CUMPLE</v>
      </c>
    </row>
    <row r="295" spans="1:31" s="353" customFormat="1" ht="22.5" customHeight="1">
      <c r="A295" s="351"/>
      <c r="B295" s="342">
        <f t="shared" si="116"/>
        <v>4</v>
      </c>
      <c r="C295" s="619">
        <v>61</v>
      </c>
      <c r="D295" s="620" t="s">
        <v>217</v>
      </c>
      <c r="E295" s="628" t="s">
        <v>287</v>
      </c>
      <c r="F295" s="622" t="s">
        <v>288</v>
      </c>
      <c r="G295" s="623" t="s">
        <v>226</v>
      </c>
      <c r="H295" s="624">
        <v>1</v>
      </c>
      <c r="I295" s="625" t="s">
        <v>173</v>
      </c>
      <c r="J295" s="629" t="s">
        <v>292</v>
      </c>
      <c r="K295" s="627">
        <v>39903</v>
      </c>
      <c r="L295" s="618">
        <v>68.430000000000007</v>
      </c>
      <c r="M295" s="555">
        <f t="shared" si="117"/>
        <v>68.430000000000007</v>
      </c>
      <c r="N295" s="504">
        <f>IF(OR(I295="",M295=""),"",IF(I295="SI",ROUND(M295,3),0))</f>
        <v>68.430000000000007</v>
      </c>
      <c r="O295" s="636"/>
      <c r="Q295" s="352" t="str">
        <f t="shared" si="111"/>
        <v>NO CUMPLE</v>
      </c>
      <c r="R295" s="636" t="s">
        <v>140</v>
      </c>
      <c r="S295" s="352" t="str">
        <f t="shared" si="115"/>
        <v>CUMPLE</v>
      </c>
      <c r="T295" s="656">
        <f t="shared" si="112"/>
        <v>0.6</v>
      </c>
      <c r="U295" s="586"/>
      <c r="W295" s="594">
        <v>4</v>
      </c>
      <c r="X295" s="595" t="str">
        <f>IF(AND(W295&lt;=$T289,$T289&gt;1,$T289&lt;&gt;""),VLOOKUP(VALUE($F286&amp;","&amp;W295),INTEGRANTES!$D$19:$G$106,2,0),"")</f>
        <v/>
      </c>
      <c r="Y295" s="596" t="str">
        <f>IF(X295&lt;&gt;"",VLOOKUP(VALUE($F286&amp;","&amp;$W295),INTEGRANTES!$D$19:$G$106,3,0),"")</f>
        <v/>
      </c>
      <c r="Z295" s="597" t="str">
        <f>IF(X295="","",SUMIF($J292:$J297,$X295,$N292:$N297))</f>
        <v/>
      </c>
      <c r="AA295" s="604" t="str">
        <f>IF($Y295="","",IF(AND($Y295&gt;=20%,$Z295&gt;=$Z298),"CUMPLE","NO CUMPLE"))</f>
        <v/>
      </c>
      <c r="AB295" s="682"/>
      <c r="AC295" s="593" t="str">
        <f t="shared" si="113"/>
        <v/>
      </c>
      <c r="AD295" s="682"/>
      <c r="AE295" s="593" t="str">
        <f t="shared" si="114"/>
        <v/>
      </c>
    </row>
    <row r="296" spans="1:31" s="353" customFormat="1" ht="22.5" customHeight="1">
      <c r="A296" s="351"/>
      <c r="B296" s="342" t="str">
        <f t="shared" si="116"/>
        <v/>
      </c>
      <c r="C296" s="619"/>
      <c r="D296" s="620"/>
      <c r="E296" s="628"/>
      <c r="F296" s="622"/>
      <c r="G296" s="623"/>
      <c r="H296" s="624"/>
      <c r="I296" s="625"/>
      <c r="J296" s="629"/>
      <c r="K296" s="627"/>
      <c r="L296" s="618"/>
      <c r="M296" s="556" t="str">
        <f t="shared" si="117"/>
        <v/>
      </c>
      <c r="N296" s="504" t="str">
        <f>IF(OR(I296="",M296=""),"",IF(I296="SI",ROUND(M296,3),0))</f>
        <v/>
      </c>
      <c r="O296" s="636"/>
      <c r="Q296" s="352" t="str">
        <f t="shared" si="111"/>
        <v/>
      </c>
      <c r="R296" s="636"/>
      <c r="S296" s="352" t="str">
        <f t="shared" si="115"/>
        <v/>
      </c>
      <c r="T296" s="656" t="str">
        <f t="shared" si="112"/>
        <v/>
      </c>
      <c r="U296" s="586"/>
      <c r="W296" s="594">
        <v>5</v>
      </c>
      <c r="X296" s="595" t="str">
        <f>IF(AND(W296&lt;=$T289,$T289&gt;1,$T289&lt;&gt;""),VLOOKUP(VALUE($F286&amp;","&amp;W296),INTEGRANTES!$D$19:$G$106,2,0),"")</f>
        <v/>
      </c>
      <c r="Y296" s="596" t="str">
        <f>IF(X296&lt;&gt;"",VLOOKUP(VALUE($F286&amp;","&amp;$W296),INTEGRANTES!$D$19:$G$106,3,0),"")</f>
        <v/>
      </c>
      <c r="Z296" s="597" t="str">
        <f>IF(X296="","",SUMIF($J292:$J297,$X296,$N292:$N297))</f>
        <v/>
      </c>
      <c r="AA296" s="604" t="str">
        <f>IF($Y296="","",IF(AND($Y296&gt;=20%,$Z296&gt;=$Z298),"CUMPLE","NO CUMPLE"))</f>
        <v/>
      </c>
      <c r="AB296" s="682"/>
      <c r="AC296" s="593" t="str">
        <f t="shared" si="113"/>
        <v/>
      </c>
      <c r="AD296" s="682"/>
      <c r="AE296" s="593" t="str">
        <f t="shared" si="114"/>
        <v/>
      </c>
    </row>
    <row r="297" spans="1:31" s="353" customFormat="1" ht="22.5" customHeight="1">
      <c r="A297" s="351"/>
      <c r="B297" s="342" t="str">
        <f t="shared" si="116"/>
        <v/>
      </c>
      <c r="C297" s="619"/>
      <c r="D297" s="620"/>
      <c r="E297" s="628"/>
      <c r="F297" s="622"/>
      <c r="G297" s="623"/>
      <c r="H297" s="624"/>
      <c r="I297" s="625"/>
      <c r="J297" s="629"/>
      <c r="K297" s="627"/>
      <c r="L297" s="618"/>
      <c r="M297" s="555" t="str">
        <f t="shared" si="117"/>
        <v/>
      </c>
      <c r="N297" s="504" t="str">
        <f>IF(OR(I297="",M297=""),"",IF(I297="SI",ROUND(M297,3),0))</f>
        <v/>
      </c>
      <c r="O297" s="636"/>
      <c r="Q297" s="352" t="str">
        <f t="shared" si="111"/>
        <v/>
      </c>
      <c r="R297" s="636"/>
      <c r="S297" s="352" t="str">
        <f t="shared" si="115"/>
        <v/>
      </c>
      <c r="T297" s="656" t="str">
        <f t="shared" si="112"/>
        <v/>
      </c>
      <c r="U297" s="586"/>
      <c r="W297" s="599">
        <v>6</v>
      </c>
      <c r="X297" s="595" t="str">
        <f>IF(AND(W297&lt;=$T289,$T289&gt;1,$T289&lt;&gt;""),VLOOKUP(VALUE($F286&amp;","&amp;W297),INTEGRANTES!$D$19:$G$106,2,0),"")</f>
        <v/>
      </c>
      <c r="Y297" s="606" t="str">
        <f>IF(X297&lt;&gt;"",VLOOKUP(VALUE($F286&amp;","&amp;$W297),INTEGRANTES!$D$19:$G$106,3,0),"")</f>
        <v/>
      </c>
      <c r="Z297" s="607" t="str">
        <f>IF(X297="","",SUMIF($J292:$J297,$X297,$N292:$N297))</f>
        <v/>
      </c>
      <c r="AA297" s="608" t="str">
        <f>IF($Y297="","",IF(AND($Y297&gt;=20%,$Z297&gt;=$Z298),"CUMPLE","NO CUMPLE"))</f>
        <v/>
      </c>
      <c r="AB297" s="682"/>
      <c r="AC297" s="593" t="str">
        <f t="shared" si="113"/>
        <v/>
      </c>
      <c r="AD297" s="682"/>
      <c r="AE297" s="593" t="str">
        <f t="shared" si="114"/>
        <v/>
      </c>
    </row>
    <row r="298" spans="1:31" ht="5.0999999999999996" customHeight="1" thickBot="1">
      <c r="B298" s="354"/>
      <c r="C298" s="359"/>
      <c r="D298" s="355"/>
      <c r="E298" s="368"/>
      <c r="F298" s="355"/>
      <c r="G298" s="355"/>
      <c r="H298" s="355"/>
      <c r="I298" s="356"/>
      <c r="J298" s="357"/>
      <c r="K298" s="358"/>
      <c r="L298" s="355"/>
      <c r="M298" s="356"/>
      <c r="N298" s="360"/>
      <c r="O298" s="352" t="str">
        <f>IF(L298="","",IF(AND(L298&gt;=YEAR($M$15), J298="SI",L298&lt;=S292),"CUMPLE","NO CUMPLE"))</f>
        <v/>
      </c>
      <c r="Q298" s="352" t="str">
        <f>IF(N298="","",IF(AND(N298&gt;=YEAR($M$15), L298="SI",N298&lt;=V292),"CUMPLE","NO CUMPLE"))</f>
        <v/>
      </c>
      <c r="R298" s="352" t="str">
        <f>IF(P298="","",IF(AND(P298&gt;=YEAR($M$15), M298="SI",P298&lt;=W292),"CUMPLE","NO CUMPLE"))</f>
        <v/>
      </c>
      <c r="S298" s="352" t="str">
        <f>IF(P298="","",IF(AND(P298&gt;=YEAR($M$15), N298="SI",P298&lt;=X292),"CUMPLE","NO CUMPLE"))</f>
        <v/>
      </c>
      <c r="T298" s="564"/>
      <c r="U298" s="586"/>
      <c r="W298" s="600"/>
      <c r="X298" s="600"/>
      <c r="Y298" s="600"/>
      <c r="Z298" s="605">
        <f>MAX(Z292:Z297)</f>
        <v>0</v>
      </c>
      <c r="AA298" s="600"/>
      <c r="AB298" s="602"/>
      <c r="AC298" s="602"/>
      <c r="AD298" s="602"/>
      <c r="AE298" s="602"/>
    </row>
    <row r="299" spans="1:31" s="52" customFormat="1" ht="17.100000000000001" customHeight="1" thickTop="1" thickBot="1">
      <c r="A299" s="361">
        <f>F286</f>
        <v>16</v>
      </c>
      <c r="B299" s="364"/>
      <c r="C299" s="379"/>
      <c r="D299" s="664"/>
      <c r="E299" s="752"/>
      <c r="F299" s="752"/>
      <c r="G299" s="752"/>
      <c r="H299" s="752"/>
      <c r="I299" s="752"/>
      <c r="J299" s="752"/>
      <c r="K299" s="752"/>
      <c r="L299" s="753"/>
      <c r="M299" s="754"/>
      <c r="N299" s="365">
        <f>SUM(N292:N298)</f>
        <v>450.30500000000001</v>
      </c>
      <c r="O299" s="373"/>
      <c r="Q299" s="373" t="str">
        <f>IF(COUNTIF(Q292:Q295,"CUMPLE")&gt;0,"CUMPLE","NO CUMPLE")</f>
        <v>NO CUMPLE</v>
      </c>
      <c r="R299" s="374" t="str">
        <f>IF(COUNTIF(R292:R295,"COLOMBIA")&gt;0,"CUMPLE","NO CUMPLE")</f>
        <v>CUMPLE</v>
      </c>
      <c r="S299" s="373" t="str">
        <f>IF(COUNTIF(S292:S295,"CUMPLE")&gt;0,"CUMPLE","NO CUMPLE")</f>
        <v>CUMPLE</v>
      </c>
      <c r="T299" s="566"/>
      <c r="U299" s="587"/>
      <c r="AA299" s="589" t="str">
        <f>IF(COUNTIF(AA292:AA297,"CUMPLE")&gt;0,"CUMPLE","NO CUMPLE")</f>
        <v>CUMPLE</v>
      </c>
      <c r="AB299" s="735" t="str">
        <f>IF(COUNTIF(AC292:AC297,"CUMPLE")&gt;0,"CUMPLE","NO CUMPLE")</f>
        <v>CUMPLE</v>
      </c>
      <c r="AC299" s="736"/>
      <c r="AD299" s="735" t="str">
        <f>IF(COUNTIF(AE292:AE297,"CUMPLE")&gt;0,"CUMPLE","NO CUMPLE")</f>
        <v>CUMPLE</v>
      </c>
      <c r="AE299" s="736"/>
    </row>
    <row r="300" spans="1:31" ht="16.5" thickTop="1">
      <c r="B300" s="557"/>
      <c r="C300" s="558"/>
      <c r="D300" s="558"/>
      <c r="E300" s="558"/>
      <c r="F300" s="558"/>
      <c r="G300" s="558"/>
      <c r="H300" s="558"/>
      <c r="I300" s="558"/>
      <c r="J300" s="558"/>
      <c r="K300" s="558"/>
      <c r="L300" s="80"/>
      <c r="M300" s="362" t="s">
        <v>516</v>
      </c>
      <c r="N300" s="369">
        <f ca="1">VFrequerido!Y30</f>
        <v>537.11</v>
      </c>
      <c r="O300" s="568"/>
      <c r="Q300" s="570"/>
      <c r="R300" s="571"/>
      <c r="S300" s="572"/>
      <c r="T300" s="573"/>
      <c r="U300" s="80"/>
    </row>
    <row r="301" spans="1:31" ht="15.75" thickBot="1">
      <c r="A301" s="490" t="str">
        <f>"E"&amp;F286</f>
        <v>E16</v>
      </c>
      <c r="B301" s="559"/>
      <c r="C301" s="560"/>
      <c r="D301" s="560"/>
      <c r="E301" s="560"/>
      <c r="F301" s="560"/>
      <c r="G301" s="560"/>
      <c r="H301" s="560"/>
      <c r="I301" s="560"/>
      <c r="J301" s="560"/>
      <c r="K301" s="560"/>
      <c r="L301" s="363"/>
      <c r="M301" s="755" t="str">
        <f ca="1">IF(OR(N299=0,N299&lt;N300),"NO CUMPLE","CUMPLE")</f>
        <v>NO CUMPLE</v>
      </c>
      <c r="N301" s="756"/>
      <c r="O301" s="569"/>
      <c r="Q301" s="492"/>
      <c r="R301" s="493"/>
      <c r="S301" s="363"/>
      <c r="T301" s="574"/>
      <c r="U301" s="80"/>
    </row>
    <row r="302" spans="1:31" ht="13.5" thickTop="1"/>
    <row r="304" spans="1:31">
      <c r="F304" s="757">
        <f>F286+1</f>
        <v>17</v>
      </c>
      <c r="G304" s="758" t="str">
        <f>VLOOKUP(F304,PROPO,2,FALSE)</f>
        <v>CONSORCIO VIAL SANTANDER</v>
      </c>
      <c r="H304" s="758"/>
      <c r="I304" s="758"/>
      <c r="J304" s="758"/>
      <c r="K304" s="52"/>
      <c r="O304" s="52"/>
      <c r="Q304" s="52"/>
      <c r="R304" s="52"/>
    </row>
    <row r="305" spans="1:31">
      <c r="B305" s="328"/>
      <c r="C305" s="328"/>
      <c r="D305" s="328"/>
      <c r="E305" s="328"/>
      <c r="F305" s="757"/>
      <c r="G305" s="758"/>
      <c r="H305" s="758"/>
      <c r="I305" s="758"/>
      <c r="J305" s="758"/>
      <c r="K305" s="52"/>
      <c r="N305" s="567"/>
      <c r="O305" s="52"/>
      <c r="Q305" s="52"/>
      <c r="R305" s="52"/>
    </row>
    <row r="306" spans="1:31" ht="13.5" thickBot="1">
      <c r="B306" s="329"/>
      <c r="C306" s="329"/>
      <c r="D306" s="56"/>
      <c r="E306" s="56"/>
      <c r="F306" s="56"/>
      <c r="G306" s="56"/>
      <c r="H306" s="56"/>
      <c r="I306" s="56"/>
      <c r="J306" s="56"/>
      <c r="K306" s="330"/>
      <c r="L306" s="331"/>
      <c r="M306" s="331"/>
      <c r="N306" s="330"/>
      <c r="O306" s="330"/>
      <c r="Q306" s="330"/>
      <c r="R306" s="330"/>
    </row>
    <row r="307" spans="1:31" ht="50.1" customHeight="1" thickTop="1" thickBot="1">
      <c r="B307" s="332" t="s">
        <v>16</v>
      </c>
      <c r="C307" s="744" t="s">
        <v>121</v>
      </c>
      <c r="D307" s="333" t="s">
        <v>17</v>
      </c>
      <c r="E307" s="746" t="s">
        <v>18</v>
      </c>
      <c r="F307" s="747"/>
      <c r="G307" s="748" t="s">
        <v>117</v>
      </c>
      <c r="H307" s="749"/>
      <c r="I307" s="744" t="s">
        <v>39</v>
      </c>
      <c r="J307" s="744" t="s">
        <v>0</v>
      </c>
      <c r="K307" s="665" t="s">
        <v>19</v>
      </c>
      <c r="L307" s="750" t="s">
        <v>20</v>
      </c>
      <c r="M307" s="751"/>
      <c r="N307" s="68" t="s">
        <v>52</v>
      </c>
      <c r="O307" s="501" t="s">
        <v>151</v>
      </c>
      <c r="Q307" s="665" t="s">
        <v>127</v>
      </c>
      <c r="R307" s="665" t="s">
        <v>138</v>
      </c>
      <c r="S307" s="665" t="s">
        <v>163</v>
      </c>
      <c r="T307" s="565">
        <f>IF(VLOOKUP(F304,PROPONENTES!$C$19:$E$54,3,0)="","",VLOOKUP(F304,PROPONENTES!$C$19:$E$54,3,0))</f>
        <v>2</v>
      </c>
      <c r="U307" s="582"/>
      <c r="W307" s="737" t="s">
        <v>167</v>
      </c>
      <c r="X307" s="738"/>
      <c r="Y307" s="738"/>
      <c r="Z307" s="738"/>
      <c r="AA307" s="738"/>
      <c r="AB307" s="738"/>
      <c r="AC307" s="738"/>
      <c r="AD307" s="738"/>
      <c r="AE307" s="739"/>
    </row>
    <row r="308" spans="1:31" ht="50.1" customHeight="1" thickTop="1" thickBot="1">
      <c r="B308" s="334" t="s">
        <v>21</v>
      </c>
      <c r="C308" s="745"/>
      <c r="D308" s="335" t="s">
        <v>22</v>
      </c>
      <c r="E308" s="366" t="s">
        <v>23</v>
      </c>
      <c r="F308" s="336" t="s">
        <v>24</v>
      </c>
      <c r="G308" s="337" t="s">
        <v>118</v>
      </c>
      <c r="H308" s="338" t="s">
        <v>119</v>
      </c>
      <c r="I308" s="745"/>
      <c r="J308" s="745"/>
      <c r="K308" s="663" t="s">
        <v>120</v>
      </c>
      <c r="L308" s="339" t="s">
        <v>150</v>
      </c>
      <c r="M308" s="340" t="s">
        <v>14</v>
      </c>
      <c r="N308" s="341" t="s">
        <v>14</v>
      </c>
      <c r="O308" s="502" t="s">
        <v>152</v>
      </c>
      <c r="Q308" s="663" t="s">
        <v>128</v>
      </c>
      <c r="R308" s="663" t="s">
        <v>139</v>
      </c>
      <c r="S308" s="663" t="s">
        <v>164</v>
      </c>
      <c r="T308" s="575" t="s">
        <v>83</v>
      </c>
      <c r="U308" s="583"/>
      <c r="W308" s="740" t="s">
        <v>166</v>
      </c>
      <c r="X308" s="743"/>
      <c r="Y308" s="663" t="s">
        <v>168</v>
      </c>
      <c r="Z308" s="663" t="s">
        <v>169</v>
      </c>
      <c r="AA308" s="663" t="s">
        <v>174</v>
      </c>
      <c r="AB308" s="740" t="s">
        <v>524</v>
      </c>
      <c r="AC308" s="741"/>
      <c r="AD308" s="742" t="s">
        <v>522</v>
      </c>
      <c r="AE308" s="741"/>
    </row>
    <row r="309" spans="1:31" ht="14.25" hidden="1" customHeight="1">
      <c r="B309" s="342">
        <v>0</v>
      </c>
      <c r="C309" s="347"/>
      <c r="D309" s="343"/>
      <c r="E309" s="367"/>
      <c r="F309" s="344"/>
      <c r="G309" s="345"/>
      <c r="H309" s="346"/>
      <c r="I309" s="347"/>
      <c r="J309" s="347"/>
      <c r="K309" s="347"/>
      <c r="L309" s="348"/>
      <c r="M309" s="349"/>
      <c r="N309" s="350"/>
      <c r="O309" s="347"/>
      <c r="Q309" s="347"/>
      <c r="R309" s="347"/>
      <c r="S309" s="347"/>
      <c r="T309" s="563"/>
      <c r="U309" s="584"/>
      <c r="W309" s="502" t="s">
        <v>166</v>
      </c>
      <c r="X309" s="502"/>
      <c r="Y309" s="502" t="s">
        <v>168</v>
      </c>
      <c r="Z309" s="502" t="s">
        <v>169</v>
      </c>
      <c r="AA309" s="502" t="s">
        <v>170</v>
      </c>
      <c r="AB309" s="661" t="s">
        <v>170</v>
      </c>
      <c r="AC309" s="661" t="s">
        <v>170</v>
      </c>
      <c r="AD309" s="661" t="s">
        <v>170</v>
      </c>
      <c r="AE309" s="661" t="s">
        <v>170</v>
      </c>
    </row>
    <row r="310" spans="1:31" s="353" customFormat="1" ht="22.5" customHeight="1" thickTop="1">
      <c r="A310" s="351"/>
      <c r="B310" s="342">
        <f>IF(D310="","",B309+1)</f>
        <v>1</v>
      </c>
      <c r="C310" s="609">
        <v>8</v>
      </c>
      <c r="D310" s="610" t="s">
        <v>217</v>
      </c>
      <c r="E310" s="611" t="s">
        <v>450</v>
      </c>
      <c r="F310" s="612" t="s">
        <v>453</v>
      </c>
      <c r="G310" s="613" t="s">
        <v>226</v>
      </c>
      <c r="H310" s="614">
        <v>1</v>
      </c>
      <c r="I310" s="615" t="s">
        <v>173</v>
      </c>
      <c r="J310" s="616" t="s">
        <v>296</v>
      </c>
      <c r="K310" s="617">
        <v>36508</v>
      </c>
      <c r="L310" s="618">
        <v>167.17</v>
      </c>
      <c r="M310" s="494">
        <f>IF(OR(K310="",L310=""),"",IF(I310="SI",H310*L310,""))</f>
        <v>167.17</v>
      </c>
      <c r="N310" s="503">
        <f>IF(OR(I310="",M310=""),"",IF(I310="NO",0,IF(I310="SI",ROUND(M310,3),0)))</f>
        <v>167.17</v>
      </c>
      <c r="O310" s="636"/>
      <c r="Q310" s="352" t="str">
        <f t="shared" ref="Q310:Q315" si="118">IF(K310="","",IF(AND(YEAR(K310)&gt;=YEAR($M$15), I310="SI",K310&lt;=$N$15),"CUMPLE","NO CUMPLE"))</f>
        <v>NO CUMPLE</v>
      </c>
      <c r="R310" s="636"/>
      <c r="S310" s="352" t="str">
        <f>IF(T310="","",IF(T310&gt;=20%,"CUMPLE","NO CUMPLE"))</f>
        <v/>
      </c>
      <c r="T310" s="656" t="str">
        <f t="shared" ref="T310:T315" si="119">IF(R310="","",VLOOKUP(J310,INTEGRAN,2,FALSE))</f>
        <v/>
      </c>
      <c r="U310" s="585"/>
      <c r="W310" s="594">
        <v>1</v>
      </c>
      <c r="X310" s="595" t="str">
        <f>IF(AND(W310&lt;=$T307,$T307&gt;1,$T307&lt;&gt;""),VLOOKUP(VALUE($F304&amp;","&amp;W310),INTEGRANTES!$D$19:$G$106,2,0),"")</f>
        <v>GRMM SAS</v>
      </c>
      <c r="Y310" s="596">
        <f>IF(X310&lt;&gt;"",VLOOKUP(VALUE($F304&amp;","&amp;$W310),INTEGRANTES!$D$19:$G$106,3,0),"")</f>
        <v>0.4</v>
      </c>
      <c r="Z310" s="597">
        <f>IF(X310="","",SUMIF($J310:$J315,$X310,$N310:$N315))</f>
        <v>0</v>
      </c>
      <c r="AA310" s="604" t="str">
        <f>IF($Y310="","",IF(AND($Y310&gt;=20%,$Z310&gt;=$Z316),"CUMPLE","NO CUMPLE"))</f>
        <v>NO CUMPLE</v>
      </c>
      <c r="AB310" s="681"/>
      <c r="AC310" s="592" t="str">
        <f t="shared" ref="AC310:AC315" si="120">IF(X310="","",IF(AND(Y310&gt;=40%,AB310="SI"),"CUMPLE","NO CUMPLE"))</f>
        <v>NO CUMPLE</v>
      </c>
      <c r="AD310" s="681"/>
      <c r="AE310" s="593" t="str">
        <f t="shared" ref="AE310:AE315" si="121">IF(X310="","",IF(AD310="SI","CUMPLE","NO CUMPLE"))</f>
        <v>NO CUMPLE</v>
      </c>
    </row>
    <row r="311" spans="1:31" s="353" customFormat="1" ht="22.5" customHeight="1">
      <c r="A311" s="351"/>
      <c r="B311" s="342">
        <f>IF(D311="","",B310+1)</f>
        <v>2</v>
      </c>
      <c r="C311" s="619">
        <v>16</v>
      </c>
      <c r="D311" s="620" t="s">
        <v>449</v>
      </c>
      <c r="E311" s="621" t="s">
        <v>451</v>
      </c>
      <c r="F311" s="622" t="s">
        <v>454</v>
      </c>
      <c r="G311" s="623" t="s">
        <v>172</v>
      </c>
      <c r="H311" s="624">
        <v>0.25</v>
      </c>
      <c r="I311" s="625" t="s">
        <v>173</v>
      </c>
      <c r="J311" s="629" t="s">
        <v>296</v>
      </c>
      <c r="K311" s="627">
        <v>42415</v>
      </c>
      <c r="L311" s="618">
        <v>553.61</v>
      </c>
      <c r="M311" s="556">
        <f>IF(OR(K311="",L311=""),"",IF(I311="SI",H311*L311,""))</f>
        <v>138.4025</v>
      </c>
      <c r="N311" s="504">
        <f>IF(OR(I311="",M311=""),"",IF(I311="SI",ROUND(M311,3),0))</f>
        <v>138.40299999999999</v>
      </c>
      <c r="O311" s="636"/>
      <c r="Q311" s="352" t="str">
        <f t="shared" si="118"/>
        <v>CUMPLE</v>
      </c>
      <c r="R311" s="636" t="s">
        <v>140</v>
      </c>
      <c r="S311" s="352" t="str">
        <f t="shared" ref="S311:S315" si="122">IF(T311="","",IF(T311&gt;=20%,"CUMPLE","NO CUMPLE"))</f>
        <v>CUMPLE</v>
      </c>
      <c r="T311" s="656">
        <f t="shared" si="119"/>
        <v>0.6</v>
      </c>
      <c r="U311" s="586"/>
      <c r="W311" s="594">
        <v>2</v>
      </c>
      <c r="X311" s="595" t="str">
        <f>IF(AND(W311&lt;=$T307,$T307&gt;1,$T307&lt;&gt;""),VLOOKUP(VALUE($F304&amp;","&amp;W311),INTEGRANTES!$D$19:$G$106,2,0),"")</f>
        <v>INFRALAR SAS</v>
      </c>
      <c r="Y311" s="596">
        <f>IF(X311&lt;&gt;"",VLOOKUP(VALUE($F304&amp;","&amp;$W311),INTEGRANTES!$D$19:$G$106,3,0),"")</f>
        <v>0.6</v>
      </c>
      <c r="Z311" s="597">
        <f>IF(X311="","",SUMIF($J310:$J315,$X311,$N310:$N315))</f>
        <v>635.18100000000004</v>
      </c>
      <c r="AA311" s="604" t="str">
        <f>IF($Y311="","",IF(AND($Y311&gt;=20%,$Z311&gt;=$Z316),"CUMPLE","NO CUMPLE"))</f>
        <v>CUMPLE</v>
      </c>
      <c r="AB311" s="682" t="s">
        <v>525</v>
      </c>
      <c r="AC311" s="593" t="str">
        <f t="shared" si="120"/>
        <v>CUMPLE</v>
      </c>
      <c r="AD311" s="682" t="s">
        <v>525</v>
      </c>
      <c r="AE311" s="593" t="str">
        <f t="shared" si="121"/>
        <v>CUMPLE</v>
      </c>
    </row>
    <row r="312" spans="1:31" s="353" customFormat="1" ht="22.5" customHeight="1">
      <c r="A312" s="351"/>
      <c r="B312" s="342">
        <f t="shared" ref="B312:B315" si="123">IF(D312="","",B311+1)</f>
        <v>3</v>
      </c>
      <c r="C312" s="619">
        <v>7</v>
      </c>
      <c r="D312" s="620" t="s">
        <v>337</v>
      </c>
      <c r="E312" s="628" t="s">
        <v>452</v>
      </c>
      <c r="F312" s="622" t="s">
        <v>455</v>
      </c>
      <c r="G312" s="623" t="s">
        <v>172</v>
      </c>
      <c r="H312" s="624">
        <v>0.4</v>
      </c>
      <c r="I312" s="625" t="s">
        <v>173</v>
      </c>
      <c r="J312" s="629" t="s">
        <v>296</v>
      </c>
      <c r="K312" s="627">
        <v>37685</v>
      </c>
      <c r="L312" s="618">
        <v>824.02</v>
      </c>
      <c r="M312" s="556">
        <f t="shared" ref="M312:M315" si="124">IF(OR(K312="",L312=""),"",IF(I312="SI",H312*L312,""))</f>
        <v>329.608</v>
      </c>
      <c r="N312" s="504">
        <f>IF(OR(I312="",M312=""),"",IF(I312="SI",ROUND(M312,3),0))</f>
        <v>329.608</v>
      </c>
      <c r="O312" s="636"/>
      <c r="Q312" s="352" t="str">
        <f t="shared" si="118"/>
        <v>NO CUMPLE</v>
      </c>
      <c r="R312" s="636"/>
      <c r="S312" s="352" t="str">
        <f t="shared" si="122"/>
        <v/>
      </c>
      <c r="T312" s="656" t="str">
        <f t="shared" si="119"/>
        <v/>
      </c>
      <c r="U312" s="586"/>
      <c r="W312" s="594">
        <v>3</v>
      </c>
      <c r="X312" s="595" t="str">
        <f>IF(AND(W312&lt;=$T307,$T307&gt;1,$T307&lt;&gt;""),VLOOKUP(VALUE($F304&amp;","&amp;W312),INTEGRANTES!$D$19:$G$106,2,0),"")</f>
        <v/>
      </c>
      <c r="Y312" s="596" t="str">
        <f>IF(X312&lt;&gt;"",VLOOKUP(VALUE($F304&amp;","&amp;$W312),INTEGRANTES!$D$19:$G$106,3,0),"")</f>
        <v/>
      </c>
      <c r="Z312" s="597" t="str">
        <f>IF(X312="","",SUMIF($J310:$J315,$X312,$N310:$N315))</f>
        <v/>
      </c>
      <c r="AA312" s="604" t="str">
        <f>IF($Y312="","",IF(AND($Y312&gt;=20%,$Z312&gt;=$Z316),"CUMPLE","NO CUMPLE"))</f>
        <v/>
      </c>
      <c r="AB312" s="682"/>
      <c r="AC312" s="593" t="str">
        <f t="shared" si="120"/>
        <v/>
      </c>
      <c r="AD312" s="682"/>
      <c r="AE312" s="593" t="str">
        <f t="shared" si="121"/>
        <v/>
      </c>
    </row>
    <row r="313" spans="1:31" s="353" customFormat="1" ht="22.5" customHeight="1">
      <c r="A313" s="351"/>
      <c r="B313" s="342" t="str">
        <f t="shared" si="123"/>
        <v/>
      </c>
      <c r="C313" s="619"/>
      <c r="D313" s="620"/>
      <c r="E313" s="628"/>
      <c r="F313" s="622"/>
      <c r="G313" s="623"/>
      <c r="H313" s="624"/>
      <c r="I313" s="625"/>
      <c r="J313" s="629"/>
      <c r="K313" s="627"/>
      <c r="L313" s="618"/>
      <c r="M313" s="555" t="str">
        <f t="shared" si="124"/>
        <v/>
      </c>
      <c r="N313" s="504" t="str">
        <f>IF(OR(I313="",M313=""),"",IF(I313="SI",ROUND(M313,3),0))</f>
        <v/>
      </c>
      <c r="O313" s="636"/>
      <c r="Q313" s="352" t="str">
        <f t="shared" si="118"/>
        <v/>
      </c>
      <c r="R313" s="636"/>
      <c r="S313" s="352" t="str">
        <f t="shared" si="122"/>
        <v/>
      </c>
      <c r="T313" s="656" t="str">
        <f t="shared" si="119"/>
        <v/>
      </c>
      <c r="U313" s="586"/>
      <c r="W313" s="594">
        <v>4</v>
      </c>
      <c r="X313" s="595" t="str">
        <f>IF(AND(W313&lt;=$T307,$T307&gt;1,$T307&lt;&gt;""),VLOOKUP(VALUE($F304&amp;","&amp;W313),INTEGRANTES!$D$19:$G$106,2,0),"")</f>
        <v/>
      </c>
      <c r="Y313" s="596" t="str">
        <f>IF(X313&lt;&gt;"",VLOOKUP(VALUE($F304&amp;","&amp;$W313),INTEGRANTES!$D$19:$G$106,3,0),"")</f>
        <v/>
      </c>
      <c r="Z313" s="597" t="str">
        <f>IF(X313="","",SUMIF($J310:$J315,$X313,$N310:$N315))</f>
        <v/>
      </c>
      <c r="AA313" s="604" t="str">
        <f>IF($Y313="","",IF(AND($Y313&gt;=20%,$Z313&gt;=$Z316),"CUMPLE","NO CUMPLE"))</f>
        <v/>
      </c>
      <c r="AB313" s="682"/>
      <c r="AC313" s="593" t="str">
        <f t="shared" si="120"/>
        <v/>
      </c>
      <c r="AD313" s="682"/>
      <c r="AE313" s="593" t="str">
        <f t="shared" si="121"/>
        <v/>
      </c>
    </row>
    <row r="314" spans="1:31" s="353" customFormat="1" ht="22.5" customHeight="1">
      <c r="A314" s="351"/>
      <c r="B314" s="342" t="str">
        <f t="shared" si="123"/>
        <v/>
      </c>
      <c r="C314" s="619"/>
      <c r="D314" s="620"/>
      <c r="E314" s="628"/>
      <c r="F314" s="622"/>
      <c r="G314" s="623"/>
      <c r="H314" s="624"/>
      <c r="I314" s="625"/>
      <c r="J314" s="629"/>
      <c r="K314" s="627"/>
      <c r="L314" s="618"/>
      <c r="M314" s="556" t="str">
        <f t="shared" si="124"/>
        <v/>
      </c>
      <c r="N314" s="504" t="str">
        <f>IF(OR(I314="",M314=""),"",IF(I314="SI",ROUND(M314,3),0))</f>
        <v/>
      </c>
      <c r="O314" s="636"/>
      <c r="Q314" s="352" t="str">
        <f t="shared" si="118"/>
        <v/>
      </c>
      <c r="R314" s="636"/>
      <c r="S314" s="352" t="str">
        <f t="shared" si="122"/>
        <v/>
      </c>
      <c r="T314" s="656" t="str">
        <f t="shared" si="119"/>
        <v/>
      </c>
      <c r="U314" s="586"/>
      <c r="W314" s="594">
        <v>5</v>
      </c>
      <c r="X314" s="595" t="str">
        <f>IF(AND(W314&lt;=$T307,$T307&gt;1,$T307&lt;&gt;""),VLOOKUP(VALUE($F304&amp;","&amp;W314),INTEGRANTES!$D$19:$G$106,2,0),"")</f>
        <v/>
      </c>
      <c r="Y314" s="596" t="str">
        <f>IF(X314&lt;&gt;"",VLOOKUP(VALUE($F304&amp;","&amp;$W314),INTEGRANTES!$D$19:$G$106,3,0),"")</f>
        <v/>
      </c>
      <c r="Z314" s="597" t="str">
        <f>IF(X314="","",SUMIF($J310:$J315,$X314,$N310:$N315))</f>
        <v/>
      </c>
      <c r="AA314" s="604" t="str">
        <f>IF($Y314="","",IF(AND($Y314&gt;=20%,$Z314&gt;=$Z316),"CUMPLE","NO CUMPLE"))</f>
        <v/>
      </c>
      <c r="AB314" s="682"/>
      <c r="AC314" s="593" t="str">
        <f t="shared" si="120"/>
        <v/>
      </c>
      <c r="AD314" s="682"/>
      <c r="AE314" s="593" t="str">
        <f t="shared" si="121"/>
        <v/>
      </c>
    </row>
    <row r="315" spans="1:31" s="353" customFormat="1" ht="22.5" customHeight="1">
      <c r="A315" s="351"/>
      <c r="B315" s="342" t="str">
        <f t="shared" si="123"/>
        <v/>
      </c>
      <c r="C315" s="619"/>
      <c r="D315" s="620"/>
      <c r="E315" s="628"/>
      <c r="F315" s="622"/>
      <c r="G315" s="623"/>
      <c r="H315" s="624"/>
      <c r="I315" s="625"/>
      <c r="J315" s="629"/>
      <c r="K315" s="627"/>
      <c r="L315" s="618"/>
      <c r="M315" s="555" t="str">
        <f t="shared" si="124"/>
        <v/>
      </c>
      <c r="N315" s="504" t="str">
        <f>IF(OR(I315="",M315=""),"",IF(I315="SI",ROUND(M315,3),0))</f>
        <v/>
      </c>
      <c r="O315" s="636"/>
      <c r="Q315" s="352" t="str">
        <f t="shared" si="118"/>
        <v/>
      </c>
      <c r="R315" s="636"/>
      <c r="S315" s="352" t="str">
        <f t="shared" si="122"/>
        <v/>
      </c>
      <c r="T315" s="656" t="str">
        <f t="shared" si="119"/>
        <v/>
      </c>
      <c r="U315" s="586"/>
      <c r="W315" s="599">
        <v>6</v>
      </c>
      <c r="X315" s="595" t="str">
        <f>IF(AND(W315&lt;=$T307,$T307&gt;1,$T307&lt;&gt;""),VLOOKUP(VALUE($F304&amp;","&amp;W315),INTEGRANTES!$D$19:$G$106,2,0),"")</f>
        <v/>
      </c>
      <c r="Y315" s="606" t="str">
        <f>IF(X315&lt;&gt;"",VLOOKUP(VALUE($F304&amp;","&amp;$W315),INTEGRANTES!$D$19:$G$106,3,0),"")</f>
        <v/>
      </c>
      <c r="Z315" s="607" t="str">
        <f>IF(X315="","",SUMIF($J310:$J315,$X315,$N310:$N315))</f>
        <v/>
      </c>
      <c r="AA315" s="608" t="str">
        <f>IF($Y315="","",IF(AND($Y315&gt;=20%,$Z315&gt;=$Z316),"CUMPLE","NO CUMPLE"))</f>
        <v/>
      </c>
      <c r="AB315" s="682"/>
      <c r="AC315" s="593" t="str">
        <f t="shared" si="120"/>
        <v/>
      </c>
      <c r="AD315" s="682"/>
      <c r="AE315" s="593" t="str">
        <f t="shared" si="121"/>
        <v/>
      </c>
    </row>
    <row r="316" spans="1:31" ht="5.0999999999999996" customHeight="1" thickBot="1">
      <c r="B316" s="354"/>
      <c r="C316" s="359"/>
      <c r="D316" s="355"/>
      <c r="E316" s="368"/>
      <c r="F316" s="355"/>
      <c r="G316" s="355"/>
      <c r="H316" s="355"/>
      <c r="I316" s="356"/>
      <c r="J316" s="357"/>
      <c r="K316" s="358"/>
      <c r="L316" s="355"/>
      <c r="M316" s="356"/>
      <c r="N316" s="360"/>
      <c r="O316" s="352" t="str">
        <f>IF(L316="","",IF(AND(L316&gt;=YEAR($M$15), J316="SI",L316&lt;=S310),"CUMPLE","NO CUMPLE"))</f>
        <v/>
      </c>
      <c r="Q316" s="352" t="str">
        <f>IF(N316="","",IF(AND(N316&gt;=YEAR($M$15), L316="SI",N316&lt;=V310),"CUMPLE","NO CUMPLE"))</f>
        <v/>
      </c>
      <c r="R316" s="352" t="str">
        <f>IF(P316="","",IF(AND(P316&gt;=YEAR($M$15), M316="SI",P316&lt;=W310),"CUMPLE","NO CUMPLE"))</f>
        <v/>
      </c>
      <c r="S316" s="352" t="str">
        <f>IF(P316="","",IF(AND(P316&gt;=YEAR($M$15), N316="SI",P316&lt;=X310),"CUMPLE","NO CUMPLE"))</f>
        <v/>
      </c>
      <c r="T316" s="564"/>
      <c r="U316" s="586"/>
      <c r="W316" s="600"/>
      <c r="X316" s="600"/>
      <c r="Y316" s="600"/>
      <c r="Z316" s="605">
        <f>MAX(Z310:Z315)</f>
        <v>635.18100000000004</v>
      </c>
      <c r="AA316" s="600"/>
      <c r="AB316" s="602"/>
      <c r="AC316" s="602"/>
      <c r="AD316" s="602"/>
      <c r="AE316" s="602"/>
    </row>
    <row r="317" spans="1:31" s="52" customFormat="1" ht="17.100000000000001" customHeight="1" thickTop="1" thickBot="1">
      <c r="A317" s="361">
        <f>F304</f>
        <v>17</v>
      </c>
      <c r="B317" s="364"/>
      <c r="C317" s="379"/>
      <c r="D317" s="664"/>
      <c r="E317" s="752"/>
      <c r="F317" s="752"/>
      <c r="G317" s="752"/>
      <c r="H317" s="752"/>
      <c r="I317" s="752"/>
      <c r="J317" s="752"/>
      <c r="K317" s="752"/>
      <c r="L317" s="753"/>
      <c r="M317" s="754"/>
      <c r="N317" s="365">
        <f>SUM(N310:N316)</f>
        <v>635.18100000000004</v>
      </c>
      <c r="O317" s="373"/>
      <c r="Q317" s="373" t="str">
        <f>IF(COUNTIF(Q310:Q313,"CUMPLE")&gt;0,"CUMPLE","NO CUMPLE")</f>
        <v>CUMPLE</v>
      </c>
      <c r="R317" s="374" t="str">
        <f>IF(COUNTIF(R310:R313,"COLOMBIA")&gt;0,"CUMPLE","NO CUMPLE")</f>
        <v>CUMPLE</v>
      </c>
      <c r="S317" s="373" t="str">
        <f>IF(COUNTIF(S310:S313,"CUMPLE")&gt;0,"CUMPLE","NO CUMPLE")</f>
        <v>CUMPLE</v>
      </c>
      <c r="T317" s="566"/>
      <c r="U317" s="587"/>
      <c r="AA317" s="589" t="str">
        <f>IF(COUNTIF(AA310:AA315,"CUMPLE")&gt;0,"CUMPLE","NO CUMPLE")</f>
        <v>CUMPLE</v>
      </c>
      <c r="AB317" s="735" t="str">
        <f>IF(COUNTIF(AC310:AC315,"CUMPLE")&gt;0,"CUMPLE","NO CUMPLE")</f>
        <v>CUMPLE</v>
      </c>
      <c r="AC317" s="736"/>
      <c r="AD317" s="735" t="str">
        <f>IF(COUNTIF(AE310:AE315,"CUMPLE")&gt;0,"CUMPLE","NO CUMPLE")</f>
        <v>CUMPLE</v>
      </c>
      <c r="AE317" s="736"/>
    </row>
    <row r="318" spans="1:31" ht="16.5" thickTop="1">
      <c r="B318" s="557"/>
      <c r="C318" s="558"/>
      <c r="D318" s="558"/>
      <c r="E318" s="558"/>
      <c r="F318" s="558"/>
      <c r="G318" s="558"/>
      <c r="H318" s="558"/>
      <c r="I318" s="558"/>
      <c r="J318" s="558"/>
      <c r="K318" s="558"/>
      <c r="L318" s="80"/>
      <c r="M318" s="362" t="s">
        <v>516</v>
      </c>
      <c r="N318" s="369">
        <f ca="1">VFrequerido!Y31</f>
        <v>537.11</v>
      </c>
      <c r="O318" s="568"/>
      <c r="Q318" s="570"/>
      <c r="R318" s="571"/>
      <c r="S318" s="572"/>
      <c r="T318" s="573"/>
      <c r="U318" s="80"/>
    </row>
    <row r="319" spans="1:31" ht="15.75" thickBot="1">
      <c r="A319" s="490" t="str">
        <f>"E"&amp;F304</f>
        <v>E17</v>
      </c>
      <c r="B319" s="559"/>
      <c r="C319" s="560"/>
      <c r="D319" s="560"/>
      <c r="E319" s="560"/>
      <c r="F319" s="560"/>
      <c r="G319" s="560"/>
      <c r="H319" s="560"/>
      <c r="I319" s="560"/>
      <c r="J319" s="560"/>
      <c r="K319" s="560"/>
      <c r="L319" s="363"/>
      <c r="M319" s="755" t="str">
        <f ca="1">IF(OR(N317=0,N317&lt;N318),"NO CUMPLE","CUMPLE")</f>
        <v>CUMPLE</v>
      </c>
      <c r="N319" s="756"/>
      <c r="O319" s="569"/>
      <c r="Q319" s="492"/>
      <c r="R319" s="493"/>
      <c r="S319" s="363"/>
      <c r="T319" s="574"/>
      <c r="U319" s="80"/>
    </row>
    <row r="320" spans="1:31" ht="13.5" thickTop="1"/>
    <row r="322" spans="1:31">
      <c r="F322" s="757">
        <f>F304+1</f>
        <v>18</v>
      </c>
      <c r="G322" s="758" t="str">
        <f>VLOOKUP(F322,PROPO,2,FALSE)</f>
        <v>JAMES ALBERTO KAMMERER JIMENEZ</v>
      </c>
      <c r="H322" s="758"/>
      <c r="I322" s="758"/>
      <c r="J322" s="758"/>
      <c r="K322" s="52"/>
      <c r="O322" s="52"/>
      <c r="Q322" s="52"/>
      <c r="R322" s="52"/>
    </row>
    <row r="323" spans="1:31">
      <c r="B323" s="328"/>
      <c r="C323" s="328"/>
      <c r="D323" s="328"/>
      <c r="E323" s="328"/>
      <c r="F323" s="757"/>
      <c r="G323" s="758"/>
      <c r="H323" s="758"/>
      <c r="I323" s="758"/>
      <c r="J323" s="758"/>
      <c r="K323" s="52"/>
      <c r="N323" s="567"/>
      <c r="O323" s="52"/>
      <c r="Q323" s="52"/>
      <c r="R323" s="52"/>
    </row>
    <row r="324" spans="1:31" ht="13.5" thickBot="1">
      <c r="B324" s="329"/>
      <c r="C324" s="329"/>
      <c r="D324" s="56"/>
      <c r="E324" s="56"/>
      <c r="F324" s="56"/>
      <c r="G324" s="56"/>
      <c r="H324" s="56"/>
      <c r="I324" s="56"/>
      <c r="J324" s="56"/>
      <c r="K324" s="330"/>
      <c r="L324" s="331"/>
      <c r="M324" s="331"/>
      <c r="N324" s="330"/>
      <c r="O324" s="330"/>
      <c r="Q324" s="330"/>
      <c r="R324" s="330"/>
    </row>
    <row r="325" spans="1:31" ht="50.1" customHeight="1" thickTop="1" thickBot="1">
      <c r="B325" s="332" t="s">
        <v>16</v>
      </c>
      <c r="C325" s="744" t="s">
        <v>121</v>
      </c>
      <c r="D325" s="333" t="s">
        <v>17</v>
      </c>
      <c r="E325" s="746" t="s">
        <v>18</v>
      </c>
      <c r="F325" s="747"/>
      <c r="G325" s="748" t="s">
        <v>117</v>
      </c>
      <c r="H325" s="749"/>
      <c r="I325" s="744" t="s">
        <v>39</v>
      </c>
      <c r="J325" s="744" t="s">
        <v>0</v>
      </c>
      <c r="K325" s="665" t="s">
        <v>19</v>
      </c>
      <c r="L325" s="750" t="s">
        <v>20</v>
      </c>
      <c r="M325" s="751"/>
      <c r="N325" s="68" t="s">
        <v>52</v>
      </c>
      <c r="O325" s="501" t="s">
        <v>151</v>
      </c>
      <c r="Q325" s="665" t="s">
        <v>127</v>
      </c>
      <c r="R325" s="665" t="s">
        <v>138</v>
      </c>
      <c r="S325" s="665" t="s">
        <v>163</v>
      </c>
      <c r="T325" s="565">
        <f>IF(VLOOKUP(F322,PROPONENTES!$C$19:$E$54,3,0)="","",VLOOKUP(F322,PROPONENTES!$C$19:$E$54,3,0))</f>
        <v>1</v>
      </c>
      <c r="U325" s="582"/>
      <c r="W325" s="737" t="s">
        <v>167</v>
      </c>
      <c r="X325" s="738"/>
      <c r="Y325" s="738"/>
      <c r="Z325" s="738"/>
      <c r="AA325" s="738"/>
      <c r="AB325" s="738"/>
      <c r="AC325" s="738"/>
      <c r="AD325" s="738"/>
      <c r="AE325" s="739"/>
    </row>
    <row r="326" spans="1:31" ht="50.1" customHeight="1" thickTop="1" thickBot="1">
      <c r="B326" s="334" t="s">
        <v>21</v>
      </c>
      <c r="C326" s="745"/>
      <c r="D326" s="335" t="s">
        <v>22</v>
      </c>
      <c r="E326" s="366" t="s">
        <v>23</v>
      </c>
      <c r="F326" s="336" t="s">
        <v>24</v>
      </c>
      <c r="G326" s="337" t="s">
        <v>118</v>
      </c>
      <c r="H326" s="338" t="s">
        <v>119</v>
      </c>
      <c r="I326" s="745"/>
      <c r="J326" s="745"/>
      <c r="K326" s="663" t="s">
        <v>120</v>
      </c>
      <c r="L326" s="339" t="s">
        <v>150</v>
      </c>
      <c r="M326" s="340" t="s">
        <v>14</v>
      </c>
      <c r="N326" s="341" t="s">
        <v>14</v>
      </c>
      <c r="O326" s="502" t="s">
        <v>152</v>
      </c>
      <c r="Q326" s="663" t="s">
        <v>128</v>
      </c>
      <c r="R326" s="663" t="s">
        <v>139</v>
      </c>
      <c r="S326" s="663" t="s">
        <v>164</v>
      </c>
      <c r="T326" s="575" t="s">
        <v>83</v>
      </c>
      <c r="U326" s="583"/>
      <c r="W326" s="740" t="s">
        <v>166</v>
      </c>
      <c r="X326" s="743"/>
      <c r="Y326" s="663" t="s">
        <v>168</v>
      </c>
      <c r="Z326" s="663" t="s">
        <v>169</v>
      </c>
      <c r="AA326" s="663" t="s">
        <v>174</v>
      </c>
      <c r="AB326" s="740" t="s">
        <v>524</v>
      </c>
      <c r="AC326" s="741"/>
      <c r="AD326" s="742" t="s">
        <v>522</v>
      </c>
      <c r="AE326" s="741"/>
    </row>
    <row r="327" spans="1:31" ht="14.25" hidden="1" customHeight="1">
      <c r="B327" s="342">
        <v>0</v>
      </c>
      <c r="C327" s="347"/>
      <c r="D327" s="343"/>
      <c r="E327" s="367"/>
      <c r="F327" s="344"/>
      <c r="G327" s="345"/>
      <c r="H327" s="346"/>
      <c r="I327" s="347"/>
      <c r="J327" s="347"/>
      <c r="K327" s="347"/>
      <c r="L327" s="348"/>
      <c r="M327" s="349"/>
      <c r="N327" s="350"/>
      <c r="O327" s="347"/>
      <c r="Q327" s="347"/>
      <c r="R327" s="347"/>
      <c r="S327" s="347"/>
      <c r="T327" s="563"/>
      <c r="U327" s="584"/>
      <c r="W327" s="502" t="s">
        <v>166</v>
      </c>
      <c r="X327" s="502"/>
      <c r="Y327" s="502" t="s">
        <v>168</v>
      </c>
      <c r="Z327" s="502" t="s">
        <v>169</v>
      </c>
      <c r="AA327" s="502" t="s">
        <v>170</v>
      </c>
      <c r="AB327" s="661" t="s">
        <v>170</v>
      </c>
      <c r="AC327" s="661" t="s">
        <v>170</v>
      </c>
      <c r="AD327" s="661" t="s">
        <v>170</v>
      </c>
      <c r="AE327" s="661" t="s">
        <v>170</v>
      </c>
    </row>
    <row r="328" spans="1:31" s="353" customFormat="1" ht="22.5" customHeight="1" thickTop="1">
      <c r="A328" s="351"/>
      <c r="B328" s="342">
        <f>IF(D328="","",B327+1)</f>
        <v>1</v>
      </c>
      <c r="C328" s="609">
        <v>18</v>
      </c>
      <c r="D328" s="610" t="s">
        <v>217</v>
      </c>
      <c r="E328" s="611" t="s">
        <v>297</v>
      </c>
      <c r="F328" s="612" t="s">
        <v>298</v>
      </c>
      <c r="G328" s="613" t="s">
        <v>172</v>
      </c>
      <c r="H328" s="614">
        <v>0.4</v>
      </c>
      <c r="I328" s="615" t="s">
        <v>173</v>
      </c>
      <c r="J328" s="616" t="s">
        <v>193</v>
      </c>
      <c r="K328" s="617">
        <v>42093</v>
      </c>
      <c r="L328" s="618">
        <v>1310.54</v>
      </c>
      <c r="M328" s="494">
        <f>IF(OR(K328="",L328=""),"",IF(I328="SI",H328*L328,""))</f>
        <v>524.21600000000001</v>
      </c>
      <c r="N328" s="503">
        <f>IF(OR(I328="",M328=""),"",IF(I328="NO",0,IF(I328="SI",ROUND(M328,3),0)))</f>
        <v>524.21600000000001</v>
      </c>
      <c r="O328" s="636"/>
      <c r="Q328" s="352" t="str">
        <f t="shared" ref="Q328:Q333" si="125">IF(K328="","",IF(AND(YEAR(K328)&gt;=YEAR($M$15), I328="SI",K328&lt;=$N$15),"CUMPLE","NO CUMPLE"))</f>
        <v>CUMPLE</v>
      </c>
      <c r="R328" s="636" t="s">
        <v>140</v>
      </c>
      <c r="S328" s="352" t="str">
        <f>IF(T328="","",IF(T328&gt;=20%,"CUMPLE","NO CUMPLE"))</f>
        <v>CUMPLE</v>
      </c>
      <c r="T328" s="656">
        <f t="shared" ref="T328:T333" si="126">IF(R328="","",VLOOKUP(J328,INTEGRAN,2,FALSE))</f>
        <v>1</v>
      </c>
      <c r="U328" s="585"/>
      <c r="W328" s="594">
        <v>1</v>
      </c>
      <c r="X328" s="595" t="str">
        <f>IF(AND(W328&lt;=$T325,$T325&gt;1,$T325&lt;&gt;""),VLOOKUP(VALUE($F322&amp;","&amp;W328),INTEGRANTES!$D$19:$G$106,2,0),"")</f>
        <v/>
      </c>
      <c r="Y328" s="596" t="str">
        <f>IF(X328&lt;&gt;"",VLOOKUP(VALUE($F322&amp;","&amp;$W328),INTEGRANTES!$D$19:$G$106,3,0),"")</f>
        <v/>
      </c>
      <c r="Z328" s="597" t="str">
        <f>IF(X328="","",SUMIF($J328:$J333,$X328,$N328:$N333))</f>
        <v/>
      </c>
      <c r="AA328" s="604" t="str">
        <f>IF($Y328="","",IF(AND($Y328&gt;=20%,$Z328&gt;=$Z334),"CUMPLE","NO CUMPLE"))</f>
        <v/>
      </c>
      <c r="AB328" s="681" t="s">
        <v>525</v>
      </c>
      <c r="AC328" s="592" t="str">
        <f t="shared" ref="AC328:AC333" si="127">IF(X328="","",IF(AND(Y328&gt;=40%,AB328="SI"),"CUMPLE","NO CUMPLE"))</f>
        <v/>
      </c>
      <c r="AD328" s="681" t="s">
        <v>525</v>
      </c>
      <c r="AE328" s="593" t="str">
        <f t="shared" ref="AE328:AE333" si="128">IF(X328="","",IF(AD328="SI","CUMPLE","NO CUMPLE"))</f>
        <v/>
      </c>
    </row>
    <row r="329" spans="1:31" s="353" customFormat="1" ht="22.5" customHeight="1">
      <c r="A329" s="351"/>
      <c r="B329" s="342">
        <f>IF(D329="","",B328+1)</f>
        <v>2</v>
      </c>
      <c r="C329" s="619">
        <v>8</v>
      </c>
      <c r="D329" s="620" t="s">
        <v>217</v>
      </c>
      <c r="E329" s="621" t="s">
        <v>299</v>
      </c>
      <c r="F329" s="622" t="s">
        <v>300</v>
      </c>
      <c r="G329" s="623" t="s">
        <v>226</v>
      </c>
      <c r="H329" s="624">
        <v>1</v>
      </c>
      <c r="I329" s="625" t="s">
        <v>173</v>
      </c>
      <c r="J329" s="629" t="s">
        <v>193</v>
      </c>
      <c r="K329" s="627">
        <v>41627</v>
      </c>
      <c r="L329" s="618">
        <v>168.1</v>
      </c>
      <c r="M329" s="556">
        <f>IF(OR(K329="",L329=""),"",IF(I329="SI",H329*L329,""))</f>
        <v>168.1</v>
      </c>
      <c r="N329" s="504">
        <f>IF(OR(I329="",M329=""),"",IF(I329="SI",ROUND(M329,3),0))</f>
        <v>168.1</v>
      </c>
      <c r="O329" s="636"/>
      <c r="Q329" s="352" t="str">
        <f t="shared" si="125"/>
        <v>NO CUMPLE</v>
      </c>
      <c r="R329" s="636"/>
      <c r="S329" s="352" t="str">
        <f t="shared" ref="S329:S333" si="129">IF(T329="","",IF(T329&gt;=20%,"CUMPLE","NO CUMPLE"))</f>
        <v/>
      </c>
      <c r="T329" s="656" t="str">
        <f t="shared" si="126"/>
        <v/>
      </c>
      <c r="U329" s="586"/>
      <c r="W329" s="594">
        <v>2</v>
      </c>
      <c r="X329" s="595" t="str">
        <f>IF(AND(W329&lt;=$T325,$T325&gt;1,$T325&lt;&gt;""),VLOOKUP(VALUE($F322&amp;","&amp;W329),INTEGRANTES!$D$19:$G$106,2,0),"")</f>
        <v/>
      </c>
      <c r="Y329" s="596" t="str">
        <f>IF(X329&lt;&gt;"",VLOOKUP(VALUE($F322&amp;","&amp;$W329),INTEGRANTES!$D$19:$G$106,3,0),"")</f>
        <v/>
      </c>
      <c r="Z329" s="597" t="str">
        <f>IF(X329="","",SUMIF($J328:$J333,$X329,$N328:$N333))</f>
        <v/>
      </c>
      <c r="AA329" s="604" t="str">
        <f>IF($Y329="","",IF(AND($Y329&gt;=20%,$Z329&gt;=$Z334),"CUMPLE","NO CUMPLE"))</f>
        <v/>
      </c>
      <c r="AB329" s="682"/>
      <c r="AC329" s="593" t="str">
        <f t="shared" si="127"/>
        <v/>
      </c>
      <c r="AD329" s="682"/>
      <c r="AE329" s="593" t="str">
        <f t="shared" si="128"/>
        <v/>
      </c>
    </row>
    <row r="330" spans="1:31" s="353" customFormat="1" ht="22.5" customHeight="1">
      <c r="A330" s="351"/>
      <c r="B330" s="342" t="str">
        <f t="shared" ref="B330:B333" si="130">IF(D330="","",B329+1)</f>
        <v/>
      </c>
      <c r="C330" s="619"/>
      <c r="D330" s="620"/>
      <c r="E330" s="628"/>
      <c r="F330" s="622"/>
      <c r="G330" s="623"/>
      <c r="H330" s="624"/>
      <c r="I330" s="625"/>
      <c r="J330" s="629"/>
      <c r="K330" s="627"/>
      <c r="L330" s="618"/>
      <c r="M330" s="556" t="str">
        <f t="shared" ref="M330:M333" si="131">IF(OR(K330="",L330=""),"",IF(I330="SI",H330*L330,""))</f>
        <v/>
      </c>
      <c r="N330" s="504" t="str">
        <f>IF(OR(I330="",M330=""),"",IF(I330="SI",ROUND(M330,3),0))</f>
        <v/>
      </c>
      <c r="O330" s="636"/>
      <c r="Q330" s="352" t="str">
        <f t="shared" si="125"/>
        <v/>
      </c>
      <c r="R330" s="636"/>
      <c r="S330" s="352" t="str">
        <f t="shared" si="129"/>
        <v/>
      </c>
      <c r="T330" s="656" t="str">
        <f t="shared" si="126"/>
        <v/>
      </c>
      <c r="U330" s="586"/>
      <c r="W330" s="594">
        <v>3</v>
      </c>
      <c r="X330" s="595" t="str">
        <f>IF(AND(W330&lt;=$T325,$T325&gt;1,$T325&lt;&gt;""),VLOOKUP(VALUE($F322&amp;","&amp;W330),INTEGRANTES!$D$19:$G$106,2,0),"")</f>
        <v/>
      </c>
      <c r="Y330" s="596" t="str">
        <f>IF(X330&lt;&gt;"",VLOOKUP(VALUE($F322&amp;","&amp;$W330),INTEGRANTES!$D$19:$G$106,3,0),"")</f>
        <v/>
      </c>
      <c r="Z330" s="597" t="str">
        <f>IF(X330="","",SUMIF($J328:$J333,$X330,$N328:$N333))</f>
        <v/>
      </c>
      <c r="AA330" s="604" t="str">
        <f>IF($Y330="","",IF(AND($Y330&gt;=20%,$Z330&gt;=$Z334),"CUMPLE","NO CUMPLE"))</f>
        <v/>
      </c>
      <c r="AB330" s="682"/>
      <c r="AC330" s="593" t="str">
        <f t="shared" si="127"/>
        <v/>
      </c>
      <c r="AD330" s="682"/>
      <c r="AE330" s="593" t="str">
        <f t="shared" si="128"/>
        <v/>
      </c>
    </row>
    <row r="331" spans="1:31" s="353" customFormat="1" ht="22.5" customHeight="1">
      <c r="A331" s="351"/>
      <c r="B331" s="342" t="str">
        <f t="shared" si="130"/>
        <v/>
      </c>
      <c r="C331" s="619"/>
      <c r="D331" s="620"/>
      <c r="E331" s="628"/>
      <c r="F331" s="622"/>
      <c r="G331" s="623"/>
      <c r="H331" s="624"/>
      <c r="I331" s="625"/>
      <c r="J331" s="629"/>
      <c r="K331" s="627"/>
      <c r="L331" s="618"/>
      <c r="M331" s="555" t="str">
        <f t="shared" si="131"/>
        <v/>
      </c>
      <c r="N331" s="504" t="str">
        <f>IF(OR(I331="",M331=""),"",IF(I331="SI",ROUND(M331,3),0))</f>
        <v/>
      </c>
      <c r="O331" s="636"/>
      <c r="Q331" s="352" t="str">
        <f t="shared" si="125"/>
        <v/>
      </c>
      <c r="R331" s="636"/>
      <c r="S331" s="352" t="str">
        <f t="shared" si="129"/>
        <v/>
      </c>
      <c r="T331" s="656" t="str">
        <f t="shared" si="126"/>
        <v/>
      </c>
      <c r="U331" s="586"/>
      <c r="W331" s="594">
        <v>4</v>
      </c>
      <c r="X331" s="595" t="str">
        <f>IF(AND(W331&lt;=$T325,$T325&gt;1,$T325&lt;&gt;""),VLOOKUP(VALUE($F322&amp;","&amp;W331),INTEGRANTES!$D$19:$G$106,2,0),"")</f>
        <v/>
      </c>
      <c r="Y331" s="596" t="str">
        <f>IF(X331&lt;&gt;"",VLOOKUP(VALUE($F322&amp;","&amp;$W331),INTEGRANTES!$D$19:$G$106,3,0),"")</f>
        <v/>
      </c>
      <c r="Z331" s="597" t="str">
        <f>IF(X331="","",SUMIF($J328:$J333,$X331,$N328:$N333))</f>
        <v/>
      </c>
      <c r="AA331" s="604" t="str">
        <f>IF($Y331="","",IF(AND($Y331&gt;=20%,$Z331&gt;=$Z334),"CUMPLE","NO CUMPLE"))</f>
        <v/>
      </c>
      <c r="AB331" s="682"/>
      <c r="AC331" s="593" t="str">
        <f t="shared" si="127"/>
        <v/>
      </c>
      <c r="AD331" s="682"/>
      <c r="AE331" s="593" t="str">
        <f t="shared" si="128"/>
        <v/>
      </c>
    </row>
    <row r="332" spans="1:31" s="353" customFormat="1" ht="22.5" customHeight="1">
      <c r="A332" s="351"/>
      <c r="B332" s="342" t="str">
        <f t="shared" si="130"/>
        <v/>
      </c>
      <c r="C332" s="619"/>
      <c r="D332" s="620"/>
      <c r="E332" s="628"/>
      <c r="F332" s="622"/>
      <c r="G332" s="623"/>
      <c r="H332" s="624"/>
      <c r="I332" s="625"/>
      <c r="J332" s="629"/>
      <c r="K332" s="627"/>
      <c r="L332" s="618"/>
      <c r="M332" s="556" t="str">
        <f t="shared" si="131"/>
        <v/>
      </c>
      <c r="N332" s="504" t="str">
        <f>IF(OR(I332="",M332=""),"",IF(I332="SI",ROUND(M332,3),0))</f>
        <v/>
      </c>
      <c r="O332" s="636"/>
      <c r="Q332" s="352" t="str">
        <f t="shared" si="125"/>
        <v/>
      </c>
      <c r="R332" s="636"/>
      <c r="S332" s="352" t="str">
        <f t="shared" si="129"/>
        <v/>
      </c>
      <c r="T332" s="656" t="str">
        <f t="shared" si="126"/>
        <v/>
      </c>
      <c r="U332" s="586"/>
      <c r="W332" s="594">
        <v>5</v>
      </c>
      <c r="X332" s="595" t="str">
        <f>IF(AND(W332&lt;=$T325,$T325&gt;1,$T325&lt;&gt;""),VLOOKUP(VALUE($F322&amp;","&amp;W332),INTEGRANTES!$D$19:$G$106,2,0),"")</f>
        <v/>
      </c>
      <c r="Y332" s="596" t="str">
        <f>IF(X332&lt;&gt;"",VLOOKUP(VALUE($F322&amp;","&amp;$W332),INTEGRANTES!$D$19:$G$106,3,0),"")</f>
        <v/>
      </c>
      <c r="Z332" s="597" t="str">
        <f>IF(X332="","",SUMIF($J328:$J333,$X332,$N328:$N333))</f>
        <v/>
      </c>
      <c r="AA332" s="604" t="str">
        <f>IF($Y332="","",IF(AND($Y332&gt;=20%,$Z332&gt;=$Z334),"CUMPLE","NO CUMPLE"))</f>
        <v/>
      </c>
      <c r="AB332" s="682"/>
      <c r="AC332" s="593" t="str">
        <f t="shared" si="127"/>
        <v/>
      </c>
      <c r="AD332" s="682"/>
      <c r="AE332" s="593" t="str">
        <f t="shared" si="128"/>
        <v/>
      </c>
    </row>
    <row r="333" spans="1:31" s="353" customFormat="1" ht="22.5" customHeight="1">
      <c r="A333" s="351"/>
      <c r="B333" s="342" t="str">
        <f t="shared" si="130"/>
        <v/>
      </c>
      <c r="C333" s="619"/>
      <c r="D333" s="620"/>
      <c r="E333" s="628"/>
      <c r="F333" s="622"/>
      <c r="G333" s="623"/>
      <c r="H333" s="624"/>
      <c r="I333" s="625"/>
      <c r="J333" s="629"/>
      <c r="K333" s="627"/>
      <c r="L333" s="618"/>
      <c r="M333" s="555" t="str">
        <f t="shared" si="131"/>
        <v/>
      </c>
      <c r="N333" s="504" t="str">
        <f>IF(OR(I333="",M333=""),"",IF(I333="SI",ROUND(M333,3),0))</f>
        <v/>
      </c>
      <c r="O333" s="636"/>
      <c r="Q333" s="352" t="str">
        <f t="shared" si="125"/>
        <v/>
      </c>
      <c r="R333" s="636"/>
      <c r="S333" s="352" t="str">
        <f t="shared" si="129"/>
        <v/>
      </c>
      <c r="T333" s="656" t="str">
        <f t="shared" si="126"/>
        <v/>
      </c>
      <c r="U333" s="586"/>
      <c r="W333" s="599">
        <v>6</v>
      </c>
      <c r="X333" s="595" t="str">
        <f>IF(AND(W333&lt;=$T325,$T325&gt;1,$T325&lt;&gt;""),VLOOKUP(VALUE($F322&amp;","&amp;W333),INTEGRANTES!$D$19:$G$106,2,0),"")</f>
        <v/>
      </c>
      <c r="Y333" s="606" t="str">
        <f>IF(X333&lt;&gt;"",VLOOKUP(VALUE($F322&amp;","&amp;$W333),INTEGRANTES!$D$19:$G$106,3,0),"")</f>
        <v/>
      </c>
      <c r="Z333" s="607" t="str">
        <f>IF(X333="","",SUMIF($J328:$J333,$X333,$N328:$N333))</f>
        <v/>
      </c>
      <c r="AA333" s="608" t="str">
        <f>IF($Y333="","",IF(AND($Y333&gt;=20%,$Z333&gt;=$Z334),"CUMPLE","NO CUMPLE"))</f>
        <v/>
      </c>
      <c r="AB333" s="682"/>
      <c r="AC333" s="593" t="str">
        <f t="shared" si="127"/>
        <v/>
      </c>
      <c r="AD333" s="682"/>
      <c r="AE333" s="593" t="str">
        <f t="shared" si="128"/>
        <v/>
      </c>
    </row>
    <row r="334" spans="1:31" ht="5.0999999999999996" customHeight="1" thickBot="1">
      <c r="B334" s="354"/>
      <c r="C334" s="359"/>
      <c r="D334" s="355"/>
      <c r="E334" s="368"/>
      <c r="F334" s="355"/>
      <c r="G334" s="355"/>
      <c r="H334" s="355"/>
      <c r="I334" s="356"/>
      <c r="J334" s="357"/>
      <c r="K334" s="358"/>
      <c r="L334" s="355"/>
      <c r="M334" s="356"/>
      <c r="N334" s="360"/>
      <c r="O334" s="352" t="str">
        <f>IF(L334="","",IF(AND(L334&gt;=YEAR($M$15), J334="SI",L334&lt;=S328),"CUMPLE","NO CUMPLE"))</f>
        <v/>
      </c>
      <c r="Q334" s="352" t="str">
        <f>IF(N334="","",IF(AND(N334&gt;=YEAR($M$15), L334="SI",N334&lt;=V328),"CUMPLE","NO CUMPLE"))</f>
        <v/>
      </c>
      <c r="R334" s="352" t="str">
        <f>IF(P334="","",IF(AND(P334&gt;=YEAR($M$15), M334="SI",P334&lt;=W328),"CUMPLE","NO CUMPLE"))</f>
        <v/>
      </c>
      <c r="S334" s="352" t="str">
        <f>IF(P334="","",IF(AND(P334&gt;=YEAR($M$15), N334="SI",P334&lt;=X328),"CUMPLE","NO CUMPLE"))</f>
        <v/>
      </c>
      <c r="T334" s="564"/>
      <c r="U334" s="586"/>
      <c r="W334" s="600"/>
      <c r="X334" s="600"/>
      <c r="Y334" s="600"/>
      <c r="Z334" s="605">
        <f>MAX(Z328:Z333)</f>
        <v>0</v>
      </c>
      <c r="AA334" s="600"/>
      <c r="AB334" s="602"/>
      <c r="AC334" s="602"/>
      <c r="AD334" s="602"/>
      <c r="AE334" s="602"/>
    </row>
    <row r="335" spans="1:31" s="52" customFormat="1" ht="17.100000000000001" customHeight="1" thickTop="1" thickBot="1">
      <c r="A335" s="361">
        <f>F322</f>
        <v>18</v>
      </c>
      <c r="B335" s="364"/>
      <c r="C335" s="379"/>
      <c r="D335" s="664"/>
      <c r="E335" s="752"/>
      <c r="F335" s="752"/>
      <c r="G335" s="752"/>
      <c r="H335" s="752"/>
      <c r="I335" s="752"/>
      <c r="J335" s="752"/>
      <c r="K335" s="752"/>
      <c r="L335" s="753"/>
      <c r="M335" s="754"/>
      <c r="N335" s="365">
        <f>SUM(N328:N331)</f>
        <v>692.31600000000003</v>
      </c>
      <c r="O335" s="373"/>
      <c r="Q335" s="373" t="str">
        <f>IF(COUNTIF(Q328:Q331,"CUMPLE")&gt;0,"CUMPLE","NO CUMPLE")</f>
        <v>CUMPLE</v>
      </c>
      <c r="R335" s="374" t="str">
        <f>IF(COUNTIF(R328:R331,"COLOMBIA")&gt;0,"CUMPLE","NO CUMPLE")</f>
        <v>CUMPLE</v>
      </c>
      <c r="S335" s="373" t="str">
        <f>IF(COUNTIF(S328:S331,"CUMPLE")&gt;0,"CUMPLE","NO CUMPLE")</f>
        <v>CUMPLE</v>
      </c>
      <c r="T335" s="566"/>
      <c r="U335" s="587"/>
      <c r="AA335" s="589" t="str">
        <f>IF(T325=1,"CUMPLE",IF(COUNTIF(AA328:AA333,"CUMPLE")&gt;0,"CUMPLE","NO CUMPLE"))</f>
        <v>CUMPLE</v>
      </c>
      <c r="AB335" s="735" t="str">
        <f>IF(COUNTIF(AC328:AC333,"CUMPLE")&gt;0,"CUMPLE","NO CUMPLE")</f>
        <v>NO CUMPLE</v>
      </c>
      <c r="AC335" s="736"/>
      <c r="AD335" s="735" t="str">
        <f>IF(COUNTIF(AE328:AE333,"CUMPLE")&gt;0,"CUMPLE","NO CUMPLE")</f>
        <v>NO CUMPLE</v>
      </c>
      <c r="AE335" s="736"/>
    </row>
    <row r="336" spans="1:31" ht="16.5" thickTop="1">
      <c r="B336" s="557"/>
      <c r="C336" s="558"/>
      <c r="D336" s="558"/>
      <c r="E336" s="558"/>
      <c r="F336" s="558"/>
      <c r="G336" s="558"/>
      <c r="H336" s="558"/>
      <c r="I336" s="558"/>
      <c r="J336" s="558"/>
      <c r="K336" s="558"/>
      <c r="L336" s="80"/>
      <c r="M336" s="362" t="s">
        <v>516</v>
      </c>
      <c r="N336" s="369">
        <f ca="1">VFrequerido!Y32</f>
        <v>537.11</v>
      </c>
      <c r="O336" s="568"/>
      <c r="Q336" s="570"/>
      <c r="R336" s="571"/>
      <c r="S336" s="572"/>
      <c r="T336" s="573"/>
      <c r="U336" s="80"/>
    </row>
    <row r="337" spans="1:31" ht="15.75" thickBot="1">
      <c r="A337" s="490" t="str">
        <f>"E"&amp;F322</f>
        <v>E18</v>
      </c>
      <c r="B337" s="559"/>
      <c r="C337" s="560"/>
      <c r="D337" s="560"/>
      <c r="E337" s="560"/>
      <c r="F337" s="560"/>
      <c r="G337" s="560"/>
      <c r="H337" s="560"/>
      <c r="I337" s="560"/>
      <c r="J337" s="560"/>
      <c r="K337" s="560"/>
      <c r="L337" s="363"/>
      <c r="M337" s="755" t="str">
        <f ca="1">IF(OR(N335=0,N335&lt;N336),"NO CUMPLE","CUMPLE")</f>
        <v>CUMPLE</v>
      </c>
      <c r="N337" s="756"/>
      <c r="O337" s="569"/>
      <c r="Q337" s="492"/>
      <c r="R337" s="493"/>
      <c r="S337" s="363"/>
      <c r="T337" s="574"/>
      <c r="U337" s="80"/>
    </row>
    <row r="338" spans="1:31" ht="13.5" thickTop="1"/>
    <row r="340" spans="1:31">
      <c r="F340" s="757">
        <f>F322+1</f>
        <v>19</v>
      </c>
      <c r="G340" s="758" t="str">
        <f>VLOOKUP(F340,PROPO,2,FALSE)</f>
        <v>CONSORCIO LEOS</v>
      </c>
      <c r="H340" s="758"/>
      <c r="I340" s="758"/>
      <c r="J340" s="758"/>
      <c r="K340" s="52"/>
      <c r="O340" s="52"/>
      <c r="Q340" s="52"/>
      <c r="R340" s="52"/>
    </row>
    <row r="341" spans="1:31">
      <c r="B341" s="328"/>
      <c r="C341" s="328"/>
      <c r="D341" s="328"/>
      <c r="E341" s="328"/>
      <c r="F341" s="757"/>
      <c r="G341" s="758"/>
      <c r="H341" s="758"/>
      <c r="I341" s="758"/>
      <c r="J341" s="758"/>
      <c r="K341" s="52"/>
      <c r="N341" s="567"/>
      <c r="O341" s="52"/>
      <c r="Q341" s="52"/>
      <c r="R341" s="52"/>
    </row>
    <row r="342" spans="1:31" ht="13.5" thickBot="1">
      <c r="B342" s="329"/>
      <c r="C342" s="329"/>
      <c r="D342" s="56"/>
      <c r="E342" s="56"/>
      <c r="F342" s="56"/>
      <c r="G342" s="56"/>
      <c r="H342" s="56"/>
      <c r="I342" s="56"/>
      <c r="J342" s="56"/>
      <c r="K342" s="330"/>
      <c r="L342" s="331"/>
      <c r="M342" s="331"/>
      <c r="N342" s="330"/>
      <c r="O342" s="330"/>
      <c r="Q342" s="330"/>
      <c r="R342" s="330"/>
    </row>
    <row r="343" spans="1:31" ht="50.1" customHeight="1" thickTop="1" thickBot="1">
      <c r="B343" s="332" t="s">
        <v>16</v>
      </c>
      <c r="C343" s="744" t="s">
        <v>121</v>
      </c>
      <c r="D343" s="333" t="s">
        <v>17</v>
      </c>
      <c r="E343" s="746" t="s">
        <v>18</v>
      </c>
      <c r="F343" s="747"/>
      <c r="G343" s="748" t="s">
        <v>117</v>
      </c>
      <c r="H343" s="749"/>
      <c r="I343" s="744" t="s">
        <v>39</v>
      </c>
      <c r="J343" s="744" t="s">
        <v>0</v>
      </c>
      <c r="K343" s="665" t="s">
        <v>19</v>
      </c>
      <c r="L343" s="750" t="s">
        <v>20</v>
      </c>
      <c r="M343" s="751"/>
      <c r="N343" s="68" t="s">
        <v>52</v>
      </c>
      <c r="O343" s="501" t="s">
        <v>151</v>
      </c>
      <c r="Q343" s="665" t="s">
        <v>127</v>
      </c>
      <c r="R343" s="665" t="s">
        <v>138</v>
      </c>
      <c r="S343" s="665" t="s">
        <v>163</v>
      </c>
      <c r="T343" s="565">
        <f>IF(VLOOKUP(F340,PROPONENTES!$C$19:$E$54,3,0)="","",VLOOKUP(F340,PROPONENTES!$C$19:$E$54,3,0))</f>
        <v>2</v>
      </c>
      <c r="U343" s="582"/>
      <c r="W343" s="737" t="s">
        <v>167</v>
      </c>
      <c r="X343" s="738"/>
      <c r="Y343" s="738"/>
      <c r="Z343" s="738"/>
      <c r="AA343" s="738"/>
      <c r="AB343" s="738"/>
      <c r="AC343" s="738"/>
      <c r="AD343" s="738"/>
      <c r="AE343" s="739"/>
    </row>
    <row r="344" spans="1:31" ht="50.1" customHeight="1" thickTop="1" thickBot="1">
      <c r="B344" s="334" t="s">
        <v>21</v>
      </c>
      <c r="C344" s="745"/>
      <c r="D344" s="335" t="s">
        <v>22</v>
      </c>
      <c r="E344" s="366" t="s">
        <v>23</v>
      </c>
      <c r="F344" s="336" t="s">
        <v>24</v>
      </c>
      <c r="G344" s="337" t="s">
        <v>118</v>
      </c>
      <c r="H344" s="338" t="s">
        <v>119</v>
      </c>
      <c r="I344" s="745"/>
      <c r="J344" s="745"/>
      <c r="K344" s="663" t="s">
        <v>120</v>
      </c>
      <c r="L344" s="339" t="s">
        <v>150</v>
      </c>
      <c r="M344" s="340" t="s">
        <v>14</v>
      </c>
      <c r="N344" s="341" t="s">
        <v>14</v>
      </c>
      <c r="O344" s="502" t="s">
        <v>152</v>
      </c>
      <c r="Q344" s="663" t="s">
        <v>128</v>
      </c>
      <c r="R344" s="663" t="s">
        <v>139</v>
      </c>
      <c r="S344" s="663" t="s">
        <v>164</v>
      </c>
      <c r="T344" s="575" t="s">
        <v>83</v>
      </c>
      <c r="U344" s="583"/>
      <c r="W344" s="740" t="s">
        <v>166</v>
      </c>
      <c r="X344" s="743"/>
      <c r="Y344" s="663" t="s">
        <v>168</v>
      </c>
      <c r="Z344" s="663" t="s">
        <v>169</v>
      </c>
      <c r="AA344" s="663" t="s">
        <v>174</v>
      </c>
      <c r="AB344" s="740" t="s">
        <v>524</v>
      </c>
      <c r="AC344" s="741"/>
      <c r="AD344" s="742" t="s">
        <v>522</v>
      </c>
      <c r="AE344" s="741"/>
    </row>
    <row r="345" spans="1:31" ht="14.25" hidden="1" customHeight="1">
      <c r="B345" s="342">
        <v>0</v>
      </c>
      <c r="C345" s="347"/>
      <c r="D345" s="343"/>
      <c r="E345" s="367"/>
      <c r="F345" s="344"/>
      <c r="G345" s="345"/>
      <c r="H345" s="346"/>
      <c r="I345" s="347"/>
      <c r="J345" s="347"/>
      <c r="K345" s="347"/>
      <c r="L345" s="348"/>
      <c r="M345" s="349"/>
      <c r="N345" s="350"/>
      <c r="O345" s="347"/>
      <c r="Q345" s="347"/>
      <c r="R345" s="347"/>
      <c r="S345" s="347"/>
      <c r="T345" s="563"/>
      <c r="U345" s="584"/>
      <c r="W345" s="502" t="s">
        <v>166</v>
      </c>
      <c r="X345" s="502"/>
      <c r="Y345" s="502" t="s">
        <v>168</v>
      </c>
      <c r="Z345" s="502" t="s">
        <v>169</v>
      </c>
      <c r="AA345" s="502" t="s">
        <v>170</v>
      </c>
      <c r="AB345" s="661" t="s">
        <v>170</v>
      </c>
      <c r="AC345" s="661" t="s">
        <v>170</v>
      </c>
      <c r="AD345" s="661" t="s">
        <v>170</v>
      </c>
      <c r="AE345" s="661" t="s">
        <v>170</v>
      </c>
    </row>
    <row r="346" spans="1:31" s="353" customFormat="1" ht="22.5" customHeight="1" thickTop="1">
      <c r="A346" s="351"/>
      <c r="B346" s="342">
        <f>IF(D346="","",B345+1)</f>
        <v>1</v>
      </c>
      <c r="C346" s="609">
        <v>5</v>
      </c>
      <c r="D346" s="610" t="s">
        <v>217</v>
      </c>
      <c r="E346" s="611" t="s">
        <v>301</v>
      </c>
      <c r="F346" s="612" t="s">
        <v>302</v>
      </c>
      <c r="G346" s="613" t="s">
        <v>172</v>
      </c>
      <c r="H346" s="614">
        <v>0.5</v>
      </c>
      <c r="I346" s="615" t="s">
        <v>173</v>
      </c>
      <c r="J346" s="616" t="s">
        <v>308</v>
      </c>
      <c r="K346" s="617">
        <v>34856</v>
      </c>
      <c r="L346" s="618">
        <v>519.74</v>
      </c>
      <c r="M346" s="494">
        <f>IF(OR(K346="",L346=""),"",IF(I346="SI",H346*L346,""))</f>
        <v>259.87</v>
      </c>
      <c r="N346" s="503">
        <f>IF(OR(I346="",M346=""),"",IF(I346="NO",0,IF(I346="SI",ROUND(M346,3),0)))</f>
        <v>259.87</v>
      </c>
      <c r="O346" s="636"/>
      <c r="Q346" s="352" t="str">
        <f t="shared" ref="Q346:Q351" si="132">IF(K346="","",IF(AND(YEAR(K346)&gt;=YEAR($M$15), I346="SI",K346&lt;=$N$15),"CUMPLE","NO CUMPLE"))</f>
        <v>NO CUMPLE</v>
      </c>
      <c r="R346" s="636"/>
      <c r="S346" s="352" t="str">
        <f>IF(T346="","",IF(T346&gt;=20%,"CUMPLE","NO CUMPLE"))</f>
        <v/>
      </c>
      <c r="T346" s="656" t="str">
        <f t="shared" ref="T346:T351" si="133">IF(R346="","",VLOOKUP(J346,INTEGRAN,2,FALSE))</f>
        <v/>
      </c>
      <c r="U346" s="585"/>
      <c r="W346" s="594">
        <v>1</v>
      </c>
      <c r="X346" s="595" t="s">
        <v>308</v>
      </c>
      <c r="Y346" s="596">
        <f>IF(X346&lt;&gt;"",VLOOKUP(VALUE($F340&amp;","&amp;$W346),INTEGRANTES!$D$19:$G$106,3,0),"")</f>
        <v>0.7</v>
      </c>
      <c r="Z346" s="597">
        <f>IF(X346="","",SUMIF($J346:$J351,$X346,$N346:$N351))</f>
        <v>531.37</v>
      </c>
      <c r="AA346" s="604" t="str">
        <f>IF($Y346="","",IF(AND($Y346&gt;=20%,$Z346&gt;=$Z352),"CUMPLE","NO CUMPLE"))</f>
        <v>CUMPLE</v>
      </c>
      <c r="AB346" s="681" t="s">
        <v>525</v>
      </c>
      <c r="AC346" s="592" t="str">
        <f t="shared" ref="AC346:AC351" si="134">IF(X346="","",IF(AND(Y346&gt;=40%,AB346="SI"),"CUMPLE","NO CUMPLE"))</f>
        <v>CUMPLE</v>
      </c>
      <c r="AD346" s="681" t="s">
        <v>525</v>
      </c>
      <c r="AE346" s="593" t="str">
        <f t="shared" ref="AE346:AE351" si="135">IF(X346="","",IF(AD346="SI","CUMPLE","NO CUMPLE"))</f>
        <v>CUMPLE</v>
      </c>
    </row>
    <row r="347" spans="1:31" s="353" customFormat="1" ht="22.5" customHeight="1">
      <c r="A347" s="351"/>
      <c r="B347" s="342">
        <f>IF(D347="","",B346+1)</f>
        <v>2</v>
      </c>
      <c r="C347" s="619">
        <v>14</v>
      </c>
      <c r="D347" s="620" t="s">
        <v>303</v>
      </c>
      <c r="E347" s="621" t="s">
        <v>304</v>
      </c>
      <c r="F347" s="622" t="s">
        <v>305</v>
      </c>
      <c r="G347" s="623" t="s">
        <v>226</v>
      </c>
      <c r="H347" s="624">
        <v>1</v>
      </c>
      <c r="I347" s="625" t="s">
        <v>173</v>
      </c>
      <c r="J347" s="629" t="s">
        <v>308</v>
      </c>
      <c r="K347" s="627">
        <v>37283</v>
      </c>
      <c r="L347" s="618">
        <v>271.5</v>
      </c>
      <c r="M347" s="556">
        <f>IF(OR(K347="",L347=""),"",IF(I347="SI",H347*L347,""))</f>
        <v>271.5</v>
      </c>
      <c r="N347" s="504">
        <f>IF(OR(I347="",M347=""),"",IF(I347="SI",ROUND(M347,3),0))</f>
        <v>271.5</v>
      </c>
      <c r="O347" s="636"/>
      <c r="Q347" s="352" t="str">
        <f t="shared" si="132"/>
        <v>NO CUMPLE</v>
      </c>
      <c r="R347" s="636"/>
      <c r="S347" s="352" t="str">
        <f t="shared" ref="S347:S351" si="136">IF(T347="","",IF(T347&gt;=20%,"CUMPLE","NO CUMPLE"))</f>
        <v/>
      </c>
      <c r="T347" s="656" t="str">
        <f t="shared" si="133"/>
        <v/>
      </c>
      <c r="U347" s="586"/>
      <c r="W347" s="594">
        <v>2</v>
      </c>
      <c r="X347" s="595" t="s">
        <v>309</v>
      </c>
      <c r="Y347" s="596">
        <f>IF(X347&lt;&gt;"",VLOOKUP(VALUE($F340&amp;","&amp;$W347),INTEGRANTES!$D$19:$G$106,3,0),"")</f>
        <v>0.3</v>
      </c>
      <c r="Z347" s="597">
        <f>IF(X347="","",SUMIF($J346:$J351,$X347,$N346:$N351))</f>
        <v>0</v>
      </c>
      <c r="AA347" s="604" t="str">
        <f>IF($Y347="","",IF(AND($Y347&gt;=20%,$Z347&gt;=$Z352),"CUMPLE","NO CUMPLE"))</f>
        <v>NO CUMPLE</v>
      </c>
      <c r="AB347" s="682"/>
      <c r="AC347" s="593" t="str">
        <f t="shared" si="134"/>
        <v>NO CUMPLE</v>
      </c>
      <c r="AD347" s="682"/>
      <c r="AE347" s="593" t="str">
        <f t="shared" si="135"/>
        <v>NO CUMPLE</v>
      </c>
    </row>
    <row r="348" spans="1:31" s="353" customFormat="1" ht="22.5" customHeight="1">
      <c r="A348" s="351"/>
      <c r="B348" s="342">
        <f t="shared" ref="B348:B351" si="137">IF(D348="","",B347+1)</f>
        <v>3</v>
      </c>
      <c r="C348" s="619">
        <v>57</v>
      </c>
      <c r="D348" s="620" t="s">
        <v>217</v>
      </c>
      <c r="E348" s="628" t="s">
        <v>306</v>
      </c>
      <c r="F348" s="622" t="s">
        <v>307</v>
      </c>
      <c r="G348" s="623" t="s">
        <v>172</v>
      </c>
      <c r="H348" s="624">
        <v>0.34</v>
      </c>
      <c r="I348" s="625" t="s">
        <v>173</v>
      </c>
      <c r="J348" s="629" t="s">
        <v>311</v>
      </c>
      <c r="K348" s="627">
        <v>42638</v>
      </c>
      <c r="L348" s="618">
        <v>117.76</v>
      </c>
      <c r="M348" s="556">
        <f t="shared" ref="M348:M351" si="138">IF(OR(K348="",L348=""),"",IF(I348="SI",H348*L348,""))</f>
        <v>40.038400000000003</v>
      </c>
      <c r="N348" s="504">
        <f>IF(OR(I348="",M348=""),"",IF(I348="SI",ROUND(M348,3),0))</f>
        <v>40.037999999999997</v>
      </c>
      <c r="O348" s="636"/>
      <c r="Q348" s="352" t="str">
        <f t="shared" si="132"/>
        <v>CUMPLE</v>
      </c>
      <c r="R348" s="636" t="s">
        <v>140</v>
      </c>
      <c r="S348" s="352" t="str">
        <f>IF(T348="","",IF(T348&gt;=20%,"CUMPLE","NO CUMPLE"))</f>
        <v>CUMPLE</v>
      </c>
      <c r="T348" s="656">
        <f>IF(R348="","",VLOOKUP(J348,INTEGRAN,2,FALSE))</f>
        <v>0.3</v>
      </c>
      <c r="U348" s="586"/>
      <c r="W348" s="594">
        <v>3</v>
      </c>
      <c r="X348" s="595" t="str">
        <f>IF(AND(W348&lt;=$T343,$T343&gt;1,$T343&lt;&gt;""),VLOOKUP(VALUE($F340&amp;","&amp;W348),INTEGRANTES!$D$19:$G$106,2,0),"")</f>
        <v/>
      </c>
      <c r="Y348" s="596" t="str">
        <f>IF(X348&lt;&gt;"",VLOOKUP(VALUE($F340&amp;","&amp;$W348),INTEGRANTES!$D$19:$G$106,3,0),"")</f>
        <v/>
      </c>
      <c r="Z348" s="597" t="str">
        <f>IF(X348="","",SUMIF($J346:$J351,$X348,$N346:$N351))</f>
        <v/>
      </c>
      <c r="AA348" s="604" t="str">
        <f>IF($Y348="","",IF(AND($Y348&gt;=20%,$Z348&gt;=$Z352),"CUMPLE","NO CUMPLE"))</f>
        <v/>
      </c>
      <c r="AB348" s="682"/>
      <c r="AC348" s="593" t="str">
        <f t="shared" si="134"/>
        <v/>
      </c>
      <c r="AD348" s="682"/>
      <c r="AE348" s="593" t="str">
        <f t="shared" si="135"/>
        <v/>
      </c>
    </row>
    <row r="349" spans="1:31" s="353" customFormat="1" ht="22.5" customHeight="1">
      <c r="A349" s="351"/>
      <c r="B349" s="342" t="str">
        <f t="shared" si="137"/>
        <v/>
      </c>
      <c r="C349" s="619"/>
      <c r="D349" s="620"/>
      <c r="E349" s="628"/>
      <c r="F349" s="622"/>
      <c r="G349" s="623"/>
      <c r="H349" s="624"/>
      <c r="I349" s="625"/>
      <c r="J349" s="629"/>
      <c r="K349" s="627"/>
      <c r="L349" s="618"/>
      <c r="M349" s="555" t="str">
        <f t="shared" si="138"/>
        <v/>
      </c>
      <c r="N349" s="504" t="str">
        <f>IF(OR(I349="",M349=""),"",IF(I349="SI",ROUND(M349,3),0))</f>
        <v/>
      </c>
      <c r="O349" s="636"/>
      <c r="Q349" s="352" t="str">
        <f t="shared" si="132"/>
        <v/>
      </c>
      <c r="R349" s="636"/>
      <c r="S349" s="352" t="str">
        <f t="shared" si="136"/>
        <v/>
      </c>
      <c r="T349" s="672" t="str">
        <f t="shared" si="133"/>
        <v/>
      </c>
      <c r="U349" s="586"/>
      <c r="W349" s="594">
        <v>4</v>
      </c>
      <c r="X349" s="595" t="str">
        <f>IF(AND(W349&lt;=$T343,$T343&gt;1,$T343&lt;&gt;""),VLOOKUP(VALUE($F340&amp;","&amp;W349),INTEGRANTES!$D$19:$G$106,2,0),"")</f>
        <v/>
      </c>
      <c r="Y349" s="596" t="str">
        <f>IF(X349&lt;&gt;"",VLOOKUP(VALUE($F340&amp;","&amp;$W349),INTEGRANTES!$D$19:$G$106,3,0),"")</f>
        <v/>
      </c>
      <c r="Z349" s="597" t="str">
        <f>IF(X349="","",SUMIF($J346:$J351,$X349,$N346:$N351))</f>
        <v/>
      </c>
      <c r="AA349" s="604" t="str">
        <f>IF($Y349="","",IF(AND($Y349&gt;=20%,$Z349&gt;=$Z352),"CUMPLE","NO CUMPLE"))</f>
        <v/>
      </c>
      <c r="AB349" s="682"/>
      <c r="AC349" s="593" t="str">
        <f t="shared" si="134"/>
        <v/>
      </c>
      <c r="AD349" s="682"/>
      <c r="AE349" s="593" t="str">
        <f t="shared" si="135"/>
        <v/>
      </c>
    </row>
    <row r="350" spans="1:31" s="353" customFormat="1" ht="22.5" customHeight="1">
      <c r="A350" s="351"/>
      <c r="B350" s="342" t="str">
        <f t="shared" si="137"/>
        <v/>
      </c>
      <c r="C350" s="619"/>
      <c r="D350" s="620"/>
      <c r="E350" s="628"/>
      <c r="F350" s="622"/>
      <c r="G350" s="623"/>
      <c r="H350" s="624"/>
      <c r="I350" s="625"/>
      <c r="J350" s="629"/>
      <c r="K350" s="627"/>
      <c r="L350" s="618"/>
      <c r="M350" s="556" t="str">
        <f t="shared" si="138"/>
        <v/>
      </c>
      <c r="N350" s="504" t="str">
        <f>IF(OR(I350="",M350=""),"",IF(I350="SI",ROUND(M350,3),0))</f>
        <v/>
      </c>
      <c r="O350" s="636"/>
      <c r="Q350" s="352" t="str">
        <f t="shared" si="132"/>
        <v/>
      </c>
      <c r="R350" s="636"/>
      <c r="S350" s="352" t="str">
        <f t="shared" si="136"/>
        <v/>
      </c>
      <c r="T350" s="672" t="str">
        <f t="shared" si="133"/>
        <v/>
      </c>
      <c r="U350" s="586"/>
      <c r="W350" s="594">
        <v>5</v>
      </c>
      <c r="X350" s="595" t="str">
        <f>IF(AND(W350&lt;=$T343,$T343&gt;1,$T343&lt;&gt;""),VLOOKUP(VALUE($F340&amp;","&amp;W350),INTEGRANTES!$D$19:$G$106,2,0),"")</f>
        <v/>
      </c>
      <c r="Y350" s="596" t="str">
        <f>IF(X350&lt;&gt;"",VLOOKUP(VALUE($F340&amp;","&amp;$W350),INTEGRANTES!$D$19:$G$106,3,0),"")</f>
        <v/>
      </c>
      <c r="Z350" s="597" t="str">
        <f>IF(X350="","",SUMIF($J346:$J351,$X350,$N346:$N351))</f>
        <v/>
      </c>
      <c r="AA350" s="604" t="str">
        <f>IF($Y350="","",IF(AND($Y350&gt;=20%,$Z350&gt;=$Z352),"CUMPLE","NO CUMPLE"))</f>
        <v/>
      </c>
      <c r="AB350" s="682"/>
      <c r="AC350" s="593" t="str">
        <f t="shared" si="134"/>
        <v/>
      </c>
      <c r="AD350" s="682"/>
      <c r="AE350" s="593" t="str">
        <f t="shared" si="135"/>
        <v/>
      </c>
    </row>
    <row r="351" spans="1:31" s="353" customFormat="1" ht="22.5" customHeight="1">
      <c r="A351" s="351"/>
      <c r="B351" s="342" t="str">
        <f t="shared" si="137"/>
        <v/>
      </c>
      <c r="C351" s="619"/>
      <c r="D351" s="620"/>
      <c r="E351" s="628"/>
      <c r="F351" s="622"/>
      <c r="G351" s="623"/>
      <c r="H351" s="624"/>
      <c r="I351" s="625"/>
      <c r="J351" s="629"/>
      <c r="K351" s="627"/>
      <c r="L351" s="618"/>
      <c r="M351" s="555" t="str">
        <f t="shared" si="138"/>
        <v/>
      </c>
      <c r="N351" s="504" t="str">
        <f>IF(OR(I351="",M351=""),"",IF(I351="SI",ROUND(M351,3),0))</f>
        <v/>
      </c>
      <c r="O351" s="636"/>
      <c r="Q351" s="352" t="str">
        <f t="shared" si="132"/>
        <v/>
      </c>
      <c r="R351" s="636"/>
      <c r="S351" s="352" t="str">
        <f t="shared" si="136"/>
        <v/>
      </c>
      <c r="T351" s="672" t="str">
        <f t="shared" si="133"/>
        <v/>
      </c>
      <c r="U351" s="586"/>
      <c r="W351" s="599">
        <v>6</v>
      </c>
      <c r="X351" s="595" t="str">
        <f>IF(AND(W351&lt;=$T343,$T343&gt;1,$T343&lt;&gt;""),VLOOKUP(VALUE($F340&amp;","&amp;W351),INTEGRANTES!$D$19:$G$106,2,0),"")</f>
        <v/>
      </c>
      <c r="Y351" s="606" t="str">
        <f>IF(X351&lt;&gt;"",VLOOKUP(VALUE($F340&amp;","&amp;$W351),INTEGRANTES!$D$19:$G$106,3,0),"")</f>
        <v/>
      </c>
      <c r="Z351" s="607" t="str">
        <f>IF(X351="","",SUMIF($J346:$J351,$X351,$N346:$N351))</f>
        <v/>
      </c>
      <c r="AA351" s="608" t="str">
        <f>IF($Y351="","",IF(AND($Y351&gt;=20%,$Z351&gt;=$Z352),"CUMPLE","NO CUMPLE"))</f>
        <v/>
      </c>
      <c r="AB351" s="682"/>
      <c r="AC351" s="593" t="str">
        <f t="shared" si="134"/>
        <v/>
      </c>
      <c r="AD351" s="682"/>
      <c r="AE351" s="593" t="str">
        <f t="shared" si="135"/>
        <v/>
      </c>
    </row>
    <row r="352" spans="1:31" ht="5.0999999999999996" customHeight="1" thickBot="1">
      <c r="B352" s="354"/>
      <c r="C352" s="359"/>
      <c r="D352" s="355"/>
      <c r="E352" s="368"/>
      <c r="F352" s="355"/>
      <c r="G352" s="355"/>
      <c r="H352" s="355"/>
      <c r="I352" s="356"/>
      <c r="J352" s="357"/>
      <c r="K352" s="358"/>
      <c r="L352" s="355"/>
      <c r="M352" s="356"/>
      <c r="N352" s="360"/>
      <c r="O352" s="352" t="str">
        <f>IF(L352="","",IF(AND(L352&gt;=YEAR($M$15), J352="SI",L352&lt;=S346),"CUMPLE","NO CUMPLE"))</f>
        <v/>
      </c>
      <c r="Q352" s="352" t="str">
        <f>IF(N352="","",IF(AND(N352&gt;=YEAR($M$15), L352="SI",N352&lt;=V346),"CUMPLE","NO CUMPLE"))</f>
        <v/>
      </c>
      <c r="R352" s="352" t="str">
        <f>IF(P352="","",IF(AND(P352&gt;=YEAR($M$15), M352="SI",P352&lt;=W346),"CUMPLE","NO CUMPLE"))</f>
        <v/>
      </c>
      <c r="S352" s="352" t="str">
        <f>IF(P352="","",IF(AND(P352&gt;=YEAR($M$15), N352="SI",P352&lt;=X346),"CUMPLE","NO CUMPLE"))</f>
        <v/>
      </c>
      <c r="T352" s="564"/>
      <c r="U352" s="586"/>
      <c r="W352" s="600"/>
      <c r="X352" s="600"/>
      <c r="Y352" s="600"/>
      <c r="Z352" s="605">
        <f>MAX(Z346:Z351)</f>
        <v>531.37</v>
      </c>
      <c r="AA352" s="600"/>
      <c r="AB352" s="602"/>
      <c r="AC352" s="602"/>
      <c r="AD352" s="602"/>
      <c r="AE352" s="602"/>
    </row>
    <row r="353" spans="1:31" s="52" customFormat="1" ht="17.100000000000001" customHeight="1" thickTop="1" thickBot="1">
      <c r="A353" s="361">
        <f>F340</f>
        <v>19</v>
      </c>
      <c r="B353" s="364"/>
      <c r="C353" s="379"/>
      <c r="D353" s="664"/>
      <c r="E353" s="752"/>
      <c r="F353" s="752"/>
      <c r="G353" s="752"/>
      <c r="H353" s="752"/>
      <c r="I353" s="752"/>
      <c r="J353" s="752"/>
      <c r="K353" s="752"/>
      <c r="L353" s="753"/>
      <c r="M353" s="754"/>
      <c r="N353" s="365">
        <f>SUM(N346:N352)</f>
        <v>571.40800000000002</v>
      </c>
      <c r="O353" s="373"/>
      <c r="Q353" s="373" t="str">
        <f>IF(COUNTIF(Q346:Q349,"CUMPLE")&gt;0,"CUMPLE","NO CUMPLE")</f>
        <v>CUMPLE</v>
      </c>
      <c r="R353" s="374" t="str">
        <f>IF(COUNTIF(R346:R349,"COLOMBIA")&gt;0,"CUMPLE","NO CUMPLE")</f>
        <v>CUMPLE</v>
      </c>
      <c r="S353" s="373" t="str">
        <f>IF(COUNTIF(S346:S349,"CUMPLE")&gt;0,"CUMPLE","NO CUMPLE")</f>
        <v>CUMPLE</v>
      </c>
      <c r="T353" s="566"/>
      <c r="U353" s="587"/>
      <c r="AA353" s="589" t="str">
        <f>IF(COUNTIF(AA346:AA351,"CUMPLE")&gt;0,"CUMPLE","NO CUMPLE")</f>
        <v>CUMPLE</v>
      </c>
      <c r="AB353" s="735" t="str">
        <f>IF(COUNTIF(AC346:AC351,"CUMPLE")&gt;0,"CUMPLE","NO CUMPLE")</f>
        <v>CUMPLE</v>
      </c>
      <c r="AC353" s="736"/>
      <c r="AD353" s="735" t="str">
        <f>IF(COUNTIF(AE346:AE351,"CUMPLE")&gt;0,"CUMPLE","NO CUMPLE")</f>
        <v>CUMPLE</v>
      </c>
      <c r="AE353" s="736"/>
    </row>
    <row r="354" spans="1:31" ht="16.5" thickTop="1">
      <c r="B354" s="557"/>
      <c r="C354" s="558"/>
      <c r="D354" s="558"/>
      <c r="E354" s="558"/>
      <c r="F354" s="558"/>
      <c r="G354" s="558"/>
      <c r="H354" s="558"/>
      <c r="I354" s="558"/>
      <c r="J354" s="558"/>
      <c r="K354" s="558"/>
      <c r="L354" s="80"/>
      <c r="M354" s="362" t="s">
        <v>516</v>
      </c>
      <c r="N354" s="369">
        <f ca="1">VFrequerido!Y33</f>
        <v>537.11</v>
      </c>
      <c r="O354" s="568"/>
      <c r="Q354" s="570"/>
      <c r="R354" s="571"/>
      <c r="S354" s="572"/>
      <c r="T354" s="573"/>
      <c r="U354" s="80"/>
    </row>
    <row r="355" spans="1:31" ht="15.75" thickBot="1">
      <c r="A355" s="490" t="str">
        <f>"E"&amp;F340</f>
        <v>E19</v>
      </c>
      <c r="B355" s="559"/>
      <c r="C355" s="560"/>
      <c r="D355" s="560"/>
      <c r="E355" s="560"/>
      <c r="F355" s="560"/>
      <c r="G355" s="560"/>
      <c r="H355" s="560"/>
      <c r="I355" s="560"/>
      <c r="J355" s="560"/>
      <c r="K355" s="560"/>
      <c r="L355" s="363"/>
      <c r="M355" s="755" t="str">
        <f ca="1">IF(OR(N353=0,N353&lt;N354),"NO CUMPLE","CUMPLE")</f>
        <v>CUMPLE</v>
      </c>
      <c r="N355" s="756"/>
      <c r="O355" s="569"/>
      <c r="Q355" s="492"/>
      <c r="R355" s="493"/>
      <c r="S355" s="363"/>
      <c r="T355" s="574"/>
      <c r="U355" s="80"/>
    </row>
    <row r="356" spans="1:31" ht="13.5" thickTop="1"/>
    <row r="358" spans="1:31">
      <c r="F358" s="757">
        <f>F340+1</f>
        <v>20</v>
      </c>
      <c r="G358" s="758" t="str">
        <f>VLOOKUP(F358,PROPO,2,FALSE)</f>
        <v>ut admon vial 2019 santander</v>
      </c>
      <c r="H358" s="758"/>
      <c r="I358" s="758"/>
      <c r="J358" s="758"/>
      <c r="K358" s="52"/>
      <c r="O358" s="52"/>
      <c r="Q358" s="52"/>
      <c r="R358" s="52"/>
    </row>
    <row r="359" spans="1:31">
      <c r="B359" s="328"/>
      <c r="C359" s="328"/>
      <c r="D359" s="328"/>
      <c r="E359" s="328"/>
      <c r="F359" s="757"/>
      <c r="G359" s="758"/>
      <c r="H359" s="758"/>
      <c r="I359" s="758"/>
      <c r="J359" s="758"/>
      <c r="K359" s="52"/>
      <c r="N359" s="567"/>
      <c r="O359" s="52"/>
      <c r="Q359" s="52"/>
      <c r="R359" s="52"/>
    </row>
    <row r="360" spans="1:31" ht="13.5" thickBot="1">
      <c r="B360" s="329"/>
      <c r="C360" s="329"/>
      <c r="D360" s="56"/>
      <c r="E360" s="56"/>
      <c r="F360" s="56"/>
      <c r="G360" s="56"/>
      <c r="H360" s="56"/>
      <c r="I360" s="56"/>
      <c r="J360" s="56"/>
      <c r="K360" s="330"/>
      <c r="L360" s="331"/>
      <c r="M360" s="331"/>
      <c r="N360" s="330"/>
      <c r="O360" s="330"/>
      <c r="Q360" s="330"/>
      <c r="R360" s="330"/>
    </row>
    <row r="361" spans="1:31" ht="50.1" customHeight="1" thickTop="1" thickBot="1">
      <c r="B361" s="332" t="s">
        <v>16</v>
      </c>
      <c r="C361" s="744" t="s">
        <v>121</v>
      </c>
      <c r="D361" s="333" t="s">
        <v>17</v>
      </c>
      <c r="E361" s="746" t="s">
        <v>18</v>
      </c>
      <c r="F361" s="747"/>
      <c r="G361" s="748" t="s">
        <v>117</v>
      </c>
      <c r="H361" s="749"/>
      <c r="I361" s="744" t="s">
        <v>39</v>
      </c>
      <c r="J361" s="744" t="s">
        <v>0</v>
      </c>
      <c r="K361" s="665" t="s">
        <v>19</v>
      </c>
      <c r="L361" s="750" t="s">
        <v>20</v>
      </c>
      <c r="M361" s="751"/>
      <c r="N361" s="68" t="s">
        <v>52</v>
      </c>
      <c r="O361" s="501" t="s">
        <v>151</v>
      </c>
      <c r="Q361" s="665" t="s">
        <v>127</v>
      </c>
      <c r="R361" s="665" t="s">
        <v>138</v>
      </c>
      <c r="S361" s="665" t="s">
        <v>163</v>
      </c>
      <c r="T361" s="565">
        <f>IF(VLOOKUP(F358,PROPONENTES!$C$19:$E$54,3,0)="","",VLOOKUP(F358,PROPONENTES!$C$19:$E$54,3,0))</f>
        <v>2</v>
      </c>
      <c r="U361" s="582"/>
      <c r="W361" s="737" t="s">
        <v>167</v>
      </c>
      <c r="X361" s="738"/>
      <c r="Y361" s="738"/>
      <c r="Z361" s="738"/>
      <c r="AA361" s="738"/>
      <c r="AB361" s="738"/>
      <c r="AC361" s="738"/>
      <c r="AD361" s="738"/>
      <c r="AE361" s="739"/>
    </row>
    <row r="362" spans="1:31" ht="50.1" customHeight="1" thickTop="1" thickBot="1">
      <c r="B362" s="334" t="s">
        <v>21</v>
      </c>
      <c r="C362" s="745"/>
      <c r="D362" s="335" t="s">
        <v>22</v>
      </c>
      <c r="E362" s="366" t="s">
        <v>23</v>
      </c>
      <c r="F362" s="336" t="s">
        <v>24</v>
      </c>
      <c r="G362" s="337" t="s">
        <v>118</v>
      </c>
      <c r="H362" s="338" t="s">
        <v>119</v>
      </c>
      <c r="I362" s="745"/>
      <c r="J362" s="745"/>
      <c r="K362" s="663" t="s">
        <v>120</v>
      </c>
      <c r="L362" s="339" t="s">
        <v>150</v>
      </c>
      <c r="M362" s="340" t="s">
        <v>14</v>
      </c>
      <c r="N362" s="341" t="s">
        <v>14</v>
      </c>
      <c r="O362" s="502" t="s">
        <v>152</v>
      </c>
      <c r="Q362" s="663" t="s">
        <v>128</v>
      </c>
      <c r="R362" s="663" t="s">
        <v>139</v>
      </c>
      <c r="S362" s="663" t="s">
        <v>164</v>
      </c>
      <c r="T362" s="575" t="s">
        <v>83</v>
      </c>
      <c r="U362" s="583"/>
      <c r="W362" s="740" t="s">
        <v>166</v>
      </c>
      <c r="X362" s="743"/>
      <c r="Y362" s="663" t="s">
        <v>168</v>
      </c>
      <c r="Z362" s="663" t="s">
        <v>169</v>
      </c>
      <c r="AA362" s="663" t="s">
        <v>174</v>
      </c>
      <c r="AB362" s="740" t="s">
        <v>524</v>
      </c>
      <c r="AC362" s="741"/>
      <c r="AD362" s="742" t="s">
        <v>522</v>
      </c>
      <c r="AE362" s="741"/>
    </row>
    <row r="363" spans="1:31" ht="14.25" hidden="1" customHeight="1">
      <c r="B363" s="342">
        <v>0</v>
      </c>
      <c r="C363" s="347"/>
      <c r="D363" s="343"/>
      <c r="E363" s="367"/>
      <c r="F363" s="344"/>
      <c r="G363" s="345"/>
      <c r="H363" s="346"/>
      <c r="I363" s="347"/>
      <c r="J363" s="347"/>
      <c r="K363" s="347"/>
      <c r="L363" s="348"/>
      <c r="M363" s="349"/>
      <c r="N363" s="350"/>
      <c r="O363" s="347"/>
      <c r="Q363" s="347"/>
      <c r="R363" s="347"/>
      <c r="S363" s="347"/>
      <c r="T363" s="563"/>
      <c r="U363" s="584"/>
      <c r="W363" s="502" t="s">
        <v>166</v>
      </c>
      <c r="X363" s="502"/>
      <c r="Y363" s="502" t="s">
        <v>168</v>
      </c>
      <c r="Z363" s="502" t="s">
        <v>169</v>
      </c>
      <c r="AA363" s="502" t="s">
        <v>170</v>
      </c>
      <c r="AB363" s="661" t="s">
        <v>170</v>
      </c>
      <c r="AC363" s="661" t="s">
        <v>170</v>
      </c>
      <c r="AD363" s="661" t="s">
        <v>170</v>
      </c>
      <c r="AE363" s="661" t="s">
        <v>170</v>
      </c>
    </row>
    <row r="364" spans="1:31" s="353" customFormat="1" ht="58.5" customHeight="1" thickTop="1">
      <c r="A364" s="351"/>
      <c r="B364" s="342">
        <f>IF(D364="","",B363+1)</f>
        <v>1</v>
      </c>
      <c r="C364" s="609">
        <v>35</v>
      </c>
      <c r="D364" s="610" t="s">
        <v>456</v>
      </c>
      <c r="E364" s="611" t="s">
        <v>457</v>
      </c>
      <c r="F364" s="612" t="s">
        <v>459</v>
      </c>
      <c r="G364" s="613" t="s">
        <v>374</v>
      </c>
      <c r="H364" s="614">
        <v>0.25</v>
      </c>
      <c r="I364" s="615" t="s">
        <v>173</v>
      </c>
      <c r="J364" s="616" t="s">
        <v>312</v>
      </c>
      <c r="K364" s="617">
        <v>43254</v>
      </c>
      <c r="L364" s="618">
        <v>913.85</v>
      </c>
      <c r="M364" s="494">
        <f>IF(OR(K364="",L364=""),"",IF(I364="SI",H364*L364,""))</f>
        <v>228.46250000000001</v>
      </c>
      <c r="N364" s="503">
        <f>IF(OR(I364="",M364=""),"",IF(I364="NO",0,IF(I364="SI",ROUND(M364,3),0)))</f>
        <v>228.46299999999999</v>
      </c>
      <c r="O364" s="636"/>
      <c r="Q364" s="352" t="str">
        <f t="shared" ref="Q364:Q365" si="139">IF(K364="","",IF(AND(YEAR(K364)&gt;=YEAR($M$15), I364="SI",K364&lt;=$N$15),"CUMPLE","NO CUMPLE"))</f>
        <v>CUMPLE</v>
      </c>
      <c r="R364" s="636" t="s">
        <v>140</v>
      </c>
      <c r="S364" s="352" t="str">
        <f>IF(T364="","",IF(T364&gt;=20%,"CUMPLE","NO CUMPLE"))</f>
        <v>CUMPLE</v>
      </c>
      <c r="T364" s="656">
        <f t="shared" ref="T364:T365" si="140">IF(R364="","",VLOOKUP(J364,INTEGRAN,2,FALSE))</f>
        <v>0.6</v>
      </c>
      <c r="U364" s="585"/>
      <c r="W364" s="594">
        <v>1</v>
      </c>
      <c r="X364" s="595" t="str">
        <f>IF(AND(W364&lt;=$T361,$T361&gt;1,$T361&lt;&gt;""),VLOOKUP(VALUE($F358&amp;","&amp;W364),INTEGRANTES!$D$19:$G$106,2,0),"")</f>
        <v>MYRIAM VIVIANA CASTELBLANCO</v>
      </c>
      <c r="Y364" s="596">
        <f>IF(X364&lt;&gt;"",VLOOKUP(VALUE($F358&amp;","&amp;$W364),INTEGRANTES!$D$19:$G$106,3,0),"")</f>
        <v>0.6</v>
      </c>
      <c r="Z364" s="597">
        <f t="shared" ref="Z364" si="141">IF(X364="","",SUMIF($J364:$J369,$X364,$N364:$N369))</f>
        <v>801.66300000000001</v>
      </c>
      <c r="AA364" s="604" t="str">
        <f t="shared" ref="AA364" si="142">IF($Y364="","",IF(AND($Y364&gt;=20%,$Z364&gt;=$Z370),"CUMPLE","NO CUMPLE"))</f>
        <v>CUMPLE</v>
      </c>
      <c r="AB364" s="681" t="s">
        <v>525</v>
      </c>
      <c r="AC364" s="592" t="str">
        <f t="shared" ref="AC364:AC369" si="143">IF(X364="","",IF(AND(Y364&gt;=40%,AB364="SI"),"CUMPLE","NO CUMPLE"))</f>
        <v>CUMPLE</v>
      </c>
      <c r="AD364" s="681" t="s">
        <v>525</v>
      </c>
      <c r="AE364" s="593" t="str">
        <f t="shared" ref="AE364:AE369" si="144">IF(X364="","",IF(AD364="SI","CUMPLE","NO CUMPLE"))</f>
        <v>CUMPLE</v>
      </c>
    </row>
    <row r="365" spans="1:31" s="353" customFormat="1" ht="22.5" customHeight="1">
      <c r="A365" s="351"/>
      <c r="B365" s="342">
        <f>IF(D365="","",B364+1)</f>
        <v>2</v>
      </c>
      <c r="C365" s="619">
        <v>22</v>
      </c>
      <c r="D365" s="610" t="s">
        <v>456</v>
      </c>
      <c r="E365" s="621" t="s">
        <v>458</v>
      </c>
      <c r="F365" s="622" t="s">
        <v>460</v>
      </c>
      <c r="G365" s="623" t="s">
        <v>374</v>
      </c>
      <c r="H365" s="624">
        <v>0.5</v>
      </c>
      <c r="I365" s="625" t="s">
        <v>173</v>
      </c>
      <c r="J365" s="626" t="s">
        <v>312</v>
      </c>
      <c r="K365" s="627">
        <v>41463</v>
      </c>
      <c r="L365" s="618">
        <v>1146.4000000000001</v>
      </c>
      <c r="M365" s="556">
        <f>IF(OR(K365="",L365=""),"",IF(I365="SI",H365*L365,""))</f>
        <v>573.20000000000005</v>
      </c>
      <c r="N365" s="504">
        <f>IF(OR(I365="",M365=""),"",IF(I365="SI",ROUND(M365,3),0))</f>
        <v>573.20000000000005</v>
      </c>
      <c r="O365" s="636"/>
      <c r="Q365" s="352" t="str">
        <f t="shared" si="139"/>
        <v>NO CUMPLE</v>
      </c>
      <c r="R365" s="636" t="s">
        <v>140</v>
      </c>
      <c r="S365" s="352" t="str">
        <f>IF(T365="","",IF(T365&gt;=20%,"CUMPLE","NO CUMPLE"))</f>
        <v>CUMPLE</v>
      </c>
      <c r="T365" s="656">
        <f t="shared" si="140"/>
        <v>0.6</v>
      </c>
      <c r="U365" s="586"/>
      <c r="W365" s="594">
        <v>2</v>
      </c>
      <c r="X365" s="595" t="str">
        <f>IF(AND(W365&lt;=$T361,$T361&gt;1,$T361&lt;&gt;""),VLOOKUP(VALUE($F358&amp;","&amp;W365),INTEGRANTES!$D$19:$G$106,2,0),"")</f>
        <v>SAE INGENIEROS SAS</v>
      </c>
      <c r="Y365" s="596">
        <f>IF(X365&lt;&gt;"",VLOOKUP(VALUE($F358&amp;","&amp;$W365),INTEGRANTES!$D$19:$G$106,3,0),"")</f>
        <v>0.4</v>
      </c>
      <c r="Z365" s="597">
        <f t="shared" ref="Z365" si="145">IF(X365="","",SUMIF($J364:$J369,$X365,$N364:$N369))</f>
        <v>0</v>
      </c>
      <c r="AA365" s="604" t="str">
        <f t="shared" ref="AA365" si="146">IF($Y365="","",IF(AND($Y365&gt;=20%,$Z365&gt;=$Z370),"CUMPLE","NO CUMPLE"))</f>
        <v>NO CUMPLE</v>
      </c>
      <c r="AB365" s="682"/>
      <c r="AC365" s="593" t="str">
        <f t="shared" si="143"/>
        <v>NO CUMPLE</v>
      </c>
      <c r="AD365" s="682"/>
      <c r="AE365" s="593" t="str">
        <f t="shared" si="144"/>
        <v>NO CUMPLE</v>
      </c>
    </row>
    <row r="366" spans="1:31" s="353" customFormat="1" ht="22.5" customHeight="1">
      <c r="A366" s="351"/>
      <c r="B366" s="342" t="str">
        <f t="shared" ref="B366:B369" si="147">IF(D366="","",B365+1)</f>
        <v/>
      </c>
      <c r="C366" s="619"/>
      <c r="D366" s="620"/>
      <c r="E366" s="628"/>
      <c r="F366" s="622"/>
      <c r="G366" s="623"/>
      <c r="H366" s="624"/>
      <c r="I366" s="625"/>
      <c r="J366" s="629"/>
      <c r="K366" s="627"/>
      <c r="L366" s="618"/>
      <c r="M366" s="556" t="str">
        <f t="shared" ref="M366:M369" si="148">IF(OR(K366="",L366=""),"",IF(I366="SI",H366*L366,""))</f>
        <v/>
      </c>
      <c r="N366" s="504" t="str">
        <f>IF(OR(I366="",M366=""),"",IF(I366="SI",ROUND(M366,3),0))</f>
        <v/>
      </c>
      <c r="O366" s="636"/>
      <c r="Q366" s="352" t="str">
        <f t="shared" ref="Q366:Q369" si="149">IF(K366="","",IF(AND(YEAR(K366)&gt;=YEAR($M$15), I366="SI",K366&lt;=$N$15),"CUMPLE","NO CUMPLE"))</f>
        <v/>
      </c>
      <c r="R366" s="636"/>
      <c r="S366" s="352" t="str">
        <f t="shared" ref="S366:S369" si="150">IF(T366="","",IF(T366&gt;=20%,"CUMPLE","NO CUMPLE"))</f>
        <v/>
      </c>
      <c r="T366" s="656" t="str">
        <f t="shared" ref="T366:T369" si="151">IF(R366="","",VLOOKUP(J366,INTEGRAN,2,FALSE))</f>
        <v/>
      </c>
      <c r="U366" s="586"/>
      <c r="W366" s="594">
        <v>3</v>
      </c>
      <c r="X366" s="595" t="str">
        <f>IF(AND(W366&lt;=$T363,$T363&gt;1,$T363&lt;&gt;""),VLOOKUP(VALUE($F360&amp;","&amp;W366),INTEGRANTES!$D$19:$G$106,2,0),"")</f>
        <v/>
      </c>
      <c r="Y366" s="596" t="str">
        <f>IF(X366&lt;&gt;"",VLOOKUP(VALUE($F360&amp;","&amp;$W366),INTEGRANTES!$D$19:$G$106,3,0),"")</f>
        <v/>
      </c>
      <c r="Z366" s="597" t="str">
        <f t="shared" ref="Z366" si="152">IF(X366="","",SUMIF($J366:$J371,$X366,$N366:$N371))</f>
        <v/>
      </c>
      <c r="AA366" s="604" t="str">
        <f t="shared" ref="AA366" si="153">IF($Y366="","",IF(AND($Y366&gt;=20%,$Z366&gt;=$Z372),"CUMPLE","NO CUMPLE"))</f>
        <v/>
      </c>
      <c r="AB366" s="682"/>
      <c r="AC366" s="593" t="str">
        <f t="shared" si="143"/>
        <v/>
      </c>
      <c r="AD366" s="682"/>
      <c r="AE366" s="593" t="str">
        <f t="shared" si="144"/>
        <v/>
      </c>
    </row>
    <row r="367" spans="1:31" s="353" customFormat="1" ht="22.5" customHeight="1">
      <c r="A367" s="351"/>
      <c r="B367" s="342" t="str">
        <f t="shared" si="147"/>
        <v/>
      </c>
      <c r="C367" s="619"/>
      <c r="D367" s="620"/>
      <c r="E367" s="628"/>
      <c r="F367" s="622"/>
      <c r="G367" s="623"/>
      <c r="H367" s="624"/>
      <c r="I367" s="625"/>
      <c r="J367" s="629"/>
      <c r="K367" s="627"/>
      <c r="L367" s="618"/>
      <c r="M367" s="555" t="str">
        <f t="shared" si="148"/>
        <v/>
      </c>
      <c r="N367" s="504" t="str">
        <f>IF(OR(I367="",M367=""),"",IF(I367="SI",ROUND(M367,3),0))</f>
        <v/>
      </c>
      <c r="O367" s="636"/>
      <c r="Q367" s="352" t="str">
        <f t="shared" si="149"/>
        <v/>
      </c>
      <c r="R367" s="636"/>
      <c r="S367" s="352" t="str">
        <f t="shared" si="150"/>
        <v/>
      </c>
      <c r="T367" s="656" t="str">
        <f t="shared" si="151"/>
        <v/>
      </c>
      <c r="U367" s="586"/>
      <c r="W367" s="594">
        <v>4</v>
      </c>
      <c r="X367" s="595" t="str">
        <f>IF(AND(W367&lt;=$T363,$T363&gt;1,$T363&lt;&gt;""),VLOOKUP(VALUE($F360&amp;","&amp;W367),INTEGRANTES!$D$19:$G$106,2,0),"")</f>
        <v/>
      </c>
      <c r="Y367" s="596" t="str">
        <f>IF(X367&lt;&gt;"",VLOOKUP(VALUE($F360&amp;","&amp;$W367),INTEGRANTES!$D$19:$G$106,3,0),"")</f>
        <v/>
      </c>
      <c r="Z367" s="597" t="str">
        <f t="shared" ref="Z367" si="154">IF(X367="","",SUMIF($J366:$J371,$X367,$N366:$N371))</f>
        <v/>
      </c>
      <c r="AA367" s="604" t="str">
        <f t="shared" ref="AA367" si="155">IF($Y367="","",IF(AND($Y367&gt;=20%,$Z367&gt;=$Z372),"CUMPLE","NO CUMPLE"))</f>
        <v/>
      </c>
      <c r="AB367" s="682"/>
      <c r="AC367" s="593" t="str">
        <f t="shared" si="143"/>
        <v/>
      </c>
      <c r="AD367" s="682"/>
      <c r="AE367" s="593" t="str">
        <f t="shared" si="144"/>
        <v/>
      </c>
    </row>
    <row r="368" spans="1:31" s="353" customFormat="1" ht="22.5" customHeight="1">
      <c r="A368" s="351"/>
      <c r="B368" s="342" t="str">
        <f t="shared" si="147"/>
        <v/>
      </c>
      <c r="C368" s="619"/>
      <c r="D368" s="620"/>
      <c r="E368" s="628"/>
      <c r="F368" s="622"/>
      <c r="G368" s="623"/>
      <c r="H368" s="624"/>
      <c r="I368" s="625"/>
      <c r="J368" s="629"/>
      <c r="K368" s="627"/>
      <c r="L368" s="618"/>
      <c r="M368" s="556" t="str">
        <f t="shared" si="148"/>
        <v/>
      </c>
      <c r="N368" s="504" t="str">
        <f>IF(OR(I368="",M368=""),"",IF(I368="SI",ROUND(M368,3),0))</f>
        <v/>
      </c>
      <c r="O368" s="636"/>
      <c r="Q368" s="352" t="str">
        <f t="shared" si="149"/>
        <v/>
      </c>
      <c r="R368" s="636"/>
      <c r="S368" s="352" t="str">
        <f t="shared" si="150"/>
        <v/>
      </c>
      <c r="T368" s="656" t="str">
        <f t="shared" si="151"/>
        <v/>
      </c>
      <c r="U368" s="586"/>
      <c r="W368" s="594">
        <v>5</v>
      </c>
      <c r="X368" s="595" t="str">
        <f>IF(AND(W368&lt;=$T365,$T365&gt;1,$T365&lt;&gt;""),VLOOKUP(VALUE($F362&amp;","&amp;W368),INTEGRANTES!$D$19:$G$106,2,0),"")</f>
        <v/>
      </c>
      <c r="Y368" s="596" t="str">
        <f>IF(X368&lt;&gt;"",VLOOKUP(VALUE($F362&amp;","&amp;$W368),INTEGRANTES!$D$19:$G$106,3,0),"")</f>
        <v/>
      </c>
      <c r="Z368" s="597" t="str">
        <f t="shared" ref="Z368" si="156">IF(X368="","",SUMIF($J368:$J373,$X368,$N368:$N373))</f>
        <v/>
      </c>
      <c r="AA368" s="604" t="str">
        <f t="shared" ref="AA368" si="157">IF($Y368="","",IF(AND($Y368&gt;=20%,$Z368&gt;=$Z374),"CUMPLE","NO CUMPLE"))</f>
        <v/>
      </c>
      <c r="AB368" s="682"/>
      <c r="AC368" s="593" t="str">
        <f t="shared" si="143"/>
        <v/>
      </c>
      <c r="AD368" s="682"/>
      <c r="AE368" s="593" t="str">
        <f t="shared" si="144"/>
        <v/>
      </c>
    </row>
    <row r="369" spans="1:31" s="353" customFormat="1" ht="22.5" customHeight="1">
      <c r="A369" s="351"/>
      <c r="B369" s="342" t="str">
        <f t="shared" si="147"/>
        <v/>
      </c>
      <c r="C369" s="619"/>
      <c r="D369" s="620"/>
      <c r="E369" s="628"/>
      <c r="F369" s="622"/>
      <c r="G369" s="623"/>
      <c r="H369" s="624"/>
      <c r="I369" s="625"/>
      <c r="J369" s="629"/>
      <c r="K369" s="627"/>
      <c r="L369" s="618"/>
      <c r="M369" s="555" t="str">
        <f t="shared" si="148"/>
        <v/>
      </c>
      <c r="N369" s="504" t="str">
        <f>IF(OR(I369="",M369=""),"",IF(I369="SI",ROUND(M369,3),0))</f>
        <v/>
      </c>
      <c r="O369" s="636"/>
      <c r="Q369" s="352" t="str">
        <f t="shared" si="149"/>
        <v/>
      </c>
      <c r="R369" s="636"/>
      <c r="S369" s="352" t="str">
        <f t="shared" si="150"/>
        <v/>
      </c>
      <c r="T369" s="656" t="str">
        <f t="shared" si="151"/>
        <v/>
      </c>
      <c r="U369" s="586"/>
      <c r="W369" s="599">
        <v>6</v>
      </c>
      <c r="X369" s="595" t="str">
        <f>IF(AND(W369&lt;=$T365,$T365&gt;1,$T365&lt;&gt;""),VLOOKUP(VALUE($F362&amp;","&amp;W369),INTEGRANTES!$D$19:$G$106,2,0),"")</f>
        <v/>
      </c>
      <c r="Y369" s="606" t="str">
        <f>IF(X369&lt;&gt;"",VLOOKUP(VALUE($F362&amp;","&amp;$W369),INTEGRANTES!$D$19:$G$106,3,0),"")</f>
        <v/>
      </c>
      <c r="Z369" s="607" t="str">
        <f t="shared" ref="Z369" si="158">IF(X369="","",SUMIF($J368:$J373,$X369,$N368:$N373))</f>
        <v/>
      </c>
      <c r="AA369" s="608" t="str">
        <f t="shared" ref="AA369" si="159">IF($Y369="","",IF(AND($Y369&gt;=20%,$Z369&gt;=$Z374),"CUMPLE","NO CUMPLE"))</f>
        <v/>
      </c>
      <c r="AB369" s="682"/>
      <c r="AC369" s="593" t="str">
        <f t="shared" si="143"/>
        <v/>
      </c>
      <c r="AD369" s="682"/>
      <c r="AE369" s="593" t="str">
        <f t="shared" si="144"/>
        <v/>
      </c>
    </row>
    <row r="370" spans="1:31" ht="5.0999999999999996" customHeight="1" thickBot="1">
      <c r="B370" s="354"/>
      <c r="C370" s="359"/>
      <c r="D370" s="355"/>
      <c r="E370" s="368"/>
      <c r="F370" s="355"/>
      <c r="G370" s="355"/>
      <c r="H370" s="355"/>
      <c r="I370" s="356"/>
      <c r="J370" s="357"/>
      <c r="K370" s="358"/>
      <c r="L370" s="355"/>
      <c r="M370" s="356"/>
      <c r="N370" s="360"/>
      <c r="O370" s="352" t="str">
        <f>IF(L370="","",IF(AND(L370&gt;=YEAR($M$15), J370="SI",L370&lt;=S364),"CUMPLE","NO CUMPLE"))</f>
        <v/>
      </c>
      <c r="Q370" s="352" t="str">
        <f>IF(N370="","",IF(AND(N370&gt;=YEAR($M$15), L370="SI",N370&lt;=V364),"CUMPLE","NO CUMPLE"))</f>
        <v/>
      </c>
      <c r="R370" s="352" t="str">
        <f>IF(P370="","",IF(AND(P370&gt;=YEAR($M$15), M370="SI",P370&lt;=W364),"CUMPLE","NO CUMPLE"))</f>
        <v/>
      </c>
      <c r="S370" s="352" t="str">
        <f>IF(P370="","",IF(AND(P370&gt;=YEAR($M$15), N370="SI",P370&lt;=X364),"CUMPLE","NO CUMPLE"))</f>
        <v/>
      </c>
      <c r="T370" s="564"/>
      <c r="U370" s="586"/>
      <c r="W370" s="600"/>
      <c r="X370" s="600"/>
      <c r="Y370" s="600"/>
      <c r="Z370" s="605">
        <f>MAX(Z364:Z369)</f>
        <v>801.66300000000001</v>
      </c>
      <c r="AA370" s="600"/>
      <c r="AB370" s="602"/>
      <c r="AC370" s="602"/>
      <c r="AD370" s="602"/>
      <c r="AE370" s="602"/>
    </row>
    <row r="371" spans="1:31" s="52" customFormat="1" ht="17.100000000000001" customHeight="1" thickTop="1" thickBot="1">
      <c r="A371" s="361">
        <f>F358</f>
        <v>20</v>
      </c>
      <c r="B371" s="364"/>
      <c r="C371" s="379"/>
      <c r="D371" s="664"/>
      <c r="E371" s="752"/>
      <c r="F371" s="752"/>
      <c r="G371" s="752"/>
      <c r="H371" s="752"/>
      <c r="I371" s="752"/>
      <c r="J371" s="752"/>
      <c r="K371" s="752"/>
      <c r="L371" s="753"/>
      <c r="M371" s="754"/>
      <c r="N371" s="365">
        <f>SUM(N364:N370)</f>
        <v>801.66300000000001</v>
      </c>
      <c r="O371" s="373"/>
      <c r="Q371" s="373" t="str">
        <f>IF(COUNTIF(Q364:Q367,"CUMPLE")&gt;0,"CUMPLE","NO CUMPLE")</f>
        <v>CUMPLE</v>
      </c>
      <c r="R371" s="374" t="str">
        <f>IF(COUNTIF(R364:R367,"COLOMBIA")&gt;0,"CUMPLE","NO CUMPLE")</f>
        <v>CUMPLE</v>
      </c>
      <c r="S371" s="373" t="str">
        <f>IF(COUNTIF(S364:S367,"CUMPLE")&gt;0,"CUMPLE","NO CUMPLE")</f>
        <v>CUMPLE</v>
      </c>
      <c r="T371" s="566"/>
      <c r="U371" s="587"/>
      <c r="AA371" s="589" t="str">
        <f>IF(COUNTIF(AA364:AA369,"CUMPLE")&gt;0,"CUMPLE","NO CUMPLE")</f>
        <v>CUMPLE</v>
      </c>
      <c r="AB371" s="735" t="str">
        <f>IF(COUNTIF(AC364:AC369,"CUMPLE")&gt;0,"CUMPLE","NO CUMPLE")</f>
        <v>CUMPLE</v>
      </c>
      <c r="AC371" s="736"/>
      <c r="AD371" s="735" t="str">
        <f>IF(COUNTIF(AE364:AE369,"CUMPLE")&gt;0,"CUMPLE","NO CUMPLE")</f>
        <v>CUMPLE</v>
      </c>
      <c r="AE371" s="736"/>
    </row>
    <row r="372" spans="1:31" ht="16.5" thickTop="1">
      <c r="B372" s="557"/>
      <c r="C372" s="558"/>
      <c r="D372" s="558"/>
      <c r="E372" s="558"/>
      <c r="F372" s="558"/>
      <c r="G372" s="558"/>
      <c r="H372" s="558"/>
      <c r="I372" s="558"/>
      <c r="J372" s="558"/>
      <c r="K372" s="558"/>
      <c r="L372" s="80"/>
      <c r="M372" s="362" t="s">
        <v>516</v>
      </c>
      <c r="N372" s="369">
        <f ca="1">VFrequerido!Y34</f>
        <v>537.11</v>
      </c>
      <c r="O372" s="568"/>
      <c r="Q372" s="570"/>
      <c r="R372" s="571"/>
      <c r="S372" s="572"/>
      <c r="T372" s="573"/>
      <c r="U372" s="80"/>
    </row>
    <row r="373" spans="1:31" ht="15.75" thickBot="1">
      <c r="A373" s="490" t="str">
        <f>"E"&amp;F358</f>
        <v>E20</v>
      </c>
      <c r="B373" s="559"/>
      <c r="C373" s="560"/>
      <c r="D373" s="560"/>
      <c r="E373" s="560"/>
      <c r="F373" s="560"/>
      <c r="G373" s="560"/>
      <c r="H373" s="560"/>
      <c r="I373" s="560"/>
      <c r="J373" s="560"/>
      <c r="K373" s="560"/>
      <c r="L373" s="363"/>
      <c r="M373" s="755" t="str">
        <f ca="1">IF(OR(N371=0,N371&lt;N372),"NO CUMPLE","CUMPLE")</f>
        <v>CUMPLE</v>
      </c>
      <c r="N373" s="756"/>
      <c r="O373" s="569"/>
      <c r="Q373" s="492"/>
      <c r="R373" s="493"/>
      <c r="S373" s="363"/>
      <c r="T373" s="574"/>
      <c r="U373" s="80"/>
    </row>
    <row r="374" spans="1:31" ht="13.5" thickTop="1"/>
    <row r="376" spans="1:31">
      <c r="F376" s="757">
        <f>F358+1</f>
        <v>21</v>
      </c>
      <c r="G376" s="758" t="str">
        <f>VLOOKUP(F376,PROPO,2,FALSE)</f>
        <v>CONSORCIO ADMINISTRACION OPS</v>
      </c>
      <c r="H376" s="758"/>
      <c r="I376" s="758"/>
      <c r="J376" s="758"/>
      <c r="K376" s="52"/>
      <c r="O376" s="52"/>
      <c r="Q376" s="52"/>
      <c r="R376" s="52"/>
    </row>
    <row r="377" spans="1:31">
      <c r="B377" s="328"/>
      <c r="C377" s="328"/>
      <c r="D377" s="328"/>
      <c r="E377" s="328"/>
      <c r="F377" s="757"/>
      <c r="G377" s="758"/>
      <c r="H377" s="758"/>
      <c r="I377" s="758"/>
      <c r="J377" s="758"/>
      <c r="K377" s="52"/>
      <c r="N377" s="567"/>
      <c r="O377" s="52"/>
      <c r="Q377" s="52"/>
      <c r="R377" s="52"/>
    </row>
    <row r="378" spans="1:31" ht="13.5" thickBot="1">
      <c r="B378" s="329"/>
      <c r="C378" s="329"/>
      <c r="D378" s="56"/>
      <c r="E378" s="56"/>
      <c r="F378" s="56"/>
      <c r="G378" s="56"/>
      <c r="H378" s="56"/>
      <c r="I378" s="56"/>
      <c r="J378" s="56"/>
      <c r="K378" s="330"/>
      <c r="L378" s="331"/>
      <c r="M378" s="331"/>
      <c r="N378" s="330"/>
      <c r="O378" s="330"/>
      <c r="Q378" s="330"/>
      <c r="R378" s="330"/>
    </row>
    <row r="379" spans="1:31" ht="50.1" customHeight="1" thickTop="1" thickBot="1">
      <c r="B379" s="332" t="s">
        <v>16</v>
      </c>
      <c r="C379" s="744" t="s">
        <v>121</v>
      </c>
      <c r="D379" s="333" t="s">
        <v>17</v>
      </c>
      <c r="E379" s="746" t="s">
        <v>18</v>
      </c>
      <c r="F379" s="747"/>
      <c r="G379" s="748" t="s">
        <v>117</v>
      </c>
      <c r="H379" s="749"/>
      <c r="I379" s="744" t="s">
        <v>39</v>
      </c>
      <c r="J379" s="744" t="s">
        <v>0</v>
      </c>
      <c r="K379" s="665" t="s">
        <v>19</v>
      </c>
      <c r="L379" s="750" t="s">
        <v>20</v>
      </c>
      <c r="M379" s="751"/>
      <c r="N379" s="68" t="s">
        <v>52</v>
      </c>
      <c r="O379" s="501" t="s">
        <v>151</v>
      </c>
      <c r="Q379" s="665" t="s">
        <v>127</v>
      </c>
      <c r="R379" s="665" t="s">
        <v>138</v>
      </c>
      <c r="S379" s="665" t="s">
        <v>163</v>
      </c>
      <c r="T379" s="565">
        <f>IF(VLOOKUP(F376,PROPONENTES!$C$19:$E$54,3,0)="","",VLOOKUP(F376,PROPONENTES!$C$19:$E$54,3,0))</f>
        <v>2</v>
      </c>
      <c r="U379" s="582"/>
      <c r="W379" s="737" t="s">
        <v>167</v>
      </c>
      <c r="X379" s="738"/>
      <c r="Y379" s="738"/>
      <c r="Z379" s="738"/>
      <c r="AA379" s="738"/>
      <c r="AB379" s="738"/>
      <c r="AC379" s="738"/>
      <c r="AD379" s="738"/>
      <c r="AE379" s="739"/>
    </row>
    <row r="380" spans="1:31" ht="50.1" customHeight="1" thickTop="1" thickBot="1">
      <c r="B380" s="334" t="s">
        <v>21</v>
      </c>
      <c r="C380" s="745"/>
      <c r="D380" s="335" t="s">
        <v>22</v>
      </c>
      <c r="E380" s="366" t="s">
        <v>23</v>
      </c>
      <c r="F380" s="336" t="s">
        <v>24</v>
      </c>
      <c r="G380" s="337" t="s">
        <v>118</v>
      </c>
      <c r="H380" s="338" t="s">
        <v>119</v>
      </c>
      <c r="I380" s="745"/>
      <c r="J380" s="745"/>
      <c r="K380" s="663" t="s">
        <v>120</v>
      </c>
      <c r="L380" s="339" t="s">
        <v>150</v>
      </c>
      <c r="M380" s="340" t="s">
        <v>14</v>
      </c>
      <c r="N380" s="341" t="s">
        <v>14</v>
      </c>
      <c r="O380" s="502" t="s">
        <v>152</v>
      </c>
      <c r="Q380" s="663" t="s">
        <v>128</v>
      </c>
      <c r="R380" s="663" t="s">
        <v>139</v>
      </c>
      <c r="S380" s="663" t="s">
        <v>164</v>
      </c>
      <c r="T380" s="575" t="s">
        <v>83</v>
      </c>
      <c r="U380" s="583"/>
      <c r="W380" s="740" t="s">
        <v>166</v>
      </c>
      <c r="X380" s="743"/>
      <c r="Y380" s="663" t="s">
        <v>168</v>
      </c>
      <c r="Z380" s="663" t="s">
        <v>169</v>
      </c>
      <c r="AA380" s="663" t="s">
        <v>174</v>
      </c>
      <c r="AB380" s="740" t="s">
        <v>524</v>
      </c>
      <c r="AC380" s="741"/>
      <c r="AD380" s="742" t="s">
        <v>522</v>
      </c>
      <c r="AE380" s="741"/>
    </row>
    <row r="381" spans="1:31" ht="14.25" hidden="1" customHeight="1">
      <c r="B381" s="342">
        <v>0</v>
      </c>
      <c r="C381" s="347"/>
      <c r="D381" s="343"/>
      <c r="E381" s="367"/>
      <c r="F381" s="344"/>
      <c r="G381" s="345"/>
      <c r="H381" s="346"/>
      <c r="I381" s="347"/>
      <c r="J381" s="347"/>
      <c r="K381" s="347"/>
      <c r="L381" s="348"/>
      <c r="M381" s="349"/>
      <c r="N381" s="350"/>
      <c r="O381" s="347"/>
      <c r="Q381" s="347"/>
      <c r="R381" s="347"/>
      <c r="S381" s="347"/>
      <c r="T381" s="563"/>
      <c r="U381" s="584"/>
      <c r="W381" s="502" t="s">
        <v>166</v>
      </c>
      <c r="X381" s="502"/>
      <c r="Y381" s="502" t="s">
        <v>168</v>
      </c>
      <c r="Z381" s="502" t="s">
        <v>169</v>
      </c>
      <c r="AA381" s="502" t="s">
        <v>170</v>
      </c>
      <c r="AB381" s="661" t="s">
        <v>170</v>
      </c>
      <c r="AC381" s="661" t="s">
        <v>170</v>
      </c>
      <c r="AD381" s="661" t="s">
        <v>170</v>
      </c>
      <c r="AE381" s="661" t="s">
        <v>170</v>
      </c>
    </row>
    <row r="382" spans="1:31" s="353" customFormat="1" ht="63.75" customHeight="1" thickTop="1">
      <c r="A382" s="351"/>
      <c r="B382" s="342">
        <f>IF(D382="","",B381+1)</f>
        <v>1</v>
      </c>
      <c r="C382" s="609">
        <v>9</v>
      </c>
      <c r="D382" s="678" t="s">
        <v>461</v>
      </c>
      <c r="E382" s="611" t="s">
        <v>463</v>
      </c>
      <c r="F382" s="612" t="s">
        <v>465</v>
      </c>
      <c r="G382" s="613" t="s">
        <v>172</v>
      </c>
      <c r="H382" s="614">
        <v>0.34</v>
      </c>
      <c r="I382" s="615" t="s">
        <v>173</v>
      </c>
      <c r="J382" s="616" t="s">
        <v>315</v>
      </c>
      <c r="K382" s="617">
        <v>41396</v>
      </c>
      <c r="L382" s="618">
        <v>763.14</v>
      </c>
      <c r="M382" s="494">
        <f>IF(OR(K382="",L382=""),"",IF(I382="SI",H382*L382,""))</f>
        <v>259.4676</v>
      </c>
      <c r="N382" s="503">
        <f>IF(OR(I382="",M382=""),"",IF(I382="NO",0,IF(I382="SI",ROUND(M382,3),0)))</f>
        <v>259.46800000000002</v>
      </c>
      <c r="O382" s="636"/>
      <c r="Q382" s="352" t="str">
        <f t="shared" ref="Q382:Q383" si="160">IF(K382="","",IF(AND(YEAR(K382)&gt;=YEAR($M$15), I382="SI",K382&lt;=$N$15),"CUMPLE","NO CUMPLE"))</f>
        <v>NO CUMPLE</v>
      </c>
      <c r="R382" s="636" t="s">
        <v>140</v>
      </c>
      <c r="S382" s="352" t="str">
        <f>IF(T382="","",IF(T382&gt;=20%,"CUMPLE","NO CUMPLE"))</f>
        <v>CUMPLE</v>
      </c>
      <c r="T382" s="656">
        <f>IF(R382="","",VLOOKUP(J382,INTEGRAN,2,FALSE))</f>
        <v>0.4</v>
      </c>
      <c r="U382" s="585"/>
      <c r="W382" s="594">
        <v>1</v>
      </c>
      <c r="X382" s="595" t="str">
        <f>IF(AND(W382&lt;=$T379,$T379&gt;1,$T379&lt;&gt;""),VLOOKUP(VALUE($F376&amp;","&amp;W382),INTEGRANTES!$D$19:$G$106,2,0),"")</f>
        <v>SIETE S.A.S.</v>
      </c>
      <c r="Y382" s="596">
        <f>IF(X382&lt;&gt;"",VLOOKUP(VALUE($F376&amp;","&amp;$W382),INTEGRANTES!$D$19:$G$106,3,0),"")</f>
        <v>0.6</v>
      </c>
      <c r="Z382" s="597">
        <f t="shared" ref="Z382" si="161">IF(X382="","",SUMIF($J382:$J387,$X382,$N382:$N387))</f>
        <v>0</v>
      </c>
      <c r="AA382" s="604" t="str">
        <f t="shared" ref="AA382" si="162">IF($Y382="","",IF(AND($Y382&gt;=20%,$Z382&gt;=$Z388),"CUMPLE","NO CUMPLE"))</f>
        <v>NO CUMPLE</v>
      </c>
      <c r="AB382" s="681" t="s">
        <v>525</v>
      </c>
      <c r="AC382" s="592" t="str">
        <f t="shared" ref="AC382:AC387" si="163">IF(X382="","",IF(AND(Y382&gt;=40%,AB382="SI"),"CUMPLE","NO CUMPLE"))</f>
        <v>CUMPLE</v>
      </c>
      <c r="AD382" s="681" t="s">
        <v>525</v>
      </c>
      <c r="AE382" s="593" t="str">
        <f t="shared" ref="AE382:AE387" si="164">IF(X382="","",IF(AD382="SI","CUMPLE","NO CUMPLE"))</f>
        <v>CUMPLE</v>
      </c>
    </row>
    <row r="383" spans="1:31" s="353" customFormat="1" ht="22.5" customHeight="1">
      <c r="A383" s="351"/>
      <c r="B383" s="342">
        <f>IF(D383="","",B382+1)</f>
        <v>2</v>
      </c>
      <c r="C383" s="619">
        <v>111</v>
      </c>
      <c r="D383" s="620" t="s">
        <v>462</v>
      </c>
      <c r="E383" s="621" t="s">
        <v>464</v>
      </c>
      <c r="F383" s="622" t="s">
        <v>466</v>
      </c>
      <c r="G383" s="623" t="s">
        <v>172</v>
      </c>
      <c r="H383" s="624">
        <v>1</v>
      </c>
      <c r="I383" s="625" t="s">
        <v>404</v>
      </c>
      <c r="J383" s="626" t="s">
        <v>314</v>
      </c>
      <c r="K383" s="627">
        <v>42713</v>
      </c>
      <c r="L383" s="618">
        <v>422.13</v>
      </c>
      <c r="M383" s="556" t="str">
        <f>IF(OR(K383="",L383=""),"",IF(I383="SI",H383*L383,""))</f>
        <v/>
      </c>
      <c r="N383" s="504" t="str">
        <f>IF(OR(I383="",M383=""),"",IF(I383="SI",ROUND(M383,3),0))</f>
        <v/>
      </c>
      <c r="O383" s="636"/>
      <c r="Q383" s="352" t="str">
        <f t="shared" si="160"/>
        <v>NO CUMPLE</v>
      </c>
      <c r="R383" s="636" t="s">
        <v>140</v>
      </c>
      <c r="S383" s="352" t="str">
        <f>IF(T383="","",IF(T383&gt;=20%,"CUMPLE","NO CUMPLE"))</f>
        <v>CUMPLE</v>
      </c>
      <c r="T383" s="671">
        <f t="shared" ref="T383" si="165">IF(R383="","",VLOOKUP(J383,INTEGRAN,2,FALSE))</f>
        <v>0.6</v>
      </c>
      <c r="U383" s="586"/>
      <c r="W383" s="594">
        <v>2</v>
      </c>
      <c r="X383" s="595" t="str">
        <f>IF(AND(W383&lt;=$T379,$T379&gt;1,$T379&lt;&gt;""),VLOOKUP(VALUE($F376&amp;","&amp;W383),INTEGRANTES!$D$19:$G$106,2,0),"")</f>
        <v>O.P.H. INGENIEROS ASOCIADOS
S.A.S.</v>
      </c>
      <c r="Y383" s="596">
        <f>IF(X383&lt;&gt;"",VLOOKUP(VALUE($F376&amp;","&amp;$W383),INTEGRANTES!$D$19:$G$106,3,0),"")</f>
        <v>0.4</v>
      </c>
      <c r="Z383" s="597">
        <f t="shared" ref="Z383" si="166">IF(X383="","",SUMIF($J382:$J387,$X383,$N382:$N387))</f>
        <v>259.46800000000002</v>
      </c>
      <c r="AA383" s="604" t="str">
        <f t="shared" ref="AA383" si="167">IF($Y383="","",IF(AND($Y383&gt;=20%,$Z383&gt;=$Z388),"CUMPLE","NO CUMPLE"))</f>
        <v>CUMPLE</v>
      </c>
      <c r="AB383" s="682"/>
      <c r="AC383" s="593" t="str">
        <f t="shared" si="163"/>
        <v>NO CUMPLE</v>
      </c>
      <c r="AD383" s="682"/>
      <c r="AE383" s="593" t="str">
        <f t="shared" si="164"/>
        <v>NO CUMPLE</v>
      </c>
    </row>
    <row r="384" spans="1:31" s="353" customFormat="1" ht="22.5" customHeight="1">
      <c r="A384" s="351"/>
      <c r="B384" s="342" t="str">
        <f t="shared" ref="B384:B387" si="168">IF(D384="","",B383+1)</f>
        <v/>
      </c>
      <c r="C384" s="619"/>
      <c r="D384" s="620"/>
      <c r="E384" s="628"/>
      <c r="F384" s="622"/>
      <c r="G384" s="623"/>
      <c r="H384" s="624"/>
      <c r="I384" s="625"/>
      <c r="J384" s="629"/>
      <c r="K384" s="627"/>
      <c r="L384" s="618"/>
      <c r="M384" s="556" t="str">
        <f t="shared" ref="M384:M387" si="169">IF(OR(K384="",L384=""),"",IF(I384="SI",H384*L384,""))</f>
        <v/>
      </c>
      <c r="N384" s="504" t="str">
        <f>IF(OR(I384="",M384=""),"",IF(I384="SI",ROUND(M384,3),0))</f>
        <v/>
      </c>
      <c r="O384" s="636"/>
      <c r="Q384" s="352" t="str">
        <f t="shared" ref="Q384:Q387" si="170">IF(K384="","",IF(AND(YEAR(K384)&gt;=YEAR($M$15), I384="SI",K384&lt;=$N$15),"CUMPLE","NO CUMPLE"))</f>
        <v/>
      </c>
      <c r="R384" s="636"/>
      <c r="S384" s="352" t="str">
        <f t="shared" ref="S384:S387" si="171">IF(T384="","",IF(T384&gt;=20%,"CUMPLE","NO CUMPLE"))</f>
        <v/>
      </c>
      <c r="T384" s="671" t="str">
        <f t="shared" ref="T384:T387" si="172">IF(R384="","",VLOOKUP(J384,INTEGRAN,2,FALSE))</f>
        <v/>
      </c>
      <c r="U384" s="586"/>
      <c r="W384" s="594">
        <v>3</v>
      </c>
      <c r="X384" s="595" t="str">
        <f>IF(AND(W384&lt;=$T381,$T381&gt;1,$T381&lt;&gt;""),VLOOKUP(VALUE($F378&amp;","&amp;W384),INTEGRANTES!$D$19:$G$106,2,0),"")</f>
        <v/>
      </c>
      <c r="Y384" s="596" t="str">
        <f>IF(X384&lt;&gt;"",VLOOKUP(VALUE($F378&amp;","&amp;$W384),INTEGRANTES!$D$19:$G$106,3,0),"")</f>
        <v/>
      </c>
      <c r="Z384" s="597" t="str">
        <f t="shared" ref="Z384" si="173">IF(X384="","",SUMIF($J384:$J389,$X384,$N384:$N389))</f>
        <v/>
      </c>
      <c r="AA384" s="604" t="str">
        <f t="shared" ref="AA384" si="174">IF($Y384="","",IF(AND($Y384&gt;=20%,$Z384&gt;=$Z390),"CUMPLE","NO CUMPLE"))</f>
        <v/>
      </c>
      <c r="AB384" s="682"/>
      <c r="AC384" s="593" t="str">
        <f t="shared" si="163"/>
        <v/>
      </c>
      <c r="AD384" s="682"/>
      <c r="AE384" s="593" t="str">
        <f t="shared" si="164"/>
        <v/>
      </c>
    </row>
    <row r="385" spans="1:31" s="353" customFormat="1" ht="22.5" customHeight="1">
      <c r="A385" s="351"/>
      <c r="B385" s="342" t="str">
        <f t="shared" si="168"/>
        <v/>
      </c>
      <c r="C385" s="619"/>
      <c r="D385" s="620"/>
      <c r="E385" s="628"/>
      <c r="F385" s="622"/>
      <c r="G385" s="623"/>
      <c r="H385" s="624"/>
      <c r="I385" s="625"/>
      <c r="J385" s="629"/>
      <c r="K385" s="627"/>
      <c r="L385" s="618"/>
      <c r="M385" s="555" t="str">
        <f t="shared" si="169"/>
        <v/>
      </c>
      <c r="N385" s="504" t="str">
        <f>IF(OR(I385="",M385=""),"",IF(I385="SI",ROUND(M385,3),0))</f>
        <v/>
      </c>
      <c r="O385" s="636"/>
      <c r="Q385" s="352" t="str">
        <f t="shared" si="170"/>
        <v/>
      </c>
      <c r="R385" s="636"/>
      <c r="S385" s="352" t="str">
        <f t="shared" si="171"/>
        <v/>
      </c>
      <c r="T385" s="671" t="str">
        <f t="shared" si="172"/>
        <v/>
      </c>
      <c r="U385" s="586"/>
      <c r="W385" s="594">
        <v>4</v>
      </c>
      <c r="X385" s="595" t="str">
        <f>IF(AND(W385&lt;=$T381,$T381&gt;1,$T381&lt;&gt;""),VLOOKUP(VALUE($F378&amp;","&amp;W385),INTEGRANTES!$D$19:$G$106,2,0),"")</f>
        <v/>
      </c>
      <c r="Y385" s="596" t="str">
        <f>IF(X385&lt;&gt;"",VLOOKUP(VALUE($F378&amp;","&amp;$W385),INTEGRANTES!$D$19:$G$106,3,0),"")</f>
        <v/>
      </c>
      <c r="Z385" s="597" t="str">
        <f t="shared" ref="Z385" si="175">IF(X385="","",SUMIF($J384:$J389,$X385,$N384:$N389))</f>
        <v/>
      </c>
      <c r="AA385" s="604" t="str">
        <f t="shared" ref="AA385" si="176">IF($Y385="","",IF(AND($Y385&gt;=20%,$Z385&gt;=$Z390),"CUMPLE","NO CUMPLE"))</f>
        <v/>
      </c>
      <c r="AB385" s="682"/>
      <c r="AC385" s="593" t="str">
        <f t="shared" si="163"/>
        <v/>
      </c>
      <c r="AD385" s="682"/>
      <c r="AE385" s="593" t="str">
        <f t="shared" si="164"/>
        <v/>
      </c>
    </row>
    <row r="386" spans="1:31" s="353" customFormat="1" ht="22.5" customHeight="1">
      <c r="A386" s="351"/>
      <c r="B386" s="342" t="str">
        <f t="shared" si="168"/>
        <v/>
      </c>
      <c r="C386" s="619"/>
      <c r="D386" s="620"/>
      <c r="E386" s="628"/>
      <c r="F386" s="622"/>
      <c r="G386" s="623"/>
      <c r="H386" s="624"/>
      <c r="I386" s="625"/>
      <c r="J386" s="629"/>
      <c r="K386" s="627"/>
      <c r="L386" s="618"/>
      <c r="M386" s="556" t="str">
        <f t="shared" si="169"/>
        <v/>
      </c>
      <c r="N386" s="504" t="str">
        <f>IF(OR(I386="",M386=""),"",IF(I386="SI",ROUND(M386,3),0))</f>
        <v/>
      </c>
      <c r="O386" s="636"/>
      <c r="Q386" s="352" t="str">
        <f t="shared" si="170"/>
        <v/>
      </c>
      <c r="R386" s="636"/>
      <c r="S386" s="352" t="str">
        <f t="shared" si="171"/>
        <v/>
      </c>
      <c r="T386" s="671" t="str">
        <f t="shared" si="172"/>
        <v/>
      </c>
      <c r="U386" s="586"/>
      <c r="W386" s="594">
        <v>5</v>
      </c>
      <c r="X386" s="595" t="str">
        <f>IF(AND(W386&lt;=$T383,$T383&gt;1,$T383&lt;&gt;""),VLOOKUP(VALUE($F380&amp;","&amp;W386),INTEGRANTES!$D$19:$G$106,2,0),"")</f>
        <v/>
      </c>
      <c r="Y386" s="596" t="str">
        <f>IF(X386&lt;&gt;"",VLOOKUP(VALUE($F380&amp;","&amp;$W386),INTEGRANTES!$D$19:$G$106,3,0),"")</f>
        <v/>
      </c>
      <c r="Z386" s="597" t="str">
        <f t="shared" ref="Z386" si="177">IF(X386="","",SUMIF($J386:$J391,$X386,$N386:$N391))</f>
        <v/>
      </c>
      <c r="AA386" s="604" t="str">
        <f t="shared" ref="AA386" si="178">IF($Y386="","",IF(AND($Y386&gt;=20%,$Z386&gt;=$Z392),"CUMPLE","NO CUMPLE"))</f>
        <v/>
      </c>
      <c r="AB386" s="682"/>
      <c r="AC386" s="593" t="str">
        <f t="shared" si="163"/>
        <v/>
      </c>
      <c r="AD386" s="682"/>
      <c r="AE386" s="593" t="str">
        <f t="shared" si="164"/>
        <v/>
      </c>
    </row>
    <row r="387" spans="1:31" s="353" customFormat="1" ht="22.5" customHeight="1">
      <c r="A387" s="351"/>
      <c r="B387" s="342" t="str">
        <f t="shared" si="168"/>
        <v/>
      </c>
      <c r="C387" s="619"/>
      <c r="D387" s="620"/>
      <c r="E387" s="628"/>
      <c r="F387" s="622"/>
      <c r="G387" s="623"/>
      <c r="H387" s="624"/>
      <c r="I387" s="625"/>
      <c r="J387" s="629"/>
      <c r="K387" s="627"/>
      <c r="L387" s="618"/>
      <c r="M387" s="555" t="str">
        <f t="shared" si="169"/>
        <v/>
      </c>
      <c r="N387" s="504" t="str">
        <f>IF(OR(I387="",M387=""),"",IF(I387="SI",ROUND(M387,3),0))</f>
        <v/>
      </c>
      <c r="O387" s="636"/>
      <c r="Q387" s="352" t="str">
        <f t="shared" si="170"/>
        <v/>
      </c>
      <c r="R387" s="636"/>
      <c r="S387" s="352" t="str">
        <f t="shared" si="171"/>
        <v/>
      </c>
      <c r="T387" s="671" t="str">
        <f t="shared" si="172"/>
        <v/>
      </c>
      <c r="U387" s="586"/>
      <c r="W387" s="599">
        <v>6</v>
      </c>
      <c r="X387" s="595" t="str">
        <f>IF(AND(W387&lt;=$T383,$T383&gt;1,$T383&lt;&gt;""),VLOOKUP(VALUE($F380&amp;","&amp;W387),INTEGRANTES!$D$19:$G$106,2,0),"")</f>
        <v/>
      </c>
      <c r="Y387" s="606" t="str">
        <f>IF(X387&lt;&gt;"",VLOOKUP(VALUE($F380&amp;","&amp;$W387),INTEGRANTES!$D$19:$G$106,3,0),"")</f>
        <v/>
      </c>
      <c r="Z387" s="607" t="str">
        <f t="shared" ref="Z387" si="179">IF(X387="","",SUMIF($J386:$J391,$X387,$N386:$N391))</f>
        <v/>
      </c>
      <c r="AA387" s="608" t="str">
        <f t="shared" ref="AA387" si="180">IF($Y387="","",IF(AND($Y387&gt;=20%,$Z387&gt;=$Z392),"CUMPLE","NO CUMPLE"))</f>
        <v/>
      </c>
      <c r="AB387" s="682"/>
      <c r="AC387" s="593" t="str">
        <f t="shared" si="163"/>
        <v/>
      </c>
      <c r="AD387" s="682"/>
      <c r="AE387" s="593" t="str">
        <f t="shared" si="164"/>
        <v/>
      </c>
    </row>
    <row r="388" spans="1:31" ht="5.0999999999999996" customHeight="1" thickBot="1">
      <c r="B388" s="354"/>
      <c r="C388" s="359"/>
      <c r="D388" s="355"/>
      <c r="E388" s="368"/>
      <c r="F388" s="355"/>
      <c r="G388" s="355"/>
      <c r="H388" s="355"/>
      <c r="I388" s="356"/>
      <c r="J388" s="357"/>
      <c r="K388" s="358"/>
      <c r="L388" s="355"/>
      <c r="M388" s="356"/>
      <c r="N388" s="360"/>
      <c r="O388" s="352" t="str">
        <f>IF(L388="","",IF(AND(L388&gt;=YEAR($M$15), J388="SI",L388&lt;=S382),"CUMPLE","NO CUMPLE"))</f>
        <v/>
      </c>
      <c r="Q388" s="352" t="str">
        <f>IF(N388="","",IF(AND(N388&gt;=YEAR($M$15), L388="SI",N388&lt;=V382),"CUMPLE","NO CUMPLE"))</f>
        <v/>
      </c>
      <c r="R388" s="352" t="str">
        <f>IF(P388="","",IF(AND(P388&gt;=YEAR($M$15), M388="SI",P388&lt;=W382),"CUMPLE","NO CUMPLE"))</f>
        <v/>
      </c>
      <c r="S388" s="352" t="str">
        <f>IF(P388="","",IF(AND(P388&gt;=YEAR($M$15), N388="SI",P388&lt;=X382),"CUMPLE","NO CUMPLE"))</f>
        <v/>
      </c>
      <c r="T388" s="564"/>
      <c r="U388" s="586"/>
      <c r="W388" s="600"/>
      <c r="X388" s="600"/>
      <c r="Y388" s="600"/>
      <c r="Z388" s="605">
        <f>MAX(Z382:Z387)</f>
        <v>259.46800000000002</v>
      </c>
      <c r="AA388" s="600"/>
      <c r="AB388" s="602"/>
      <c r="AC388" s="602"/>
      <c r="AD388" s="602"/>
      <c r="AE388" s="602"/>
    </row>
    <row r="389" spans="1:31" s="52" customFormat="1" ht="17.100000000000001" customHeight="1" thickTop="1" thickBot="1">
      <c r="A389" s="361">
        <f>F376</f>
        <v>21</v>
      </c>
      <c r="B389" s="364"/>
      <c r="C389" s="379"/>
      <c r="D389" s="664"/>
      <c r="E389" s="752"/>
      <c r="F389" s="752"/>
      <c r="G389" s="752"/>
      <c r="H389" s="752"/>
      <c r="I389" s="752"/>
      <c r="J389" s="752"/>
      <c r="K389" s="752"/>
      <c r="L389" s="753"/>
      <c r="M389" s="754"/>
      <c r="N389" s="365">
        <f>SUM(N382:N388)</f>
        <v>259.46800000000002</v>
      </c>
      <c r="O389" s="373"/>
      <c r="Q389" s="373" t="str">
        <f>IF(COUNTIF(Q382:Q385,"CUMPLE")&gt;0,"CUMPLE","NO CUMPLE")</f>
        <v>NO CUMPLE</v>
      </c>
      <c r="R389" s="374" t="str">
        <f>IF(COUNTIF(R382:R385,"COLOMBIA")&gt;0,"CUMPLE","NO CUMPLE")</f>
        <v>CUMPLE</v>
      </c>
      <c r="S389" s="373" t="str">
        <f>IF(COUNTIF(S382:S385,"CUMPLE")&gt;0,"CUMPLE","NO CUMPLE")</f>
        <v>CUMPLE</v>
      </c>
      <c r="T389" s="566"/>
      <c r="U389" s="587"/>
      <c r="AA389" s="589" t="str">
        <f>IF(COUNTIF(AA382:AA387,"CUMPLE")&gt;0,"CUMPLE","NO CUMPLE")</f>
        <v>CUMPLE</v>
      </c>
      <c r="AB389" s="735" t="str">
        <f>IF(COUNTIF(AC382:AC387,"CUMPLE")&gt;0,"CUMPLE","NO CUMPLE")</f>
        <v>CUMPLE</v>
      </c>
      <c r="AC389" s="736"/>
      <c r="AD389" s="735" t="str">
        <f>IF(COUNTIF(AE382:AE387,"CUMPLE")&gt;0,"CUMPLE","NO CUMPLE")</f>
        <v>CUMPLE</v>
      </c>
      <c r="AE389" s="736"/>
    </row>
    <row r="390" spans="1:31" ht="16.5" thickTop="1">
      <c r="B390" s="557"/>
      <c r="C390" s="558"/>
      <c r="D390" s="558"/>
      <c r="E390" s="558"/>
      <c r="F390" s="558"/>
      <c r="G390" s="558"/>
      <c r="H390" s="558"/>
      <c r="I390" s="558"/>
      <c r="J390" s="558"/>
      <c r="K390" s="558"/>
      <c r="L390" s="80"/>
      <c r="M390" s="362" t="s">
        <v>516</v>
      </c>
      <c r="N390" s="369">
        <f ca="1">VFrequerido!Y35</f>
        <v>537.11</v>
      </c>
      <c r="O390" s="568"/>
      <c r="Q390" s="570"/>
      <c r="R390" s="571"/>
      <c r="S390" s="572"/>
      <c r="T390" s="573"/>
      <c r="U390" s="80"/>
    </row>
    <row r="391" spans="1:31" ht="15.75" thickBot="1">
      <c r="A391" s="490" t="str">
        <f>"E"&amp;F376</f>
        <v>E21</v>
      </c>
      <c r="B391" s="559"/>
      <c r="C391" s="560"/>
      <c r="D391" s="560"/>
      <c r="E391" s="560"/>
      <c r="F391" s="560"/>
      <c r="G391" s="560"/>
      <c r="H391" s="560"/>
      <c r="I391" s="560"/>
      <c r="J391" s="560"/>
      <c r="K391" s="560"/>
      <c r="L391" s="363"/>
      <c r="M391" s="755" t="str">
        <f ca="1">IF(OR(N389=0,N389&lt;N390),"NO CUMPLE","CUMPLE")</f>
        <v>NO CUMPLE</v>
      </c>
      <c r="N391" s="756"/>
      <c r="O391" s="569"/>
      <c r="Q391" s="492"/>
      <c r="R391" s="493"/>
      <c r="S391" s="363"/>
      <c r="T391" s="574"/>
      <c r="U391" s="80"/>
    </row>
    <row r="392" spans="1:31" ht="13.5" thickTop="1"/>
    <row r="394" spans="1:31">
      <c r="F394" s="757">
        <f>F376+1</f>
        <v>22</v>
      </c>
      <c r="G394" s="758" t="str">
        <f>VLOOKUP(F394,PROPO,2,FALSE)</f>
        <v>CONSORCIO C&amp;C</v>
      </c>
      <c r="H394" s="758"/>
      <c r="I394" s="758"/>
      <c r="J394" s="758"/>
      <c r="K394" s="52"/>
      <c r="O394" s="52"/>
      <c r="Q394" s="52"/>
      <c r="R394" s="52"/>
    </row>
    <row r="395" spans="1:31">
      <c r="B395" s="328"/>
      <c r="C395" s="328"/>
      <c r="D395" s="328"/>
      <c r="E395" s="328"/>
      <c r="F395" s="757"/>
      <c r="G395" s="758"/>
      <c r="H395" s="758"/>
      <c r="I395" s="758"/>
      <c r="J395" s="758"/>
      <c r="K395" s="52"/>
      <c r="N395" s="567"/>
      <c r="O395" s="52"/>
      <c r="Q395" s="52"/>
      <c r="R395" s="52"/>
    </row>
    <row r="396" spans="1:31" ht="13.5" thickBot="1">
      <c r="B396" s="329"/>
      <c r="C396" s="329"/>
      <c r="D396" s="56"/>
      <c r="E396" s="56"/>
      <c r="F396" s="56"/>
      <c r="G396" s="56"/>
      <c r="H396" s="56"/>
      <c r="I396" s="56"/>
      <c r="J396" s="56"/>
      <c r="K396" s="330"/>
      <c r="L396" s="331"/>
      <c r="M396" s="331"/>
      <c r="N396" s="330"/>
      <c r="O396" s="330"/>
      <c r="Q396" s="330"/>
      <c r="R396" s="330"/>
    </row>
    <row r="397" spans="1:31" ht="50.1" customHeight="1" thickTop="1" thickBot="1">
      <c r="B397" s="332" t="s">
        <v>16</v>
      </c>
      <c r="C397" s="744" t="s">
        <v>121</v>
      </c>
      <c r="D397" s="333" t="s">
        <v>17</v>
      </c>
      <c r="E397" s="746" t="s">
        <v>18</v>
      </c>
      <c r="F397" s="747"/>
      <c r="G397" s="748" t="s">
        <v>117</v>
      </c>
      <c r="H397" s="749"/>
      <c r="I397" s="744" t="s">
        <v>39</v>
      </c>
      <c r="J397" s="744" t="s">
        <v>0</v>
      </c>
      <c r="K397" s="665" t="s">
        <v>19</v>
      </c>
      <c r="L397" s="750" t="s">
        <v>20</v>
      </c>
      <c r="M397" s="751"/>
      <c r="N397" s="68" t="s">
        <v>52</v>
      </c>
      <c r="O397" s="501" t="s">
        <v>151</v>
      </c>
      <c r="Q397" s="665" t="s">
        <v>127</v>
      </c>
      <c r="R397" s="665" t="s">
        <v>138</v>
      </c>
      <c r="S397" s="665" t="s">
        <v>163</v>
      </c>
      <c r="T397" s="565">
        <f>IF(VLOOKUP(F394,PROPONENTES!$C$19:$E$54,3,0)="","",VLOOKUP(F394,PROPONENTES!$C$19:$E$54,3,0))</f>
        <v>2</v>
      </c>
      <c r="U397" s="582"/>
      <c r="W397" s="737" t="s">
        <v>167</v>
      </c>
      <c r="X397" s="738"/>
      <c r="Y397" s="738"/>
      <c r="Z397" s="738"/>
      <c r="AA397" s="738"/>
      <c r="AB397" s="738"/>
      <c r="AC397" s="738"/>
      <c r="AD397" s="738"/>
      <c r="AE397" s="739"/>
    </row>
    <row r="398" spans="1:31" ht="50.1" customHeight="1" thickTop="1" thickBot="1">
      <c r="B398" s="334" t="s">
        <v>21</v>
      </c>
      <c r="C398" s="745"/>
      <c r="D398" s="335" t="s">
        <v>22</v>
      </c>
      <c r="E398" s="366" t="s">
        <v>23</v>
      </c>
      <c r="F398" s="336" t="s">
        <v>24</v>
      </c>
      <c r="G398" s="337" t="s">
        <v>118</v>
      </c>
      <c r="H398" s="338" t="s">
        <v>119</v>
      </c>
      <c r="I398" s="745"/>
      <c r="J398" s="745"/>
      <c r="K398" s="663" t="s">
        <v>120</v>
      </c>
      <c r="L398" s="339" t="s">
        <v>150</v>
      </c>
      <c r="M398" s="340" t="s">
        <v>14</v>
      </c>
      <c r="N398" s="341" t="s">
        <v>14</v>
      </c>
      <c r="O398" s="502" t="s">
        <v>152</v>
      </c>
      <c r="Q398" s="663" t="s">
        <v>128</v>
      </c>
      <c r="R398" s="663" t="s">
        <v>139</v>
      </c>
      <c r="S398" s="663" t="s">
        <v>164</v>
      </c>
      <c r="T398" s="575" t="s">
        <v>83</v>
      </c>
      <c r="U398" s="583"/>
      <c r="W398" s="740" t="s">
        <v>166</v>
      </c>
      <c r="X398" s="743"/>
      <c r="Y398" s="663" t="s">
        <v>168</v>
      </c>
      <c r="Z398" s="663" t="s">
        <v>169</v>
      </c>
      <c r="AA398" s="663" t="s">
        <v>174</v>
      </c>
      <c r="AB398" s="740" t="s">
        <v>524</v>
      </c>
      <c r="AC398" s="741"/>
      <c r="AD398" s="742" t="s">
        <v>522</v>
      </c>
      <c r="AE398" s="741"/>
    </row>
    <row r="399" spans="1:31" ht="14.25" hidden="1" customHeight="1">
      <c r="B399" s="342">
        <v>0</v>
      </c>
      <c r="C399" s="347"/>
      <c r="D399" s="343"/>
      <c r="E399" s="367"/>
      <c r="F399" s="344"/>
      <c r="G399" s="345"/>
      <c r="H399" s="346"/>
      <c r="I399" s="347"/>
      <c r="J399" s="347"/>
      <c r="K399" s="347"/>
      <c r="L399" s="348"/>
      <c r="M399" s="349"/>
      <c r="N399" s="350"/>
      <c r="O399" s="347"/>
      <c r="Q399" s="347"/>
      <c r="R399" s="347"/>
      <c r="S399" s="347"/>
      <c r="T399" s="563"/>
      <c r="U399" s="584"/>
      <c r="W399" s="502" t="s">
        <v>166</v>
      </c>
      <c r="X399" s="502"/>
      <c r="Y399" s="502" t="s">
        <v>168</v>
      </c>
      <c r="Z399" s="502" t="s">
        <v>169</v>
      </c>
      <c r="AA399" s="502" t="s">
        <v>170</v>
      </c>
      <c r="AB399" s="661" t="s">
        <v>170</v>
      </c>
      <c r="AC399" s="661" t="s">
        <v>170</v>
      </c>
      <c r="AD399" s="661" t="s">
        <v>170</v>
      </c>
      <c r="AE399" s="661" t="s">
        <v>170</v>
      </c>
    </row>
    <row r="400" spans="1:31" s="353" customFormat="1" ht="84" customHeight="1" thickTop="1">
      <c r="A400" s="351"/>
      <c r="B400" s="342">
        <f>IF(D400="","",B399+1)</f>
        <v>1</v>
      </c>
      <c r="C400" s="609">
        <v>14</v>
      </c>
      <c r="D400" s="610" t="s">
        <v>217</v>
      </c>
      <c r="E400" s="611" t="s">
        <v>467</v>
      </c>
      <c r="F400" s="612" t="s">
        <v>469</v>
      </c>
      <c r="G400" s="613" t="s">
        <v>172</v>
      </c>
      <c r="H400" s="614">
        <v>0.95</v>
      </c>
      <c r="I400" s="615" t="s">
        <v>173</v>
      </c>
      <c r="J400" s="616" t="s">
        <v>316</v>
      </c>
      <c r="K400" s="617">
        <v>42088</v>
      </c>
      <c r="L400" s="657">
        <v>578.98</v>
      </c>
      <c r="M400" s="494">
        <f>IF(OR(K400="",L400=""),"",IF(I400="SI",H400*L400,""))</f>
        <v>550.03099999999995</v>
      </c>
      <c r="N400" s="503">
        <f>IF(OR(I400="",M400=""),"",IF(I400="NO",0,IF(I400="SI",ROUND(M400,3),0)))</f>
        <v>550.03099999999995</v>
      </c>
      <c r="O400" s="636"/>
      <c r="Q400" s="352" t="str">
        <f t="shared" ref="Q400:Q401" si="181">IF(K400="","",IF(AND(YEAR(K400)&gt;=YEAR($M$15), I400="SI",K400&lt;=$N$15),"CUMPLE","NO CUMPLE"))</f>
        <v>CUMPLE</v>
      </c>
      <c r="R400" s="636" t="s">
        <v>140</v>
      </c>
      <c r="S400" s="352" t="str">
        <f>IF(T400="","",IF(T400&gt;=20%,"CUMPLE","NO CUMPLE"))</f>
        <v>CUMPLE</v>
      </c>
      <c r="T400" s="656">
        <f t="shared" ref="T400:T401" si="182">IF(R400="","",VLOOKUP(J400,INTEGRAN,2,FALSE))</f>
        <v>0.7</v>
      </c>
      <c r="U400" s="585"/>
      <c r="W400" s="594">
        <v>1</v>
      </c>
      <c r="X400" s="595" t="str">
        <f>IF(AND(W400&lt;=$T397,$T397&gt;1,$T397&lt;&gt;""),VLOOKUP(VALUE($F394&amp;","&amp;W400),INTEGRANTES!$D$19:$G$106,2,0),"")</f>
        <v>CAG INGENIERIA SAS</v>
      </c>
      <c r="Y400" s="596">
        <f>IF(X400&lt;&gt;"",VLOOKUP(VALUE($F394&amp;","&amp;$W400),INTEGRANTES!$D$19:$G$106,3,0),"")</f>
        <v>0.7</v>
      </c>
      <c r="Z400" s="597">
        <f t="shared" ref="Z400" si="183">IF(X400="","",SUMIF($J400:$J405,$X400,$N400:$N405))</f>
        <v>562.73</v>
      </c>
      <c r="AA400" s="604" t="str">
        <f t="shared" ref="AA400" si="184">IF($Y400="","",IF(AND($Y400&gt;=20%,$Z400&gt;=$Z406),"CUMPLE","NO CUMPLE"))</f>
        <v>CUMPLE</v>
      </c>
      <c r="AB400" s="681" t="s">
        <v>525</v>
      </c>
      <c r="AC400" s="592" t="str">
        <f t="shared" ref="AC400:AC405" si="185">IF(X400="","",IF(AND(Y400&gt;=40%,AB400="SI"),"CUMPLE","NO CUMPLE"))</f>
        <v>CUMPLE</v>
      </c>
      <c r="AD400" s="681" t="s">
        <v>525</v>
      </c>
      <c r="AE400" s="593" t="str">
        <f t="shared" ref="AE400:AE405" si="186">IF(X400="","",IF(AD400="SI","CUMPLE","NO CUMPLE"))</f>
        <v>CUMPLE</v>
      </c>
    </row>
    <row r="401" spans="1:31" s="353" customFormat="1" ht="22.5" customHeight="1">
      <c r="A401" s="351"/>
      <c r="B401" s="342">
        <f>IF(D401="","",B400+1)</f>
        <v>2</v>
      </c>
      <c r="C401" s="619">
        <v>17</v>
      </c>
      <c r="D401" s="610" t="s">
        <v>217</v>
      </c>
      <c r="E401" s="621" t="s">
        <v>468</v>
      </c>
      <c r="F401" s="622" t="s">
        <v>470</v>
      </c>
      <c r="G401" s="623" t="s">
        <v>172</v>
      </c>
      <c r="H401" s="624">
        <v>0.3</v>
      </c>
      <c r="I401" s="625" t="s">
        <v>173</v>
      </c>
      <c r="J401" s="626" t="s">
        <v>316</v>
      </c>
      <c r="K401" s="627">
        <v>42694</v>
      </c>
      <c r="L401" s="657">
        <v>42.33</v>
      </c>
      <c r="M401" s="556">
        <f>IF(OR(K401="",L401=""),"",IF(I401="SI",H401*L401,""))</f>
        <v>12.699</v>
      </c>
      <c r="N401" s="504">
        <f>IF(OR(I401="",M401=""),"",IF(I401="SI",ROUND(M401,3),0))</f>
        <v>12.699</v>
      </c>
      <c r="O401" s="636"/>
      <c r="Q401" s="352" t="str">
        <f t="shared" si="181"/>
        <v>CUMPLE</v>
      </c>
      <c r="R401" s="636" t="s">
        <v>140</v>
      </c>
      <c r="S401" s="352" t="str">
        <f>IF(T401="","",IF(T401&gt;=20%,"CUMPLE","NO CUMPLE"))</f>
        <v>CUMPLE</v>
      </c>
      <c r="T401" s="656">
        <f t="shared" si="182"/>
        <v>0.7</v>
      </c>
      <c r="U401" s="586"/>
      <c r="W401" s="594">
        <v>2</v>
      </c>
      <c r="X401" s="595" t="str">
        <f>IF(AND(W401&lt;=$T397,$T397&gt;1,$T397&lt;&gt;""),VLOOKUP(VALUE($F394&amp;","&amp;W401),INTEGRANTES!$D$19:$G$106,2,0),"")</f>
        <v>CONCIAMCO SAS</v>
      </c>
      <c r="Y401" s="596">
        <f>IF(X401&lt;&gt;"",VLOOKUP(VALUE($F394&amp;","&amp;$W401),INTEGRANTES!$D$19:$G$106,3,0),"")</f>
        <v>0.3</v>
      </c>
      <c r="Z401" s="597">
        <f t="shared" ref="Z401" si="187">IF(X401="","",SUMIF($J400:$J405,$X401,$N400:$N405))</f>
        <v>0</v>
      </c>
      <c r="AA401" s="604" t="str">
        <f t="shared" ref="AA401" si="188">IF($Y401="","",IF(AND($Y401&gt;=20%,$Z401&gt;=$Z406),"CUMPLE","NO CUMPLE"))</f>
        <v>NO CUMPLE</v>
      </c>
      <c r="AB401" s="682"/>
      <c r="AC401" s="593" t="str">
        <f t="shared" si="185"/>
        <v>NO CUMPLE</v>
      </c>
      <c r="AD401" s="682"/>
      <c r="AE401" s="593" t="str">
        <f t="shared" si="186"/>
        <v>NO CUMPLE</v>
      </c>
    </row>
    <row r="402" spans="1:31" s="353" customFormat="1" ht="22.5" customHeight="1">
      <c r="A402" s="351"/>
      <c r="B402" s="342" t="str">
        <f t="shared" ref="B402:B405" si="189">IF(D402="","",B401+1)</f>
        <v/>
      </c>
      <c r="C402" s="619"/>
      <c r="D402" s="620"/>
      <c r="E402" s="628"/>
      <c r="F402" s="622"/>
      <c r="G402" s="623"/>
      <c r="H402" s="624"/>
      <c r="I402" s="625"/>
      <c r="J402" s="629"/>
      <c r="K402" s="627"/>
      <c r="L402" s="618"/>
      <c r="M402" s="556" t="str">
        <f t="shared" ref="M402:M405" si="190">IF(OR(K402="",L402=""),"",IF(I402="SI",H402*L402,""))</f>
        <v/>
      </c>
      <c r="N402" s="504" t="str">
        <f>IF(OR(I402="",M402=""),"",IF(I402="SI",ROUND(M402,3),0))</f>
        <v/>
      </c>
      <c r="O402" s="636"/>
      <c r="Q402" s="352" t="str">
        <f t="shared" ref="Q402:Q405" si="191">IF(K402="","",IF(AND(YEAR(K402)&gt;=YEAR($M$15), I402="SI",K402&lt;=$N$15),"CUMPLE","NO CUMPLE"))</f>
        <v/>
      </c>
      <c r="R402" s="636"/>
      <c r="S402" s="352" t="str">
        <f t="shared" ref="S402:S405" si="192">IF(T402="","",IF(T402&gt;=20%,"CUMPLE","NO CUMPLE"))</f>
        <v/>
      </c>
      <c r="T402" s="656" t="str">
        <f t="shared" ref="T402:T405" si="193">IF(R402="","",VLOOKUP(J402,INTEGRAN,2,FALSE))</f>
        <v/>
      </c>
      <c r="U402" s="586"/>
      <c r="W402" s="594">
        <v>3</v>
      </c>
      <c r="X402" s="595" t="str">
        <f>IF(AND(W402&lt;=$T399,$T399&gt;1,$T399&lt;&gt;""),VLOOKUP(VALUE($F396&amp;","&amp;W402),INTEGRANTES!$D$19:$G$106,2,0),"")</f>
        <v/>
      </c>
      <c r="Y402" s="596" t="str">
        <f>IF(X402&lt;&gt;"",VLOOKUP(VALUE($F396&amp;","&amp;$W402),INTEGRANTES!$D$19:$G$106,3,0),"")</f>
        <v/>
      </c>
      <c r="Z402" s="597" t="str">
        <f t="shared" ref="Z402" si="194">IF(X402="","",SUMIF($J402:$J407,$X402,$N402:$N407))</f>
        <v/>
      </c>
      <c r="AA402" s="604" t="str">
        <f t="shared" ref="AA402" si="195">IF($Y402="","",IF(AND($Y402&gt;=20%,$Z402&gt;=$Z408),"CUMPLE","NO CUMPLE"))</f>
        <v/>
      </c>
      <c r="AB402" s="682"/>
      <c r="AC402" s="593" t="str">
        <f t="shared" si="185"/>
        <v/>
      </c>
      <c r="AD402" s="682"/>
      <c r="AE402" s="593" t="str">
        <f t="shared" si="186"/>
        <v/>
      </c>
    </row>
    <row r="403" spans="1:31" s="353" customFormat="1" ht="22.5" customHeight="1">
      <c r="A403" s="351"/>
      <c r="B403" s="342" t="str">
        <f t="shared" si="189"/>
        <v/>
      </c>
      <c r="C403" s="619"/>
      <c r="D403" s="620"/>
      <c r="E403" s="628"/>
      <c r="F403" s="622"/>
      <c r="G403" s="623"/>
      <c r="H403" s="624"/>
      <c r="I403" s="625"/>
      <c r="J403" s="629"/>
      <c r="K403" s="627"/>
      <c r="L403" s="618"/>
      <c r="M403" s="555" t="str">
        <f t="shared" si="190"/>
        <v/>
      </c>
      <c r="N403" s="504" t="str">
        <f>IF(OR(I403="",M403=""),"",IF(I403="SI",ROUND(M403,3),0))</f>
        <v/>
      </c>
      <c r="O403" s="636"/>
      <c r="Q403" s="352" t="str">
        <f t="shared" si="191"/>
        <v/>
      </c>
      <c r="R403" s="636"/>
      <c r="S403" s="352" t="str">
        <f t="shared" si="192"/>
        <v/>
      </c>
      <c r="T403" s="656" t="str">
        <f t="shared" si="193"/>
        <v/>
      </c>
      <c r="U403" s="586"/>
      <c r="W403" s="594">
        <v>4</v>
      </c>
      <c r="X403" s="595" t="str">
        <f>IF(AND(W403&lt;=$T399,$T399&gt;1,$T399&lt;&gt;""),VLOOKUP(VALUE($F396&amp;","&amp;W403),INTEGRANTES!$D$19:$G$106,2,0),"")</f>
        <v/>
      </c>
      <c r="Y403" s="596" t="str">
        <f>IF(X403&lt;&gt;"",VLOOKUP(VALUE($F396&amp;","&amp;$W403),INTEGRANTES!$D$19:$G$106,3,0),"")</f>
        <v/>
      </c>
      <c r="Z403" s="597" t="str">
        <f t="shared" ref="Z403" si="196">IF(X403="","",SUMIF($J402:$J407,$X403,$N402:$N407))</f>
        <v/>
      </c>
      <c r="AA403" s="604" t="str">
        <f t="shared" ref="AA403" si="197">IF($Y403="","",IF(AND($Y403&gt;=20%,$Z403&gt;=$Z408),"CUMPLE","NO CUMPLE"))</f>
        <v/>
      </c>
      <c r="AB403" s="682"/>
      <c r="AC403" s="593" t="str">
        <f t="shared" si="185"/>
        <v/>
      </c>
      <c r="AD403" s="682"/>
      <c r="AE403" s="593" t="str">
        <f t="shared" si="186"/>
        <v/>
      </c>
    </row>
    <row r="404" spans="1:31" s="353" customFormat="1" ht="22.5" customHeight="1">
      <c r="A404" s="351"/>
      <c r="B404" s="342" t="str">
        <f t="shared" si="189"/>
        <v/>
      </c>
      <c r="C404" s="619"/>
      <c r="D404" s="620"/>
      <c r="E404" s="628"/>
      <c r="F404" s="622"/>
      <c r="G404" s="623"/>
      <c r="H404" s="624"/>
      <c r="I404" s="625"/>
      <c r="J404" s="629"/>
      <c r="K404" s="627"/>
      <c r="L404" s="618"/>
      <c r="M404" s="556" t="str">
        <f t="shared" si="190"/>
        <v/>
      </c>
      <c r="N404" s="504" t="str">
        <f>IF(OR(I404="",M404=""),"",IF(I404="SI",ROUND(M404,3),0))</f>
        <v/>
      </c>
      <c r="O404" s="636"/>
      <c r="Q404" s="352" t="str">
        <f t="shared" si="191"/>
        <v/>
      </c>
      <c r="R404" s="636"/>
      <c r="S404" s="352" t="str">
        <f t="shared" si="192"/>
        <v/>
      </c>
      <c r="T404" s="656" t="str">
        <f t="shared" si="193"/>
        <v/>
      </c>
      <c r="U404" s="586"/>
      <c r="W404" s="594">
        <v>5</v>
      </c>
      <c r="X404" s="595" t="str">
        <f>IF(AND(W404&lt;=$T401,$T401&gt;1,$T401&lt;&gt;""),VLOOKUP(VALUE($F398&amp;","&amp;W404),INTEGRANTES!$D$19:$G$106,2,0),"")</f>
        <v/>
      </c>
      <c r="Y404" s="596" t="str">
        <f>IF(X404&lt;&gt;"",VLOOKUP(VALUE($F398&amp;","&amp;$W404),INTEGRANTES!$D$19:$G$106,3,0),"")</f>
        <v/>
      </c>
      <c r="Z404" s="597" t="str">
        <f t="shared" ref="Z404" si="198">IF(X404="","",SUMIF($J404:$J409,$X404,$N404:$N409))</f>
        <v/>
      </c>
      <c r="AA404" s="604" t="str">
        <f t="shared" ref="AA404" si="199">IF($Y404="","",IF(AND($Y404&gt;=20%,$Z404&gt;=$Z410),"CUMPLE","NO CUMPLE"))</f>
        <v/>
      </c>
      <c r="AB404" s="682"/>
      <c r="AC404" s="593" t="str">
        <f t="shared" si="185"/>
        <v/>
      </c>
      <c r="AD404" s="682"/>
      <c r="AE404" s="593" t="str">
        <f t="shared" si="186"/>
        <v/>
      </c>
    </row>
    <row r="405" spans="1:31" s="353" customFormat="1" ht="22.5" customHeight="1">
      <c r="A405" s="351"/>
      <c r="B405" s="342" t="str">
        <f t="shared" si="189"/>
        <v/>
      </c>
      <c r="C405" s="619"/>
      <c r="D405" s="620"/>
      <c r="E405" s="628"/>
      <c r="F405" s="622"/>
      <c r="G405" s="623"/>
      <c r="H405" s="624"/>
      <c r="I405" s="625"/>
      <c r="J405" s="629"/>
      <c r="K405" s="627"/>
      <c r="L405" s="618"/>
      <c r="M405" s="555" t="str">
        <f t="shared" si="190"/>
        <v/>
      </c>
      <c r="N405" s="504" t="str">
        <f>IF(OR(I405="",M405=""),"",IF(I405="SI",ROUND(M405,3),0))</f>
        <v/>
      </c>
      <c r="O405" s="636"/>
      <c r="Q405" s="352" t="str">
        <f t="shared" si="191"/>
        <v/>
      </c>
      <c r="R405" s="636"/>
      <c r="S405" s="352" t="str">
        <f t="shared" si="192"/>
        <v/>
      </c>
      <c r="T405" s="656" t="str">
        <f t="shared" si="193"/>
        <v/>
      </c>
      <c r="U405" s="586"/>
      <c r="W405" s="599">
        <v>6</v>
      </c>
      <c r="X405" s="595" t="str">
        <f>IF(AND(W405&lt;=$T401,$T401&gt;1,$T401&lt;&gt;""),VLOOKUP(VALUE($F398&amp;","&amp;W405),INTEGRANTES!$D$19:$G$106,2,0),"")</f>
        <v/>
      </c>
      <c r="Y405" s="606" t="str">
        <f>IF(X405&lt;&gt;"",VLOOKUP(VALUE($F398&amp;","&amp;$W405),INTEGRANTES!$D$19:$G$106,3,0),"")</f>
        <v/>
      </c>
      <c r="Z405" s="607" t="str">
        <f t="shared" ref="Z405" si="200">IF(X405="","",SUMIF($J404:$J409,$X405,$N404:$N409))</f>
        <v/>
      </c>
      <c r="AA405" s="608" t="str">
        <f t="shared" ref="AA405" si="201">IF($Y405="","",IF(AND($Y405&gt;=20%,$Z405&gt;=$Z410),"CUMPLE","NO CUMPLE"))</f>
        <v/>
      </c>
      <c r="AB405" s="682"/>
      <c r="AC405" s="593" t="str">
        <f t="shared" si="185"/>
        <v/>
      </c>
      <c r="AD405" s="682"/>
      <c r="AE405" s="593" t="str">
        <f t="shared" si="186"/>
        <v/>
      </c>
    </row>
    <row r="406" spans="1:31" ht="5.0999999999999996" customHeight="1" thickBot="1">
      <c r="B406" s="354"/>
      <c r="C406" s="359"/>
      <c r="D406" s="355"/>
      <c r="E406" s="368"/>
      <c r="F406" s="355"/>
      <c r="G406" s="355"/>
      <c r="H406" s="355"/>
      <c r="I406" s="356"/>
      <c r="J406" s="357"/>
      <c r="K406" s="358"/>
      <c r="L406" s="355"/>
      <c r="M406" s="356"/>
      <c r="N406" s="360"/>
      <c r="O406" s="352" t="str">
        <f>IF(L406="","",IF(AND(L406&gt;=YEAR($M$15), J406="SI",L406&lt;=S400),"CUMPLE","NO CUMPLE"))</f>
        <v/>
      </c>
      <c r="Q406" s="352" t="str">
        <f>IF(N406="","",IF(AND(N406&gt;=YEAR($M$15), L406="SI",N406&lt;=V400),"CUMPLE","NO CUMPLE"))</f>
        <v/>
      </c>
      <c r="R406" s="352" t="str">
        <f>IF(P406="","",IF(AND(P406&gt;=YEAR($M$15), M406="SI",P406&lt;=W400),"CUMPLE","NO CUMPLE"))</f>
        <v/>
      </c>
      <c r="S406" s="352" t="str">
        <f>IF(P406="","",IF(AND(P406&gt;=YEAR($M$15), N406="SI",P406&lt;=X400),"CUMPLE","NO CUMPLE"))</f>
        <v/>
      </c>
      <c r="T406" s="564"/>
      <c r="U406" s="586"/>
      <c r="W406" s="600"/>
      <c r="X406" s="600"/>
      <c r="Y406" s="600"/>
      <c r="Z406" s="605">
        <f>MAX(Z400:Z405)</f>
        <v>562.73</v>
      </c>
      <c r="AA406" s="600"/>
      <c r="AB406" s="602"/>
      <c r="AC406" s="602"/>
      <c r="AD406" s="602"/>
      <c r="AE406" s="602"/>
    </row>
    <row r="407" spans="1:31" s="52" customFormat="1" ht="17.100000000000001" customHeight="1" thickTop="1" thickBot="1">
      <c r="A407" s="361">
        <f>F394</f>
        <v>22</v>
      </c>
      <c r="B407" s="364"/>
      <c r="C407" s="379"/>
      <c r="D407" s="664"/>
      <c r="E407" s="752"/>
      <c r="F407" s="752"/>
      <c r="G407" s="752"/>
      <c r="H407" s="752"/>
      <c r="I407" s="752"/>
      <c r="J407" s="752"/>
      <c r="K407" s="752"/>
      <c r="L407" s="753"/>
      <c r="M407" s="754"/>
      <c r="N407" s="365">
        <f>SUM(N400:N406)</f>
        <v>562.73</v>
      </c>
      <c r="O407" s="373"/>
      <c r="Q407" s="373" t="str">
        <f>IF(COUNTIF(Q400:Q403,"CUMPLE")&gt;0,"CUMPLE","NO CUMPLE")</f>
        <v>CUMPLE</v>
      </c>
      <c r="R407" s="374" t="str">
        <f>IF(COUNTIF(R400:R403,"COLOMBIA")&gt;0,"CUMPLE","NO CUMPLE")</f>
        <v>CUMPLE</v>
      </c>
      <c r="S407" s="373" t="str">
        <f>IF(COUNTIF(S400:S403,"CUMPLE")&gt;0,"CUMPLE","NO CUMPLE")</f>
        <v>CUMPLE</v>
      </c>
      <c r="T407" s="566"/>
      <c r="U407" s="587"/>
      <c r="AA407" s="589" t="str">
        <f>IF(COUNTIF(AA400:AA405,"CUMPLE")&gt;0,"CUMPLE","NO CUMPLE")</f>
        <v>CUMPLE</v>
      </c>
      <c r="AB407" s="735" t="str">
        <f>IF(COUNTIF(AC400:AC405,"CUMPLE")&gt;0,"CUMPLE","NO CUMPLE")</f>
        <v>CUMPLE</v>
      </c>
      <c r="AC407" s="736"/>
      <c r="AD407" s="735" t="str">
        <f>IF(COUNTIF(AE400:AE405,"CUMPLE")&gt;0,"CUMPLE","NO CUMPLE")</f>
        <v>CUMPLE</v>
      </c>
      <c r="AE407" s="736"/>
    </row>
    <row r="408" spans="1:31" ht="16.5" thickTop="1">
      <c r="B408" s="557"/>
      <c r="C408" s="558"/>
      <c r="D408" s="558"/>
      <c r="E408" s="558"/>
      <c r="F408" s="558"/>
      <c r="G408" s="558"/>
      <c r="H408" s="558"/>
      <c r="I408" s="558"/>
      <c r="J408" s="558"/>
      <c r="K408" s="558"/>
      <c r="L408" s="80"/>
      <c r="M408" s="362" t="s">
        <v>516</v>
      </c>
      <c r="N408" s="369">
        <f ca="1">VFrequerido!Y36</f>
        <v>537.11</v>
      </c>
      <c r="O408" s="568"/>
      <c r="Q408" s="570"/>
      <c r="R408" s="571"/>
      <c r="S408" s="572"/>
      <c r="T408" s="573"/>
      <c r="U408" s="80"/>
    </row>
    <row r="409" spans="1:31" ht="15.75" thickBot="1">
      <c r="A409" s="490" t="str">
        <f>"E"&amp;F394</f>
        <v>E22</v>
      </c>
      <c r="B409" s="559"/>
      <c r="C409" s="560"/>
      <c r="D409" s="560"/>
      <c r="E409" s="560"/>
      <c r="F409" s="560"/>
      <c r="G409" s="560"/>
      <c r="H409" s="560"/>
      <c r="I409" s="560"/>
      <c r="J409" s="560"/>
      <c r="K409" s="560"/>
      <c r="L409" s="363"/>
      <c r="M409" s="755" t="str">
        <f ca="1">IF(OR(N407=0,N407&lt;N408),"NO CUMPLE","CUMPLE")</f>
        <v>CUMPLE</v>
      </c>
      <c r="N409" s="756"/>
      <c r="O409" s="569"/>
      <c r="Q409" s="492"/>
      <c r="R409" s="493"/>
      <c r="S409" s="363"/>
      <c r="T409" s="574"/>
      <c r="U409" s="80"/>
    </row>
    <row r="410" spans="1:31" ht="13.5" thickTop="1"/>
    <row r="412" spans="1:31">
      <c r="F412" s="757">
        <f>F394+1</f>
        <v>23</v>
      </c>
      <c r="G412" s="758" t="str">
        <f>VLOOKUP(F412,PROPO,2,FALSE)</f>
        <v>NELSON FREDY ARDILA GELVEZ</v>
      </c>
      <c r="H412" s="758"/>
      <c r="I412" s="758"/>
      <c r="J412" s="758"/>
      <c r="K412" s="52"/>
      <c r="O412" s="52"/>
      <c r="Q412" s="52"/>
      <c r="R412" s="52"/>
    </row>
    <row r="413" spans="1:31">
      <c r="B413" s="328"/>
      <c r="C413" s="328"/>
      <c r="D413" s="328"/>
      <c r="E413" s="328"/>
      <c r="F413" s="757"/>
      <c r="G413" s="758"/>
      <c r="H413" s="758"/>
      <c r="I413" s="758"/>
      <c r="J413" s="758"/>
      <c r="K413" s="52"/>
      <c r="N413" s="567"/>
      <c r="O413" s="52"/>
      <c r="Q413" s="52"/>
      <c r="R413" s="52"/>
    </row>
    <row r="414" spans="1:31" ht="13.5" thickBot="1">
      <c r="B414" s="329"/>
      <c r="C414" s="329"/>
      <c r="D414" s="56"/>
      <c r="E414" s="56"/>
      <c r="F414" s="56"/>
      <c r="G414" s="56"/>
      <c r="H414" s="56"/>
      <c r="I414" s="56"/>
      <c r="J414" s="56"/>
      <c r="K414" s="330"/>
      <c r="L414" s="331"/>
      <c r="M414" s="331"/>
      <c r="N414" s="330"/>
      <c r="O414" s="330"/>
      <c r="Q414" s="330"/>
      <c r="R414" s="330"/>
    </row>
    <row r="415" spans="1:31" ht="50.1" customHeight="1" thickTop="1" thickBot="1">
      <c r="B415" s="332" t="s">
        <v>16</v>
      </c>
      <c r="C415" s="744" t="s">
        <v>121</v>
      </c>
      <c r="D415" s="333" t="s">
        <v>17</v>
      </c>
      <c r="E415" s="746" t="s">
        <v>18</v>
      </c>
      <c r="F415" s="747"/>
      <c r="G415" s="748" t="s">
        <v>117</v>
      </c>
      <c r="H415" s="749"/>
      <c r="I415" s="744" t="s">
        <v>39</v>
      </c>
      <c r="J415" s="744" t="s">
        <v>0</v>
      </c>
      <c r="K415" s="665" t="s">
        <v>19</v>
      </c>
      <c r="L415" s="750" t="s">
        <v>20</v>
      </c>
      <c r="M415" s="751"/>
      <c r="N415" s="68" t="s">
        <v>52</v>
      </c>
      <c r="O415" s="501" t="s">
        <v>151</v>
      </c>
      <c r="Q415" s="665" t="s">
        <v>127</v>
      </c>
      <c r="R415" s="665" t="s">
        <v>138</v>
      </c>
      <c r="S415" s="665" t="s">
        <v>163</v>
      </c>
      <c r="T415" s="565">
        <f>IF(VLOOKUP(F412,PROPONENTES!$C$19:$E$54,3,0)="","",VLOOKUP(F412,PROPONENTES!$C$19:$E$54,3,0))</f>
        <v>1</v>
      </c>
      <c r="U415" s="582"/>
      <c r="W415" s="737" t="s">
        <v>167</v>
      </c>
      <c r="X415" s="738"/>
      <c r="Y415" s="738"/>
      <c r="Z415" s="738"/>
      <c r="AA415" s="738"/>
      <c r="AB415" s="738"/>
      <c r="AC415" s="738"/>
      <c r="AD415" s="738"/>
      <c r="AE415" s="739"/>
    </row>
    <row r="416" spans="1:31" ht="50.1" customHeight="1" thickTop="1" thickBot="1">
      <c r="B416" s="334" t="s">
        <v>21</v>
      </c>
      <c r="C416" s="745"/>
      <c r="D416" s="335" t="s">
        <v>22</v>
      </c>
      <c r="E416" s="366" t="s">
        <v>23</v>
      </c>
      <c r="F416" s="336" t="s">
        <v>24</v>
      </c>
      <c r="G416" s="337" t="s">
        <v>118</v>
      </c>
      <c r="H416" s="338" t="s">
        <v>119</v>
      </c>
      <c r="I416" s="745"/>
      <c r="J416" s="745"/>
      <c r="K416" s="663" t="s">
        <v>120</v>
      </c>
      <c r="L416" s="339" t="s">
        <v>150</v>
      </c>
      <c r="M416" s="340" t="s">
        <v>14</v>
      </c>
      <c r="N416" s="341" t="s">
        <v>14</v>
      </c>
      <c r="O416" s="502" t="s">
        <v>152</v>
      </c>
      <c r="Q416" s="663" t="s">
        <v>128</v>
      </c>
      <c r="R416" s="663" t="s">
        <v>139</v>
      </c>
      <c r="S416" s="663" t="s">
        <v>164</v>
      </c>
      <c r="T416" s="575" t="s">
        <v>83</v>
      </c>
      <c r="U416" s="583"/>
      <c r="W416" s="740" t="s">
        <v>166</v>
      </c>
      <c r="X416" s="743"/>
      <c r="Y416" s="663" t="s">
        <v>168</v>
      </c>
      <c r="Z416" s="663" t="s">
        <v>169</v>
      </c>
      <c r="AA416" s="663" t="s">
        <v>174</v>
      </c>
      <c r="AB416" s="740" t="s">
        <v>524</v>
      </c>
      <c r="AC416" s="741"/>
      <c r="AD416" s="742" t="s">
        <v>522</v>
      </c>
      <c r="AE416" s="741"/>
    </row>
    <row r="417" spans="1:31" ht="14.25" hidden="1" customHeight="1">
      <c r="B417" s="342">
        <v>0</v>
      </c>
      <c r="C417" s="347"/>
      <c r="D417" s="343"/>
      <c r="E417" s="367"/>
      <c r="F417" s="344"/>
      <c r="G417" s="345"/>
      <c r="H417" s="346"/>
      <c r="I417" s="347"/>
      <c r="J417" s="347"/>
      <c r="K417" s="347"/>
      <c r="L417" s="348"/>
      <c r="M417" s="349"/>
      <c r="N417" s="350"/>
      <c r="O417" s="347"/>
      <c r="Q417" s="347"/>
      <c r="R417" s="347"/>
      <c r="S417" s="347"/>
      <c r="T417" s="563"/>
      <c r="U417" s="584"/>
      <c r="W417" s="502" t="s">
        <v>166</v>
      </c>
      <c r="X417" s="502"/>
      <c r="Y417" s="502" t="s">
        <v>168</v>
      </c>
      <c r="Z417" s="502" t="s">
        <v>169</v>
      </c>
      <c r="AA417" s="502" t="s">
        <v>170</v>
      </c>
      <c r="AB417" s="661" t="s">
        <v>170</v>
      </c>
      <c r="AC417" s="661" t="s">
        <v>170</v>
      </c>
      <c r="AD417" s="661" t="s">
        <v>170</v>
      </c>
      <c r="AE417" s="661" t="s">
        <v>170</v>
      </c>
    </row>
    <row r="418" spans="1:31" s="353" customFormat="1" ht="22.5" customHeight="1" thickTop="1">
      <c r="A418" s="351"/>
      <c r="B418" s="342">
        <f>IF(D418="","",B417+1)</f>
        <v>1</v>
      </c>
      <c r="C418" s="609">
        <v>14</v>
      </c>
      <c r="D418" s="610" t="s">
        <v>217</v>
      </c>
      <c r="E418" s="611" t="s">
        <v>318</v>
      </c>
      <c r="F418" s="612" t="s">
        <v>319</v>
      </c>
      <c r="G418" s="613" t="s">
        <v>172</v>
      </c>
      <c r="H418" s="614">
        <v>0.4</v>
      </c>
      <c r="I418" s="615" t="s">
        <v>173</v>
      </c>
      <c r="J418" s="616" t="s">
        <v>198</v>
      </c>
      <c r="K418" s="617">
        <v>41897</v>
      </c>
      <c r="L418" s="618">
        <v>382.28</v>
      </c>
      <c r="M418" s="494">
        <f>IF(OR(K418="",L418=""),"",IF(I418="SI",H418*L418,""))</f>
        <v>152.91200000000001</v>
      </c>
      <c r="N418" s="503">
        <f>IF(OR(I418="",M418=""),"",IF(I418="NO",0,IF(I418="SI",ROUND(M418,3),0)))</f>
        <v>152.91200000000001</v>
      </c>
      <c r="O418" s="636"/>
      <c r="Q418" s="352" t="str">
        <f t="shared" ref="Q418:Q423" si="202">IF(K418="","",IF(AND(YEAR(K418)&gt;=YEAR($M$15), I418="SI",K418&lt;=$N$15),"CUMPLE","NO CUMPLE"))</f>
        <v>CUMPLE</v>
      </c>
      <c r="R418" s="636" t="s">
        <v>140</v>
      </c>
      <c r="S418" s="352" t="str">
        <f>IF(T418="","",IF(T418&gt;=20%,"CUMPLE","NO CUMPLE"))</f>
        <v>CUMPLE</v>
      </c>
      <c r="T418" s="656">
        <f t="shared" ref="T418:T423" si="203">IF(R418="","",VLOOKUP(J418,INTEGRAN,2,FALSE))</f>
        <v>1</v>
      </c>
      <c r="U418" s="585"/>
      <c r="W418" s="594">
        <v>1</v>
      </c>
      <c r="X418" s="595" t="str">
        <f>IF(AND(W418&lt;=$T415,$T415&gt;1,$T415&lt;&gt;""),VLOOKUP(VALUE($F412&amp;","&amp;W418),INTEGRANTES!$D$19:$G$106,2,0),"")</f>
        <v/>
      </c>
      <c r="Y418" s="596" t="str">
        <f>IF(X418&lt;&gt;"",VLOOKUP(VALUE($F412&amp;","&amp;$W418),INTEGRANTES!$D$19:$G$106,3,0),"")</f>
        <v/>
      </c>
      <c r="Z418" s="597" t="str">
        <f t="shared" ref="Z418" si="204">IF(X418="","",SUMIF($J418:$J423,$X418,$N418:$N423))</f>
        <v/>
      </c>
      <c r="AA418" s="604" t="str">
        <f t="shared" ref="AA418" si="205">IF($Y418="","",IF(AND($Y418&gt;=20%,$Z418&gt;=$Z424),"CUMPLE","NO CUMPLE"))</f>
        <v/>
      </c>
      <c r="AB418" s="681" t="s">
        <v>525</v>
      </c>
      <c r="AC418" s="592" t="str">
        <f t="shared" ref="AC418:AC423" si="206">IF(X418="","",IF(AND(Y418&gt;=40%,AB418="SI"),"CUMPLE","NO CUMPLE"))</f>
        <v/>
      </c>
      <c r="AD418" s="681" t="s">
        <v>525</v>
      </c>
      <c r="AE418" s="593" t="str">
        <f t="shared" ref="AE418:AE423" si="207">IF(X418="","",IF(AD418="SI","CUMPLE","NO CUMPLE"))</f>
        <v/>
      </c>
    </row>
    <row r="419" spans="1:31" s="353" customFormat="1" ht="22.5" customHeight="1">
      <c r="A419" s="351"/>
      <c r="B419" s="342">
        <f>IF(D419="","",B418+1)</f>
        <v>2</v>
      </c>
      <c r="C419" s="619">
        <v>17</v>
      </c>
      <c r="D419" s="620" t="s">
        <v>217</v>
      </c>
      <c r="E419" s="621" t="s">
        <v>320</v>
      </c>
      <c r="F419" s="622" t="s">
        <v>321</v>
      </c>
      <c r="G419" s="623" t="s">
        <v>172</v>
      </c>
      <c r="H419" s="624">
        <v>0.6</v>
      </c>
      <c r="I419" s="625" t="s">
        <v>173</v>
      </c>
      <c r="J419" s="629" t="s">
        <v>198</v>
      </c>
      <c r="K419" s="627">
        <v>42055</v>
      </c>
      <c r="L419" s="618">
        <v>155.06</v>
      </c>
      <c r="M419" s="556">
        <f>IF(OR(K419="",L419=""),"",IF(I419="SI",H419*L419,""))</f>
        <v>93.036000000000001</v>
      </c>
      <c r="N419" s="504">
        <f>IF(OR(I419="",M419=""),"",IF(I419="SI",ROUND(M419,3),0))</f>
        <v>93.036000000000001</v>
      </c>
      <c r="O419" s="636"/>
      <c r="Q419" s="352" t="str">
        <f t="shared" si="202"/>
        <v>CUMPLE</v>
      </c>
      <c r="R419" s="636"/>
      <c r="S419" s="352" t="str">
        <f t="shared" ref="S419:S423" si="208">IF(T419="","",IF(T419&gt;=20%,"CUMPLE","NO CUMPLE"))</f>
        <v/>
      </c>
      <c r="T419" s="656" t="str">
        <f t="shared" si="203"/>
        <v/>
      </c>
      <c r="U419" s="586"/>
      <c r="W419" s="594">
        <v>2</v>
      </c>
      <c r="X419" s="595" t="str">
        <f>IF(AND(W419&lt;=$T415,$T415&gt;1,$T415&lt;&gt;""),VLOOKUP(VALUE($F412&amp;","&amp;W419),INTEGRANTES!$D$19:$G$106,2,0),"")</f>
        <v/>
      </c>
      <c r="Y419" s="596" t="str">
        <f>IF(X419&lt;&gt;"",VLOOKUP(VALUE($F412&amp;","&amp;$W419),INTEGRANTES!$D$19:$G$106,3,0),"")</f>
        <v/>
      </c>
      <c r="Z419" s="597" t="str">
        <f t="shared" ref="Z419" si="209">IF(X419="","",SUMIF($J418:$J423,$X419,$N418:$N423))</f>
        <v/>
      </c>
      <c r="AA419" s="604" t="str">
        <f t="shared" ref="AA419" si="210">IF($Y419="","",IF(AND($Y419&gt;=20%,$Z419&gt;=$Z424),"CUMPLE","NO CUMPLE"))</f>
        <v/>
      </c>
      <c r="AB419" s="682"/>
      <c r="AC419" s="593" t="str">
        <f t="shared" si="206"/>
        <v/>
      </c>
      <c r="AD419" s="682"/>
      <c r="AE419" s="593" t="str">
        <f t="shared" si="207"/>
        <v/>
      </c>
    </row>
    <row r="420" spans="1:31" s="353" customFormat="1" ht="22.5" customHeight="1">
      <c r="A420" s="351"/>
      <c r="B420" s="342">
        <f t="shared" ref="B420:B423" si="211">IF(D420="","",B419+1)</f>
        <v>3</v>
      </c>
      <c r="C420" s="619">
        <v>34</v>
      </c>
      <c r="D420" s="620" t="s">
        <v>217</v>
      </c>
      <c r="E420" s="628" t="s">
        <v>322</v>
      </c>
      <c r="F420" s="622" t="s">
        <v>323</v>
      </c>
      <c r="G420" s="623" t="s">
        <v>172</v>
      </c>
      <c r="H420" s="624">
        <v>0.15</v>
      </c>
      <c r="I420" s="625" t="s">
        <v>173</v>
      </c>
      <c r="J420" s="629" t="s">
        <v>198</v>
      </c>
      <c r="K420" s="627">
        <v>42504</v>
      </c>
      <c r="L420" s="618">
        <v>853.56</v>
      </c>
      <c r="M420" s="556">
        <f t="shared" ref="M420:M423" si="212">IF(OR(K420="",L420=""),"",IF(I420="SI",H420*L420,""))</f>
        <v>128.03399999999999</v>
      </c>
      <c r="N420" s="504">
        <f>IF(OR(I420="",M420=""),"",IF(I420="SI",ROUND(M420,3),0))</f>
        <v>128.03399999999999</v>
      </c>
      <c r="O420" s="636"/>
      <c r="Q420" s="352" t="str">
        <f t="shared" si="202"/>
        <v>CUMPLE</v>
      </c>
      <c r="R420" s="636"/>
      <c r="S420" s="352" t="str">
        <f t="shared" si="208"/>
        <v/>
      </c>
      <c r="T420" s="656" t="str">
        <f t="shared" si="203"/>
        <v/>
      </c>
      <c r="U420" s="586"/>
      <c r="W420" s="594">
        <v>3</v>
      </c>
      <c r="X420" s="595" t="str">
        <f>IF(AND(W420&lt;=$T417,$T417&gt;1,$T417&lt;&gt;""),VLOOKUP(VALUE($F414&amp;","&amp;W420),INTEGRANTES!$D$19:$G$106,2,0),"")</f>
        <v/>
      </c>
      <c r="Y420" s="596" t="str">
        <f>IF(X420&lt;&gt;"",VLOOKUP(VALUE($F414&amp;","&amp;$W420),INTEGRANTES!$D$19:$G$106,3,0),"")</f>
        <v/>
      </c>
      <c r="Z420" s="597" t="str">
        <f t="shared" ref="Z420" si="213">IF(X420="","",SUMIF($J420:$J425,$X420,$N420:$N425))</f>
        <v/>
      </c>
      <c r="AA420" s="604" t="str">
        <f t="shared" ref="AA420" si="214">IF($Y420="","",IF(AND($Y420&gt;=20%,$Z420&gt;=$Z426),"CUMPLE","NO CUMPLE"))</f>
        <v/>
      </c>
      <c r="AB420" s="682"/>
      <c r="AC420" s="593" t="str">
        <f t="shared" si="206"/>
        <v/>
      </c>
      <c r="AD420" s="682"/>
      <c r="AE420" s="593" t="str">
        <f t="shared" si="207"/>
        <v/>
      </c>
    </row>
    <row r="421" spans="1:31" s="353" customFormat="1" ht="22.5" customHeight="1">
      <c r="A421" s="351"/>
      <c r="B421" s="342">
        <f t="shared" si="211"/>
        <v>4</v>
      </c>
      <c r="C421" s="619">
        <v>44</v>
      </c>
      <c r="D421" s="620" t="s">
        <v>217</v>
      </c>
      <c r="E421" s="628" t="s">
        <v>324</v>
      </c>
      <c r="F421" s="622" t="s">
        <v>325</v>
      </c>
      <c r="G421" s="623" t="s">
        <v>226</v>
      </c>
      <c r="H421" s="624">
        <v>1</v>
      </c>
      <c r="I421" s="625" t="s">
        <v>173</v>
      </c>
      <c r="J421" s="629" t="s">
        <v>198</v>
      </c>
      <c r="K421" s="627">
        <v>43281</v>
      </c>
      <c r="L421" s="618">
        <v>288.51</v>
      </c>
      <c r="M421" s="555">
        <f t="shared" si="212"/>
        <v>288.51</v>
      </c>
      <c r="N421" s="504">
        <f>IF(OR(I421="",M421=""),"",IF(I421="SI",ROUND(M421,3),0))</f>
        <v>288.51</v>
      </c>
      <c r="O421" s="636"/>
      <c r="Q421" s="352" t="str">
        <f t="shared" si="202"/>
        <v>CUMPLE</v>
      </c>
      <c r="R421" s="636"/>
      <c r="S421" s="352" t="str">
        <f t="shared" si="208"/>
        <v/>
      </c>
      <c r="T421" s="656" t="str">
        <f t="shared" si="203"/>
        <v/>
      </c>
      <c r="U421" s="586"/>
      <c r="W421" s="594">
        <v>4</v>
      </c>
      <c r="X421" s="595" t="str">
        <f>IF(AND(W421&lt;=$T417,$T417&gt;1,$T417&lt;&gt;""),VLOOKUP(VALUE($F414&amp;","&amp;W421),INTEGRANTES!$D$19:$G$106,2,0),"")</f>
        <v/>
      </c>
      <c r="Y421" s="596" t="str">
        <f>IF(X421&lt;&gt;"",VLOOKUP(VALUE($F414&amp;","&amp;$W421),INTEGRANTES!$D$19:$G$106,3,0),"")</f>
        <v/>
      </c>
      <c r="Z421" s="597" t="str">
        <f t="shared" ref="Z421" si="215">IF(X421="","",SUMIF($J420:$J425,$X421,$N420:$N425))</f>
        <v/>
      </c>
      <c r="AA421" s="604" t="str">
        <f t="shared" ref="AA421" si="216">IF($Y421="","",IF(AND($Y421&gt;=20%,$Z421&gt;=$Z426),"CUMPLE","NO CUMPLE"))</f>
        <v/>
      </c>
      <c r="AB421" s="682"/>
      <c r="AC421" s="593" t="str">
        <f t="shared" si="206"/>
        <v/>
      </c>
      <c r="AD421" s="682"/>
      <c r="AE421" s="593" t="str">
        <f t="shared" si="207"/>
        <v/>
      </c>
    </row>
    <row r="422" spans="1:31" s="353" customFormat="1" ht="22.5" customHeight="1">
      <c r="A422" s="351"/>
      <c r="B422" s="342" t="str">
        <f t="shared" si="211"/>
        <v/>
      </c>
      <c r="C422" s="619"/>
      <c r="D422" s="620"/>
      <c r="E422" s="628"/>
      <c r="F422" s="622"/>
      <c r="G422" s="623"/>
      <c r="H422" s="624"/>
      <c r="I422" s="625"/>
      <c r="J422" s="629"/>
      <c r="K422" s="627"/>
      <c r="L422" s="618"/>
      <c r="M422" s="556" t="str">
        <f t="shared" si="212"/>
        <v/>
      </c>
      <c r="N422" s="504" t="str">
        <f>IF(OR(I422="",M422=""),"",IF(I422="SI",ROUND(M422,3),0))</f>
        <v/>
      </c>
      <c r="O422" s="636"/>
      <c r="Q422" s="352" t="str">
        <f t="shared" si="202"/>
        <v/>
      </c>
      <c r="R422" s="636"/>
      <c r="S422" s="352" t="str">
        <f t="shared" si="208"/>
        <v/>
      </c>
      <c r="T422" s="656" t="str">
        <f t="shared" si="203"/>
        <v/>
      </c>
      <c r="U422" s="586"/>
      <c r="W422" s="594">
        <v>5</v>
      </c>
      <c r="X422" s="595" t="str">
        <f>IF(AND(W422&lt;=$T419,$T419&gt;1,$T419&lt;&gt;""),VLOOKUP(VALUE($F416&amp;","&amp;W422),INTEGRANTES!$D$19:$G$106,2,0),"")</f>
        <v/>
      </c>
      <c r="Y422" s="596" t="str">
        <f>IF(X422&lt;&gt;"",VLOOKUP(VALUE($F416&amp;","&amp;$W422),INTEGRANTES!$D$19:$G$106,3,0),"")</f>
        <v/>
      </c>
      <c r="Z422" s="597" t="str">
        <f t="shared" ref="Z422" si="217">IF(X422="","",SUMIF($J422:$J427,$X422,$N422:$N427))</f>
        <v/>
      </c>
      <c r="AA422" s="604" t="str">
        <f t="shared" ref="AA422" si="218">IF($Y422="","",IF(AND($Y422&gt;=20%,$Z422&gt;=$Z428),"CUMPLE","NO CUMPLE"))</f>
        <v/>
      </c>
      <c r="AB422" s="682"/>
      <c r="AC422" s="593" t="str">
        <f t="shared" si="206"/>
        <v/>
      </c>
      <c r="AD422" s="682"/>
      <c r="AE422" s="593" t="str">
        <f t="shared" si="207"/>
        <v/>
      </c>
    </row>
    <row r="423" spans="1:31" s="353" customFormat="1" ht="22.5" customHeight="1">
      <c r="A423" s="351"/>
      <c r="B423" s="342" t="str">
        <f t="shared" si="211"/>
        <v/>
      </c>
      <c r="C423" s="619"/>
      <c r="D423" s="620"/>
      <c r="E423" s="628"/>
      <c r="F423" s="622"/>
      <c r="G423" s="623"/>
      <c r="H423" s="624"/>
      <c r="I423" s="625"/>
      <c r="J423" s="629"/>
      <c r="K423" s="627"/>
      <c r="L423" s="618"/>
      <c r="M423" s="555" t="str">
        <f t="shared" si="212"/>
        <v/>
      </c>
      <c r="N423" s="504" t="str">
        <f>IF(OR(I423="",M423=""),"",IF(I423="SI",ROUND(M423,3),0))</f>
        <v/>
      </c>
      <c r="O423" s="636"/>
      <c r="Q423" s="352" t="str">
        <f t="shared" si="202"/>
        <v/>
      </c>
      <c r="R423" s="636"/>
      <c r="S423" s="352" t="str">
        <f t="shared" si="208"/>
        <v/>
      </c>
      <c r="T423" s="656" t="str">
        <f t="shared" si="203"/>
        <v/>
      </c>
      <c r="U423" s="586"/>
      <c r="W423" s="599">
        <v>6</v>
      </c>
      <c r="X423" s="595" t="str">
        <f>IF(AND(W423&lt;=$T419,$T419&gt;1,$T419&lt;&gt;""),VLOOKUP(VALUE($F416&amp;","&amp;W423),INTEGRANTES!$D$19:$G$106,2,0),"")</f>
        <v/>
      </c>
      <c r="Y423" s="606" t="str">
        <f>IF(X423&lt;&gt;"",VLOOKUP(VALUE($F416&amp;","&amp;$W423),INTEGRANTES!$D$19:$G$106,3,0),"")</f>
        <v/>
      </c>
      <c r="Z423" s="607" t="str">
        <f t="shared" ref="Z423" si="219">IF(X423="","",SUMIF($J422:$J427,$X423,$N422:$N427))</f>
        <v/>
      </c>
      <c r="AA423" s="608" t="str">
        <f t="shared" ref="AA423" si="220">IF($Y423="","",IF(AND($Y423&gt;=20%,$Z423&gt;=$Z428),"CUMPLE","NO CUMPLE"))</f>
        <v/>
      </c>
      <c r="AB423" s="682"/>
      <c r="AC423" s="593" t="str">
        <f t="shared" si="206"/>
        <v/>
      </c>
      <c r="AD423" s="682"/>
      <c r="AE423" s="593" t="str">
        <f t="shared" si="207"/>
        <v/>
      </c>
    </row>
    <row r="424" spans="1:31" ht="5.0999999999999996" customHeight="1" thickBot="1">
      <c r="B424" s="354"/>
      <c r="C424" s="359"/>
      <c r="D424" s="355"/>
      <c r="E424" s="368"/>
      <c r="F424" s="355"/>
      <c r="G424" s="355"/>
      <c r="H424" s="355"/>
      <c r="I424" s="356"/>
      <c r="J424" s="357"/>
      <c r="K424" s="358"/>
      <c r="L424" s="355"/>
      <c r="M424" s="356"/>
      <c r="N424" s="360"/>
      <c r="O424" s="352" t="str">
        <f>IF(L424="","",IF(AND(L424&gt;=YEAR($M$15), J424="SI",L424&lt;=S418),"CUMPLE","NO CUMPLE"))</f>
        <v/>
      </c>
      <c r="Q424" s="352" t="str">
        <f>IF(N424="","",IF(AND(N424&gt;=YEAR($M$15), L424="SI",N424&lt;=V418),"CUMPLE","NO CUMPLE"))</f>
        <v/>
      </c>
      <c r="R424" s="352" t="str">
        <f>IF(P424="","",IF(AND(P424&gt;=YEAR($M$15), M424="SI",P424&lt;=W418),"CUMPLE","NO CUMPLE"))</f>
        <v/>
      </c>
      <c r="S424" s="352" t="str">
        <f>IF(P424="","",IF(AND(P424&gt;=YEAR($M$15), N424="SI",P424&lt;=X418),"CUMPLE","NO CUMPLE"))</f>
        <v/>
      </c>
      <c r="T424" s="564"/>
      <c r="U424" s="586"/>
      <c r="W424" s="600"/>
      <c r="X424" s="600"/>
      <c r="Y424" s="600"/>
      <c r="Z424" s="605">
        <f>MAX(Z418:Z423)</f>
        <v>0</v>
      </c>
      <c r="AA424" s="600"/>
      <c r="AB424" s="602"/>
      <c r="AC424" s="602"/>
      <c r="AD424" s="602"/>
      <c r="AE424" s="602"/>
    </row>
    <row r="425" spans="1:31" s="52" customFormat="1" ht="17.100000000000001" customHeight="1" thickTop="1" thickBot="1">
      <c r="A425" s="361">
        <f>F412</f>
        <v>23</v>
      </c>
      <c r="B425" s="364"/>
      <c r="C425" s="379"/>
      <c r="D425" s="664"/>
      <c r="E425" s="752"/>
      <c r="F425" s="752"/>
      <c r="G425" s="752"/>
      <c r="H425" s="752"/>
      <c r="I425" s="752"/>
      <c r="J425" s="752"/>
      <c r="K425" s="752"/>
      <c r="L425" s="753"/>
      <c r="M425" s="754"/>
      <c r="N425" s="365">
        <f>SUM(N418:N424)</f>
        <v>662.49199999999996</v>
      </c>
      <c r="O425" s="373"/>
      <c r="Q425" s="373" t="str">
        <f>IF(COUNTIF(Q418:Q421,"CUMPLE")&gt;0,"CUMPLE","NO CUMPLE")</f>
        <v>CUMPLE</v>
      </c>
      <c r="R425" s="374" t="str">
        <f>IF(COUNTIF(R418:R421,"COLOMBIA")&gt;0,"CUMPLE","NO CUMPLE")</f>
        <v>CUMPLE</v>
      </c>
      <c r="S425" s="373" t="str">
        <f>IF(COUNTIF(S418:S421,"CUMPLE")&gt;0,"CUMPLE","NO CUMPLE")</f>
        <v>CUMPLE</v>
      </c>
      <c r="T425" s="566"/>
      <c r="U425" s="587"/>
      <c r="AA425" s="589" t="str">
        <f>IF(T415=1,"CUMPLE",IF(COUNTIF(AA418:AA423,"CUMPLE")&gt;0,"CUMPLE","NO CUMPLE"))</f>
        <v>CUMPLE</v>
      </c>
      <c r="AB425" s="735" t="str">
        <f>IF(COUNTIF(AC418:AC423,"CUMPLE")&gt;0,"CUMPLE","NO CUMPLE")</f>
        <v>NO CUMPLE</v>
      </c>
      <c r="AC425" s="736"/>
      <c r="AD425" s="735" t="str">
        <f>IF(COUNTIF(AE418:AE423,"CUMPLE")&gt;0,"CUMPLE","NO CUMPLE")</f>
        <v>NO CUMPLE</v>
      </c>
      <c r="AE425" s="736"/>
    </row>
    <row r="426" spans="1:31" ht="16.5" thickTop="1">
      <c r="B426" s="557"/>
      <c r="C426" s="558"/>
      <c r="D426" s="558"/>
      <c r="E426" s="558"/>
      <c r="F426" s="558"/>
      <c r="G426" s="558"/>
      <c r="H426" s="558"/>
      <c r="I426" s="558"/>
      <c r="J426" s="558"/>
      <c r="K426" s="558"/>
      <c r="L426" s="80"/>
      <c r="M426" s="362" t="s">
        <v>516</v>
      </c>
      <c r="N426" s="369">
        <f ca="1">VFrequerido!Y37</f>
        <v>537.11</v>
      </c>
      <c r="O426" s="568"/>
      <c r="Q426" s="570"/>
      <c r="R426" s="571"/>
      <c r="S426" s="572"/>
      <c r="T426" s="573"/>
      <c r="U426" s="80"/>
    </row>
    <row r="427" spans="1:31" ht="15.75" thickBot="1">
      <c r="A427" s="490" t="str">
        <f>"E"&amp;F412</f>
        <v>E23</v>
      </c>
      <c r="B427" s="559"/>
      <c r="C427" s="560"/>
      <c r="D427" s="560"/>
      <c r="E427" s="560"/>
      <c r="F427" s="560"/>
      <c r="G427" s="560"/>
      <c r="H427" s="560"/>
      <c r="I427" s="560"/>
      <c r="J427" s="560"/>
      <c r="K427" s="560"/>
      <c r="L427" s="363"/>
      <c r="M427" s="755" t="str">
        <f ca="1">IF(OR(N425=0,N425&lt;N426),"NO CUMPLE","CUMPLE")</f>
        <v>CUMPLE</v>
      </c>
      <c r="N427" s="756"/>
      <c r="O427" s="569"/>
      <c r="Q427" s="492"/>
      <c r="R427" s="493"/>
      <c r="S427" s="363"/>
      <c r="T427" s="574"/>
      <c r="U427" s="80"/>
    </row>
    <row r="428" spans="1:31" ht="13.5" thickTop="1"/>
    <row r="430" spans="1:31">
      <c r="F430" s="757">
        <f>F412+1</f>
        <v>24</v>
      </c>
      <c r="G430" s="758" t="str">
        <f>VLOOKUP(F430,PROPO,2,FALSE)</f>
        <v>CONSORCIO TERRA 100</v>
      </c>
      <c r="H430" s="758"/>
      <c r="I430" s="758"/>
      <c r="J430" s="758"/>
      <c r="K430" s="52"/>
      <c r="O430" s="52"/>
      <c r="Q430" s="52"/>
      <c r="R430" s="52"/>
    </row>
    <row r="431" spans="1:31">
      <c r="B431" s="328"/>
      <c r="C431" s="328"/>
      <c r="D431" s="328"/>
      <c r="E431" s="328"/>
      <c r="F431" s="757"/>
      <c r="G431" s="758"/>
      <c r="H431" s="758"/>
      <c r="I431" s="758"/>
      <c r="J431" s="758"/>
      <c r="K431" s="52"/>
      <c r="N431" s="567"/>
      <c r="O431" s="52"/>
      <c r="Q431" s="52"/>
      <c r="R431" s="52"/>
    </row>
    <row r="432" spans="1:31" ht="13.5" thickBot="1">
      <c r="B432" s="329"/>
      <c r="C432" s="329"/>
      <c r="D432" s="56"/>
      <c r="E432" s="56"/>
      <c r="F432" s="56"/>
      <c r="G432" s="56"/>
      <c r="H432" s="56"/>
      <c r="I432" s="56"/>
      <c r="J432" s="56"/>
      <c r="K432" s="330"/>
      <c r="L432" s="331"/>
      <c r="M432" s="331"/>
      <c r="N432" s="330"/>
      <c r="O432" s="330"/>
      <c r="Q432" s="330"/>
      <c r="R432" s="330"/>
    </row>
    <row r="433" spans="1:31" ht="50.1" customHeight="1" thickTop="1" thickBot="1">
      <c r="B433" s="332" t="s">
        <v>16</v>
      </c>
      <c r="C433" s="744" t="s">
        <v>121</v>
      </c>
      <c r="D433" s="333" t="s">
        <v>17</v>
      </c>
      <c r="E433" s="746" t="s">
        <v>18</v>
      </c>
      <c r="F433" s="747"/>
      <c r="G433" s="748" t="s">
        <v>117</v>
      </c>
      <c r="H433" s="749"/>
      <c r="I433" s="744" t="s">
        <v>39</v>
      </c>
      <c r="J433" s="744" t="s">
        <v>0</v>
      </c>
      <c r="K433" s="665" t="s">
        <v>19</v>
      </c>
      <c r="L433" s="750" t="s">
        <v>20</v>
      </c>
      <c r="M433" s="751"/>
      <c r="N433" s="68" t="s">
        <v>52</v>
      </c>
      <c r="O433" s="501" t="s">
        <v>151</v>
      </c>
      <c r="Q433" s="665" t="s">
        <v>127</v>
      </c>
      <c r="R433" s="665" t="s">
        <v>138</v>
      </c>
      <c r="S433" s="665" t="s">
        <v>163</v>
      </c>
      <c r="T433" s="565">
        <f>IF(VLOOKUP(F430,PROPONENTES!$C$19:$E$54,3,0)="","",VLOOKUP(F430,PROPONENTES!$C$19:$E$54,3,0))</f>
        <v>2</v>
      </c>
      <c r="U433" s="582"/>
      <c r="W433" s="737" t="s">
        <v>167</v>
      </c>
      <c r="X433" s="738"/>
      <c r="Y433" s="738"/>
      <c r="Z433" s="738"/>
      <c r="AA433" s="738"/>
      <c r="AB433" s="738"/>
      <c r="AC433" s="738"/>
      <c r="AD433" s="738"/>
      <c r="AE433" s="739"/>
    </row>
    <row r="434" spans="1:31" ht="50.1" customHeight="1" thickTop="1" thickBot="1">
      <c r="B434" s="334" t="s">
        <v>21</v>
      </c>
      <c r="C434" s="745"/>
      <c r="D434" s="335" t="s">
        <v>22</v>
      </c>
      <c r="E434" s="366" t="s">
        <v>23</v>
      </c>
      <c r="F434" s="336" t="s">
        <v>24</v>
      </c>
      <c r="G434" s="337" t="s">
        <v>118</v>
      </c>
      <c r="H434" s="338" t="s">
        <v>119</v>
      </c>
      <c r="I434" s="745"/>
      <c r="J434" s="745"/>
      <c r="K434" s="663" t="s">
        <v>120</v>
      </c>
      <c r="L434" s="339" t="s">
        <v>150</v>
      </c>
      <c r="M434" s="340" t="s">
        <v>14</v>
      </c>
      <c r="N434" s="341" t="s">
        <v>14</v>
      </c>
      <c r="O434" s="502" t="s">
        <v>152</v>
      </c>
      <c r="Q434" s="663" t="s">
        <v>128</v>
      </c>
      <c r="R434" s="663" t="s">
        <v>139</v>
      </c>
      <c r="S434" s="663" t="s">
        <v>164</v>
      </c>
      <c r="T434" s="575" t="s">
        <v>83</v>
      </c>
      <c r="U434" s="583"/>
      <c r="W434" s="740" t="s">
        <v>166</v>
      </c>
      <c r="X434" s="743"/>
      <c r="Y434" s="663" t="s">
        <v>168</v>
      </c>
      <c r="Z434" s="663" t="s">
        <v>169</v>
      </c>
      <c r="AA434" s="663" t="s">
        <v>174</v>
      </c>
      <c r="AB434" s="740" t="s">
        <v>524</v>
      </c>
      <c r="AC434" s="741"/>
      <c r="AD434" s="742" t="s">
        <v>522</v>
      </c>
      <c r="AE434" s="741"/>
    </row>
    <row r="435" spans="1:31" ht="14.25" hidden="1" customHeight="1">
      <c r="B435" s="342">
        <v>0</v>
      </c>
      <c r="C435" s="347"/>
      <c r="D435" s="343"/>
      <c r="E435" s="367"/>
      <c r="F435" s="344"/>
      <c r="G435" s="345"/>
      <c r="H435" s="346"/>
      <c r="I435" s="347"/>
      <c r="J435" s="347"/>
      <c r="K435" s="347"/>
      <c r="L435" s="348"/>
      <c r="M435" s="349"/>
      <c r="N435" s="350"/>
      <c r="O435" s="347"/>
      <c r="Q435" s="347"/>
      <c r="R435" s="347"/>
      <c r="S435" s="347"/>
      <c r="T435" s="563"/>
      <c r="U435" s="584"/>
      <c r="W435" s="502" t="s">
        <v>166</v>
      </c>
      <c r="X435" s="502"/>
      <c r="Y435" s="502" t="s">
        <v>168</v>
      </c>
      <c r="Z435" s="502" t="s">
        <v>169</v>
      </c>
      <c r="AA435" s="502" t="s">
        <v>170</v>
      </c>
      <c r="AB435" s="661" t="s">
        <v>170</v>
      </c>
      <c r="AC435" s="661" t="s">
        <v>170</v>
      </c>
      <c r="AD435" s="661" t="s">
        <v>170</v>
      </c>
      <c r="AE435" s="661" t="s">
        <v>170</v>
      </c>
    </row>
    <row r="436" spans="1:31" s="353" customFormat="1" ht="42.75" customHeight="1" thickTop="1">
      <c r="A436" s="351"/>
      <c r="B436" s="342">
        <f>IF(D436="","",B435+1)</f>
        <v>1</v>
      </c>
      <c r="C436" s="609">
        <v>17</v>
      </c>
      <c r="D436" s="610" t="s">
        <v>217</v>
      </c>
      <c r="E436" s="611" t="s">
        <v>471</v>
      </c>
      <c r="F436" s="612" t="s">
        <v>473</v>
      </c>
      <c r="G436" s="613" t="s">
        <v>118</v>
      </c>
      <c r="H436" s="614">
        <v>1</v>
      </c>
      <c r="I436" s="615" t="s">
        <v>173</v>
      </c>
      <c r="J436" s="616" t="s">
        <v>326</v>
      </c>
      <c r="K436" s="617">
        <v>43311</v>
      </c>
      <c r="L436" s="618">
        <v>97.55</v>
      </c>
      <c r="M436" s="494">
        <f>IF(OR(K436="",L436=""),"",IF(I436="SI",H436*L436,""))</f>
        <v>97.55</v>
      </c>
      <c r="N436" s="503">
        <f>IF(OR(I436="",M436=""),"",IF(I436="NO",0,IF(I436="SI",ROUND(M436,3),0)))</f>
        <v>97.55</v>
      </c>
      <c r="O436" s="636"/>
      <c r="Q436" s="352" t="str">
        <f t="shared" ref="Q436:Q439" si="221">IF(K436="","",IF(AND(YEAR(K436)&gt;=YEAR($M$15), I436="SI",K436&lt;=$N$15),"CUMPLE","NO CUMPLE"))</f>
        <v>CUMPLE</v>
      </c>
      <c r="R436" s="636" t="s">
        <v>140</v>
      </c>
      <c r="S436" s="352" t="str">
        <f>IF(T436="","",IF(T436&gt;=20%,"CUMPLE","NO CUMPLE"))</f>
        <v>CUMPLE</v>
      </c>
      <c r="T436" s="656">
        <f t="shared" ref="T436:T439" si="222">IF(R436="","",VLOOKUP(J436,INTEGRAN,2,FALSE))</f>
        <v>0.9</v>
      </c>
      <c r="U436" s="585"/>
      <c r="W436" s="594">
        <v>1</v>
      </c>
      <c r="X436" s="595" t="str">
        <f>IF(AND(W436&lt;=$T433,$T433&gt;1,$T433&lt;&gt;""),VLOOKUP(VALUE($F430&amp;","&amp;W436),INTEGRANTES!$D$19:$G$106,2,0),"")</f>
        <v>TERRA INGENIEROS CIVILES LTDA</v>
      </c>
      <c r="Y436" s="596">
        <f>IF(X436&lt;&gt;"",VLOOKUP(VALUE($F430&amp;","&amp;$W436),INTEGRANTES!$D$19:$G$106,3,0),"")</f>
        <v>0.9</v>
      </c>
      <c r="Z436" s="597">
        <f t="shared" ref="Z436" si="223">IF(X436="","",SUMIF($J436:$J441,$X436,$N436:$N441))</f>
        <v>347.02</v>
      </c>
      <c r="AA436" s="604" t="str">
        <f t="shared" ref="AA436" si="224">IF($Y436="","",IF(AND($Y436&gt;=20%,$Z436&gt;=$Z442),"CUMPLE","NO CUMPLE"))</f>
        <v>CUMPLE</v>
      </c>
      <c r="AB436" s="679" t="s">
        <v>525</v>
      </c>
      <c r="AC436" s="592" t="str">
        <f t="shared" ref="AC436:AC441" si="225">IF(X436="","",IF(AND(Y436&gt;=40%,AB436="SI"),"CUMPLE","NO CUMPLE"))</f>
        <v>CUMPLE</v>
      </c>
      <c r="AD436" s="679" t="s">
        <v>525</v>
      </c>
      <c r="AE436" s="593" t="str">
        <f t="shared" ref="AE436:AE441" si="226">IF(X436="","",IF(AD436="SI","CUMPLE","NO CUMPLE"))</f>
        <v>CUMPLE</v>
      </c>
    </row>
    <row r="437" spans="1:31" s="353" customFormat="1" ht="22.5" customHeight="1">
      <c r="A437" s="351"/>
      <c r="B437" s="342">
        <f>IF(D437="","",B436+1)</f>
        <v>2</v>
      </c>
      <c r="C437" s="619">
        <v>5</v>
      </c>
      <c r="D437" s="620" t="s">
        <v>337</v>
      </c>
      <c r="E437" s="621" t="s">
        <v>472</v>
      </c>
      <c r="F437" s="622" t="s">
        <v>474</v>
      </c>
      <c r="G437" s="623" t="s">
        <v>118</v>
      </c>
      <c r="H437" s="614">
        <v>1</v>
      </c>
      <c r="I437" s="625" t="s">
        <v>173</v>
      </c>
      <c r="J437" s="629" t="s">
        <v>326</v>
      </c>
      <c r="K437" s="627">
        <v>36239</v>
      </c>
      <c r="L437" s="618">
        <v>249.47</v>
      </c>
      <c r="M437" s="556">
        <f>IF(OR(K437="",L437=""),"",IF(I437="SI",H437*L437,""))</f>
        <v>249.47</v>
      </c>
      <c r="N437" s="504">
        <f>IF(OR(I437="",M437=""),"",IF(I437="SI",ROUND(M437,3),0))</f>
        <v>249.47</v>
      </c>
      <c r="O437" s="636"/>
      <c r="Q437" s="352" t="str">
        <f t="shared" si="221"/>
        <v>NO CUMPLE</v>
      </c>
      <c r="R437" s="636"/>
      <c r="S437" s="352" t="str">
        <f t="shared" ref="S437:S439" si="227">IF(T437="","",IF(T437&gt;=20%,"CUMPLE","NO CUMPLE"))</f>
        <v/>
      </c>
      <c r="T437" s="656" t="str">
        <f t="shared" si="222"/>
        <v/>
      </c>
      <c r="U437" s="586"/>
      <c r="W437" s="594">
        <v>2</v>
      </c>
      <c r="X437" s="595" t="str">
        <f>IF(AND(W437&lt;=$T433,$T433&gt;1,$T433&lt;&gt;""),VLOOKUP(VALUE($F430&amp;","&amp;W437),INTEGRANTES!$D$19:$G$106,2,0),"")</f>
        <v>TERRA PROYECTOS SAS</v>
      </c>
      <c r="Y437" s="596">
        <f>IF(X437&lt;&gt;"",VLOOKUP(VALUE($F430&amp;","&amp;$W437),INTEGRANTES!$D$19:$G$106,3,0),"")</f>
        <v>0.1</v>
      </c>
      <c r="Z437" s="597">
        <f t="shared" ref="Z437" si="228">IF(X437="","",SUMIF($J436:$J441,$X437,$N436:$N441))</f>
        <v>0</v>
      </c>
      <c r="AA437" s="604" t="str">
        <f t="shared" ref="AA437" si="229">IF($Y437="","",IF(AND($Y437&gt;=20%,$Z437&gt;=$Z442),"CUMPLE","NO CUMPLE"))</f>
        <v>NO CUMPLE</v>
      </c>
      <c r="AB437" s="680"/>
      <c r="AC437" s="593" t="str">
        <f t="shared" si="225"/>
        <v>NO CUMPLE</v>
      </c>
      <c r="AD437" s="680"/>
      <c r="AE437" s="593" t="str">
        <f t="shared" si="226"/>
        <v>NO CUMPLE</v>
      </c>
    </row>
    <row r="438" spans="1:31" s="353" customFormat="1" ht="22.5" customHeight="1">
      <c r="A438" s="351"/>
      <c r="B438" s="342" t="str">
        <f t="shared" ref="B438:B441" si="230">IF(D438="","",B437+1)</f>
        <v/>
      </c>
      <c r="C438" s="619"/>
      <c r="D438" s="620"/>
      <c r="E438" s="628"/>
      <c r="F438" s="622"/>
      <c r="G438" s="623"/>
      <c r="H438" s="624"/>
      <c r="I438" s="625"/>
      <c r="J438" s="629"/>
      <c r="K438" s="627"/>
      <c r="L438" s="618"/>
      <c r="M438" s="556" t="str">
        <f t="shared" ref="M438:M441" si="231">IF(OR(K438="",L438=""),"",IF(I438="SI",H438*L438,""))</f>
        <v/>
      </c>
      <c r="N438" s="504" t="str">
        <f>IF(OR(I438="",M438=""),"",IF(I438="SI",ROUND(M438,3),0))</f>
        <v/>
      </c>
      <c r="O438" s="636"/>
      <c r="Q438" s="352" t="str">
        <f t="shared" si="221"/>
        <v/>
      </c>
      <c r="R438" s="636"/>
      <c r="S438" s="352" t="str">
        <f t="shared" si="227"/>
        <v/>
      </c>
      <c r="T438" s="656" t="str">
        <f t="shared" si="222"/>
        <v/>
      </c>
      <c r="U438" s="586"/>
      <c r="W438" s="594">
        <v>3</v>
      </c>
      <c r="X438" s="595" t="str">
        <f>IF(AND(W438&lt;=$T435,$T435&gt;1,$T435&lt;&gt;""),VLOOKUP(VALUE($F432&amp;","&amp;W438),INTEGRANTES!$D$19:$G$106,2,0),"")</f>
        <v/>
      </c>
      <c r="Y438" s="596" t="str">
        <f>IF(X438&lt;&gt;"",VLOOKUP(VALUE($F432&amp;","&amp;$W438),INTEGRANTES!$D$19:$G$106,3,0),"")</f>
        <v/>
      </c>
      <c r="Z438" s="597" t="str">
        <f t="shared" ref="Z438" si="232">IF(X438="","",SUMIF($J438:$J443,$X438,$N438:$N443))</f>
        <v/>
      </c>
      <c r="AA438" s="604" t="str">
        <f t="shared" ref="AA438" si="233">IF($Y438="","",IF(AND($Y438&gt;=20%,$Z438&gt;=$Z444),"CUMPLE","NO CUMPLE"))</f>
        <v/>
      </c>
      <c r="AB438" s="680"/>
      <c r="AC438" s="593" t="str">
        <f t="shared" si="225"/>
        <v/>
      </c>
      <c r="AD438" s="680"/>
      <c r="AE438" s="593" t="str">
        <f t="shared" si="226"/>
        <v/>
      </c>
    </row>
    <row r="439" spans="1:31" s="353" customFormat="1" ht="22.5" customHeight="1">
      <c r="A439" s="351"/>
      <c r="B439" s="342" t="str">
        <f t="shared" si="230"/>
        <v/>
      </c>
      <c r="C439" s="619"/>
      <c r="D439" s="620"/>
      <c r="E439" s="628"/>
      <c r="F439" s="622"/>
      <c r="G439" s="623"/>
      <c r="H439" s="624"/>
      <c r="I439" s="625"/>
      <c r="J439" s="629"/>
      <c r="K439" s="627"/>
      <c r="L439" s="618"/>
      <c r="M439" s="555" t="str">
        <f t="shared" si="231"/>
        <v/>
      </c>
      <c r="N439" s="504" t="str">
        <f>IF(OR(I439="",M439=""),"",IF(I439="SI",ROUND(M439,3),0))</f>
        <v/>
      </c>
      <c r="O439" s="636"/>
      <c r="Q439" s="352" t="str">
        <f t="shared" si="221"/>
        <v/>
      </c>
      <c r="R439" s="636"/>
      <c r="S439" s="352" t="str">
        <f t="shared" si="227"/>
        <v/>
      </c>
      <c r="T439" s="656" t="str">
        <f t="shared" si="222"/>
        <v/>
      </c>
      <c r="U439" s="586"/>
      <c r="W439" s="594">
        <v>4</v>
      </c>
      <c r="X439" s="595" t="str">
        <f>IF(AND(W439&lt;=$T435,$T435&gt;1,$T435&lt;&gt;""),VLOOKUP(VALUE($F432&amp;","&amp;W439),INTEGRANTES!$D$19:$G$106,2,0),"")</f>
        <v/>
      </c>
      <c r="Y439" s="596" t="str">
        <f>IF(X439&lt;&gt;"",VLOOKUP(VALUE($F432&amp;","&amp;$W439),INTEGRANTES!$D$19:$G$106,3,0),"")</f>
        <v/>
      </c>
      <c r="Z439" s="597" t="str">
        <f t="shared" ref="Z439" si="234">IF(X439="","",SUMIF($J438:$J443,$X439,$N438:$N443))</f>
        <v/>
      </c>
      <c r="AA439" s="604" t="str">
        <f t="shared" ref="AA439" si="235">IF($Y439="","",IF(AND($Y439&gt;=20%,$Z439&gt;=$Z444),"CUMPLE","NO CUMPLE"))</f>
        <v/>
      </c>
      <c r="AB439" s="680"/>
      <c r="AC439" s="593" t="str">
        <f t="shared" si="225"/>
        <v/>
      </c>
      <c r="AD439" s="680"/>
      <c r="AE439" s="593" t="str">
        <f t="shared" si="226"/>
        <v/>
      </c>
    </row>
    <row r="440" spans="1:31" s="353" customFormat="1" ht="22.5" customHeight="1">
      <c r="A440" s="351"/>
      <c r="B440" s="342" t="str">
        <f t="shared" si="230"/>
        <v/>
      </c>
      <c r="C440" s="619"/>
      <c r="D440" s="620"/>
      <c r="E440" s="628"/>
      <c r="F440" s="622"/>
      <c r="G440" s="623"/>
      <c r="H440" s="624"/>
      <c r="I440" s="625"/>
      <c r="J440" s="629"/>
      <c r="K440" s="627"/>
      <c r="L440" s="618"/>
      <c r="M440" s="556" t="str">
        <f t="shared" si="231"/>
        <v/>
      </c>
      <c r="N440" s="504" t="str">
        <f>IF(OR(I440="",M440=""),"",IF(I440="SI",ROUND(M440,3),0))</f>
        <v/>
      </c>
      <c r="O440" s="636"/>
      <c r="Q440" s="352" t="str">
        <f t="shared" ref="Q440:Q441" si="236">IF(K440="","",IF(AND(YEAR(K440)&gt;=YEAR($M$15), I440="SI",K440&lt;=$N$15),"CUMPLE","NO CUMPLE"))</f>
        <v/>
      </c>
      <c r="R440" s="636"/>
      <c r="S440" s="352" t="str">
        <f t="shared" ref="S440:S441" si="237">IF(T440="","",IF(T440&gt;=20%,"CUMPLE","NO CUMPLE"))</f>
        <v/>
      </c>
      <c r="T440" s="656" t="str">
        <f t="shared" ref="T440:T441" si="238">IF(R440="","",VLOOKUP(J440,INTEGRAN,2,FALSE))</f>
        <v/>
      </c>
      <c r="U440" s="586"/>
      <c r="W440" s="594">
        <v>5</v>
      </c>
      <c r="X440" s="595" t="str">
        <f>IF(AND(W440&lt;=$T437,$T437&gt;1,$T437&lt;&gt;""),VLOOKUP(VALUE($F434&amp;","&amp;W440),INTEGRANTES!$D$19:$G$106,2,0),"")</f>
        <v/>
      </c>
      <c r="Y440" s="596" t="str">
        <f>IF(X440&lt;&gt;"",VLOOKUP(VALUE($F434&amp;","&amp;$W440),INTEGRANTES!$D$19:$G$106,3,0),"")</f>
        <v/>
      </c>
      <c r="Z440" s="597" t="str">
        <f t="shared" ref="Z440" si="239">IF(X440="","",SUMIF($J440:$J445,$X440,$N440:$N445))</f>
        <v/>
      </c>
      <c r="AA440" s="604" t="str">
        <f t="shared" ref="AA440" si="240">IF($Y440="","",IF(AND($Y440&gt;=20%,$Z440&gt;=$Z446),"CUMPLE","NO CUMPLE"))</f>
        <v/>
      </c>
      <c r="AB440" s="680"/>
      <c r="AC440" s="593" t="str">
        <f t="shared" si="225"/>
        <v/>
      </c>
      <c r="AD440" s="680"/>
      <c r="AE440" s="593" t="str">
        <f t="shared" si="226"/>
        <v/>
      </c>
    </row>
    <row r="441" spans="1:31" s="353" customFormat="1" ht="22.5" customHeight="1">
      <c r="A441" s="351"/>
      <c r="B441" s="342" t="str">
        <f t="shared" si="230"/>
        <v/>
      </c>
      <c r="C441" s="619"/>
      <c r="D441" s="620"/>
      <c r="E441" s="628"/>
      <c r="F441" s="622"/>
      <c r="G441" s="623"/>
      <c r="H441" s="624"/>
      <c r="I441" s="625"/>
      <c r="J441" s="629"/>
      <c r="K441" s="627"/>
      <c r="L441" s="618"/>
      <c r="M441" s="555" t="str">
        <f t="shared" si="231"/>
        <v/>
      </c>
      <c r="N441" s="504" t="str">
        <f>IF(OR(I441="",M441=""),"",IF(I441="SI",ROUND(M441,3),0))</f>
        <v/>
      </c>
      <c r="O441" s="636"/>
      <c r="Q441" s="352" t="str">
        <f t="shared" si="236"/>
        <v/>
      </c>
      <c r="R441" s="636"/>
      <c r="S441" s="352" t="str">
        <f t="shared" si="237"/>
        <v/>
      </c>
      <c r="T441" s="656" t="str">
        <f t="shared" si="238"/>
        <v/>
      </c>
      <c r="U441" s="586"/>
      <c r="W441" s="599">
        <v>6</v>
      </c>
      <c r="X441" s="595" t="str">
        <f>IF(AND(W441&lt;=$T437,$T437&gt;1,$T437&lt;&gt;""),VLOOKUP(VALUE($F434&amp;","&amp;W441),INTEGRANTES!$D$19:$G$106,2,0),"")</f>
        <v/>
      </c>
      <c r="Y441" s="606" t="str">
        <f>IF(X441&lt;&gt;"",VLOOKUP(VALUE($F434&amp;","&amp;$W441),INTEGRANTES!$D$19:$G$106,3,0),"")</f>
        <v/>
      </c>
      <c r="Z441" s="607" t="str">
        <f t="shared" ref="Z441" si="241">IF(X441="","",SUMIF($J440:$J445,$X441,$N440:$N445))</f>
        <v/>
      </c>
      <c r="AA441" s="608" t="str">
        <f t="shared" ref="AA441" si="242">IF($Y441="","",IF(AND($Y441&gt;=20%,$Z441&gt;=$Z446),"CUMPLE","NO CUMPLE"))</f>
        <v/>
      </c>
      <c r="AB441" s="680"/>
      <c r="AC441" s="593" t="str">
        <f t="shared" si="225"/>
        <v/>
      </c>
      <c r="AD441" s="680"/>
      <c r="AE441" s="593" t="str">
        <f t="shared" si="226"/>
        <v/>
      </c>
    </row>
    <row r="442" spans="1:31" ht="5.0999999999999996" customHeight="1" thickBot="1">
      <c r="B442" s="354"/>
      <c r="C442" s="359"/>
      <c r="D442" s="355"/>
      <c r="E442" s="368"/>
      <c r="F442" s="355"/>
      <c r="G442" s="355"/>
      <c r="H442" s="355"/>
      <c r="I442" s="356"/>
      <c r="J442" s="357"/>
      <c r="K442" s="358"/>
      <c r="L442" s="355"/>
      <c r="M442" s="356"/>
      <c r="N442" s="360"/>
      <c r="O442" s="352" t="str">
        <f>IF(L442="","",IF(AND(L442&gt;=YEAR($M$15), J442="SI",L442&lt;=S436),"CUMPLE","NO CUMPLE"))</f>
        <v/>
      </c>
      <c r="Q442" s="352" t="str">
        <f>IF(N442="","",IF(AND(N442&gt;=YEAR($M$15), L442="SI",N442&lt;=V436),"CUMPLE","NO CUMPLE"))</f>
        <v/>
      </c>
      <c r="R442" s="352" t="str">
        <f>IF(P442="","",IF(AND(P442&gt;=YEAR($M$15), M442="SI",P442&lt;=W436),"CUMPLE","NO CUMPLE"))</f>
        <v/>
      </c>
      <c r="S442" s="352" t="str">
        <f>IF(P442="","",IF(AND(P442&gt;=YEAR($M$15), N442="SI",P442&lt;=X436),"CUMPLE","NO CUMPLE"))</f>
        <v/>
      </c>
      <c r="T442" s="564"/>
      <c r="U442" s="586"/>
      <c r="W442" s="600"/>
      <c r="X442" s="600"/>
      <c r="Y442" s="600"/>
      <c r="Z442" s="605">
        <f>MAX(Z436:Z441)</f>
        <v>347.02</v>
      </c>
      <c r="AA442" s="600"/>
      <c r="AB442" s="602"/>
      <c r="AC442" s="602"/>
      <c r="AD442" s="602"/>
      <c r="AE442" s="602"/>
    </row>
    <row r="443" spans="1:31" s="52" customFormat="1" ht="17.100000000000001" customHeight="1" thickTop="1" thickBot="1">
      <c r="A443" s="361">
        <f>F430</f>
        <v>24</v>
      </c>
      <c r="B443" s="364"/>
      <c r="C443" s="379"/>
      <c r="D443" s="664"/>
      <c r="E443" s="752"/>
      <c r="F443" s="752"/>
      <c r="G443" s="752"/>
      <c r="H443" s="752"/>
      <c r="I443" s="752"/>
      <c r="J443" s="752"/>
      <c r="K443" s="752"/>
      <c r="L443" s="753"/>
      <c r="M443" s="754"/>
      <c r="N443" s="365">
        <f>SUM(N436:N442)</f>
        <v>347.02</v>
      </c>
      <c r="O443" s="373"/>
      <c r="Q443" s="373" t="str">
        <f>IF(COUNTIF(Q436:Q439,"CUMPLE")&gt;0,"CUMPLE","NO CUMPLE")</f>
        <v>CUMPLE</v>
      </c>
      <c r="R443" s="374" t="str">
        <f>IF(COUNTIF(R436:R439,"COLOMBIA")&gt;0,"CUMPLE","NO CUMPLE")</f>
        <v>CUMPLE</v>
      </c>
      <c r="S443" s="373" t="str">
        <f>IF(COUNTIF(S436:S439,"CUMPLE")&gt;0,"CUMPLE","NO CUMPLE")</f>
        <v>CUMPLE</v>
      </c>
      <c r="T443" s="566"/>
      <c r="U443" s="587"/>
      <c r="AA443" s="589" t="str">
        <f>IF(COUNTIF(AA436:AA441,"CUMPLE")&gt;0,"CUMPLE","NO CUMPLE")</f>
        <v>CUMPLE</v>
      </c>
      <c r="AB443" s="735" t="str">
        <f>IF(COUNTIF(AC436:AC441,"CUMPLE")&gt;0,"CUMPLE","NO CUMPLE")</f>
        <v>CUMPLE</v>
      </c>
      <c r="AC443" s="736"/>
      <c r="AD443" s="735" t="str">
        <f>IF(COUNTIF(AE436:AE441,"CUMPLE")&gt;0,"CUMPLE","NO CUMPLE")</f>
        <v>CUMPLE</v>
      </c>
      <c r="AE443" s="736"/>
    </row>
    <row r="444" spans="1:31" ht="16.5" thickTop="1">
      <c r="B444" s="557"/>
      <c r="C444" s="558"/>
      <c r="D444" s="558"/>
      <c r="E444" s="558"/>
      <c r="F444" s="558"/>
      <c r="G444" s="558"/>
      <c r="H444" s="558"/>
      <c r="I444" s="558"/>
      <c r="J444" s="558"/>
      <c r="K444" s="558"/>
      <c r="L444" s="80"/>
      <c r="M444" s="362" t="s">
        <v>516</v>
      </c>
      <c r="N444" s="369">
        <f ca="1">VFrequerido!Y38</f>
        <v>342.54</v>
      </c>
      <c r="O444" s="568"/>
      <c r="Q444" s="570"/>
      <c r="R444" s="571"/>
      <c r="S444" s="572"/>
      <c r="T444" s="573"/>
      <c r="U444" s="80"/>
    </row>
    <row r="445" spans="1:31" ht="15.75" thickBot="1">
      <c r="A445" s="490" t="str">
        <f>"E"&amp;F430</f>
        <v>E24</v>
      </c>
      <c r="B445" s="559"/>
      <c r="C445" s="560"/>
      <c r="D445" s="560"/>
      <c r="E445" s="560"/>
      <c r="F445" s="560"/>
      <c r="G445" s="560"/>
      <c r="H445" s="560"/>
      <c r="I445" s="560"/>
      <c r="J445" s="560"/>
      <c r="K445" s="560"/>
      <c r="L445" s="363"/>
      <c r="M445" s="755" t="str">
        <f ca="1">IF(OR(N443=0,N443&lt;N444),"NO CUMPLE","CUMPLE")</f>
        <v>CUMPLE</v>
      </c>
      <c r="N445" s="756"/>
      <c r="O445" s="569"/>
      <c r="Q445" s="492"/>
      <c r="R445" s="493"/>
      <c r="S445" s="363"/>
      <c r="T445" s="574"/>
      <c r="U445" s="80"/>
    </row>
    <row r="446" spans="1:31" ht="13.5" thickTop="1"/>
    <row r="448" spans="1:31">
      <c r="F448" s="757">
        <f>F430+1</f>
        <v>25</v>
      </c>
      <c r="G448" s="758" t="str">
        <f>VLOOKUP(F448,PROPO,2,FALSE)</f>
        <v>CONSORCIO ROCA</v>
      </c>
      <c r="H448" s="758"/>
      <c r="I448" s="758"/>
      <c r="J448" s="758"/>
      <c r="K448" s="52"/>
      <c r="O448" s="52"/>
      <c r="Q448" s="52"/>
      <c r="R448" s="52"/>
    </row>
    <row r="449" spans="1:31">
      <c r="B449" s="328"/>
      <c r="C449" s="328"/>
      <c r="D449" s="328"/>
      <c r="E449" s="328"/>
      <c r="F449" s="757"/>
      <c r="G449" s="758"/>
      <c r="H449" s="758"/>
      <c r="I449" s="758"/>
      <c r="J449" s="758"/>
      <c r="K449" s="52"/>
      <c r="N449" s="567"/>
      <c r="O449" s="52"/>
      <c r="Q449" s="52"/>
      <c r="R449" s="52"/>
    </row>
    <row r="450" spans="1:31" ht="13.5" thickBot="1">
      <c r="B450" s="329"/>
      <c r="C450" s="329"/>
      <c r="D450" s="56"/>
      <c r="E450" s="56"/>
      <c r="F450" s="56"/>
      <c r="G450" s="56"/>
      <c r="H450" s="56"/>
      <c r="I450" s="56"/>
      <c r="J450" s="56"/>
      <c r="K450" s="330"/>
      <c r="L450" s="331"/>
      <c r="M450" s="331"/>
      <c r="N450" s="330"/>
      <c r="O450" s="330"/>
      <c r="Q450" s="330"/>
      <c r="R450" s="330"/>
    </row>
    <row r="451" spans="1:31" ht="50.1" customHeight="1" thickTop="1" thickBot="1">
      <c r="B451" s="332" t="s">
        <v>16</v>
      </c>
      <c r="C451" s="744" t="s">
        <v>121</v>
      </c>
      <c r="D451" s="333" t="s">
        <v>17</v>
      </c>
      <c r="E451" s="746" t="s">
        <v>18</v>
      </c>
      <c r="F451" s="747"/>
      <c r="G451" s="748" t="s">
        <v>117</v>
      </c>
      <c r="H451" s="749"/>
      <c r="I451" s="744" t="s">
        <v>39</v>
      </c>
      <c r="J451" s="744" t="s">
        <v>0</v>
      </c>
      <c r="K451" s="665" t="s">
        <v>19</v>
      </c>
      <c r="L451" s="750" t="s">
        <v>20</v>
      </c>
      <c r="M451" s="751"/>
      <c r="N451" s="68" t="s">
        <v>52</v>
      </c>
      <c r="O451" s="501" t="s">
        <v>151</v>
      </c>
      <c r="Q451" s="665" t="s">
        <v>127</v>
      </c>
      <c r="R451" s="665" t="s">
        <v>138</v>
      </c>
      <c r="S451" s="665" t="s">
        <v>163</v>
      </c>
      <c r="T451" s="565">
        <f>IF(VLOOKUP(F448,PROPONENTES!$C$19:$E$54,3,0)="","",VLOOKUP(F448,PROPONENTES!$C$19:$E$54,3,0))</f>
        <v>2</v>
      </c>
      <c r="U451" s="582"/>
      <c r="W451" s="737" t="s">
        <v>167</v>
      </c>
      <c r="X451" s="738"/>
      <c r="Y451" s="738"/>
      <c r="Z451" s="738"/>
      <c r="AA451" s="738"/>
      <c r="AB451" s="738"/>
      <c r="AC451" s="738"/>
      <c r="AD451" s="738"/>
      <c r="AE451" s="739"/>
    </row>
    <row r="452" spans="1:31" ht="50.1" customHeight="1" thickTop="1" thickBot="1">
      <c r="B452" s="334" t="s">
        <v>21</v>
      </c>
      <c r="C452" s="745"/>
      <c r="D452" s="335" t="s">
        <v>22</v>
      </c>
      <c r="E452" s="366" t="s">
        <v>23</v>
      </c>
      <c r="F452" s="336" t="s">
        <v>24</v>
      </c>
      <c r="G452" s="337" t="s">
        <v>118</v>
      </c>
      <c r="H452" s="338" t="s">
        <v>119</v>
      </c>
      <c r="I452" s="745"/>
      <c r="J452" s="745"/>
      <c r="K452" s="663" t="s">
        <v>120</v>
      </c>
      <c r="L452" s="339" t="s">
        <v>150</v>
      </c>
      <c r="M452" s="340" t="s">
        <v>14</v>
      </c>
      <c r="N452" s="341" t="s">
        <v>14</v>
      </c>
      <c r="O452" s="502" t="s">
        <v>152</v>
      </c>
      <c r="Q452" s="663" t="s">
        <v>128</v>
      </c>
      <c r="R452" s="663" t="s">
        <v>139</v>
      </c>
      <c r="S452" s="663" t="s">
        <v>164</v>
      </c>
      <c r="T452" s="575" t="s">
        <v>83</v>
      </c>
      <c r="U452" s="583"/>
      <c r="W452" s="740" t="s">
        <v>166</v>
      </c>
      <c r="X452" s="743"/>
      <c r="Y452" s="663" t="s">
        <v>168</v>
      </c>
      <c r="Z452" s="663" t="s">
        <v>169</v>
      </c>
      <c r="AA452" s="663" t="s">
        <v>174</v>
      </c>
      <c r="AB452" s="740" t="s">
        <v>524</v>
      </c>
      <c r="AC452" s="741"/>
      <c r="AD452" s="742" t="s">
        <v>522</v>
      </c>
      <c r="AE452" s="741"/>
    </row>
    <row r="453" spans="1:31" ht="14.25" hidden="1" customHeight="1">
      <c r="B453" s="342">
        <v>0</v>
      </c>
      <c r="C453" s="347"/>
      <c r="D453" s="343"/>
      <c r="E453" s="367"/>
      <c r="F453" s="344"/>
      <c r="G453" s="345"/>
      <c r="H453" s="346"/>
      <c r="I453" s="347"/>
      <c r="J453" s="347"/>
      <c r="K453" s="347"/>
      <c r="L453" s="348"/>
      <c r="M453" s="349"/>
      <c r="N453" s="350"/>
      <c r="O453" s="347"/>
      <c r="Q453" s="347"/>
      <c r="R453" s="347"/>
      <c r="S453" s="347"/>
      <c r="T453" s="563"/>
      <c r="U453" s="584"/>
      <c r="W453" s="502" t="s">
        <v>166</v>
      </c>
      <c r="X453" s="502"/>
      <c r="Y453" s="502" t="s">
        <v>168</v>
      </c>
      <c r="Z453" s="502" t="s">
        <v>169</v>
      </c>
      <c r="AA453" s="502" t="s">
        <v>170</v>
      </c>
      <c r="AB453" s="661" t="s">
        <v>170</v>
      </c>
      <c r="AC453" s="661" t="s">
        <v>170</v>
      </c>
      <c r="AD453" s="661" t="s">
        <v>170</v>
      </c>
      <c r="AE453" s="661" t="s">
        <v>170</v>
      </c>
    </row>
    <row r="454" spans="1:31" s="353" customFormat="1" ht="22.5" customHeight="1" thickTop="1">
      <c r="A454" s="351"/>
      <c r="B454" s="342">
        <f>IF(D454="","",B453+1)</f>
        <v>1</v>
      </c>
      <c r="C454" s="609">
        <v>44</v>
      </c>
      <c r="D454" s="610" t="s">
        <v>475</v>
      </c>
      <c r="E454" s="611" t="s">
        <v>476</v>
      </c>
      <c r="F454" s="612" t="s">
        <v>480</v>
      </c>
      <c r="G454" s="613" t="s">
        <v>172</v>
      </c>
      <c r="H454" s="614">
        <v>0.5</v>
      </c>
      <c r="I454" s="615" t="s">
        <v>173</v>
      </c>
      <c r="J454" s="616" t="s">
        <v>328</v>
      </c>
      <c r="K454" s="617">
        <v>41795</v>
      </c>
      <c r="L454" s="618">
        <v>334.65</v>
      </c>
      <c r="M454" s="494">
        <f>IF(OR(K454="",L454=""),"",IF(I454="SI",H454*L454,""))</f>
        <v>167.32499999999999</v>
      </c>
      <c r="N454" s="503">
        <f>IF(OR(I454="",M454=""),"",IF(I454="NO",0,IF(I454="SI",ROUND(M454,3),0)))</f>
        <v>167.32499999999999</v>
      </c>
      <c r="O454" s="636"/>
      <c r="Q454" s="352" t="str">
        <f t="shared" ref="Q454:Q459" si="243">IF(K454="","",IF(AND(YEAR(K454)&gt;=YEAR($M$15), I454="SI",K454&lt;=$N$15),"CUMPLE","NO CUMPLE"))</f>
        <v>CUMPLE</v>
      </c>
      <c r="R454" s="636" t="s">
        <v>140</v>
      </c>
      <c r="S454" s="352" t="str">
        <f>IF(T454="","",IF(T454&gt;=20%,"CUMPLE","NO CUMPLE"))</f>
        <v>CUMPLE</v>
      </c>
      <c r="T454" s="656">
        <f t="shared" ref="T454:T455" si="244">IF(R454="","",VLOOKUP(J454,INTEGRAN,2,FALSE))</f>
        <v>0.6</v>
      </c>
      <c r="U454" s="585"/>
      <c r="W454" s="594">
        <v>1</v>
      </c>
      <c r="X454" s="595" t="str">
        <f>IF(AND(W454&lt;=$T451,$T451&gt;1,$T451&lt;&gt;""),VLOOKUP(VALUE($F448&amp;","&amp;W454),INTEGRANTES!$D$19:$G$106,2,0),"")</f>
        <v>GERARDO CORREDOR VILLALBA</v>
      </c>
      <c r="Y454" s="596">
        <f>IF(X454&lt;&gt;"",VLOOKUP(VALUE($F448&amp;","&amp;$W454),INTEGRANTES!$D$19:$G$106,3,0),"")</f>
        <v>0.6</v>
      </c>
      <c r="Z454" s="597">
        <f t="shared" ref="Z454" si="245">IF(X454="","",SUMIF($J454:$J459,$X454,$N454:$N459))</f>
        <v>836.55499999999995</v>
      </c>
      <c r="AA454" s="604" t="str">
        <f t="shared" ref="AA454" si="246">IF($Y454="","",IF(AND($Y454&gt;=20%,$Z454&gt;=$Z460),"CUMPLE","NO CUMPLE"))</f>
        <v>CUMPLE</v>
      </c>
      <c r="AB454" s="679"/>
      <c r="AC454" s="592" t="str">
        <f t="shared" ref="AC454:AC459" si="247">IF(X454="","",IF(AND(Y454&gt;=40%,AB454="SI"),"CUMPLE","NO CUMPLE"))</f>
        <v>NO CUMPLE</v>
      </c>
      <c r="AD454" s="679"/>
      <c r="AE454" s="593" t="str">
        <f t="shared" ref="AE454:AE459" si="248">IF(X454="","",IF(AD454="SI","CUMPLE","NO CUMPLE"))</f>
        <v>NO CUMPLE</v>
      </c>
    </row>
    <row r="455" spans="1:31" s="353" customFormat="1" ht="47.25" customHeight="1">
      <c r="A455" s="351"/>
      <c r="B455" s="342">
        <f>IF(D455="","",B454+1)</f>
        <v>2</v>
      </c>
      <c r="C455" s="619">
        <v>38</v>
      </c>
      <c r="D455" s="610" t="s">
        <v>475</v>
      </c>
      <c r="E455" s="621" t="s">
        <v>477</v>
      </c>
      <c r="F455" s="622" t="s">
        <v>481</v>
      </c>
      <c r="G455" s="623" t="s">
        <v>172</v>
      </c>
      <c r="H455" s="624">
        <v>0.5</v>
      </c>
      <c r="I455" s="625" t="s">
        <v>404</v>
      </c>
      <c r="J455" s="629" t="s">
        <v>328</v>
      </c>
      <c r="K455" s="627">
        <v>40518</v>
      </c>
      <c r="L455" s="618">
        <v>618.64</v>
      </c>
      <c r="M455" s="556" t="str">
        <f>IF(OR(K455="",L455=""),"",IF(I455="SI",H455*L455,""))</f>
        <v/>
      </c>
      <c r="N455" s="504" t="str">
        <f>IF(OR(I455="",M455=""),"",IF(I455="SI",ROUND(M455,3),0))</f>
        <v/>
      </c>
      <c r="O455" s="636"/>
      <c r="Q455" s="352" t="str">
        <f t="shared" si="243"/>
        <v>NO CUMPLE</v>
      </c>
      <c r="R455" s="636"/>
      <c r="S455" s="352" t="str">
        <f>IF(T455="","",IF(T455&gt;=20%,"CUMPLE","NO CUMPLE"))</f>
        <v/>
      </c>
      <c r="T455" s="656" t="str">
        <f t="shared" si="244"/>
        <v/>
      </c>
      <c r="U455" s="586"/>
      <c r="W455" s="594">
        <v>2</v>
      </c>
      <c r="X455" s="595" t="str">
        <f>IF(AND(W455&lt;=$T451,$T451&gt;1,$T451&lt;&gt;""),VLOOKUP(VALUE($F448&amp;","&amp;W455),INTEGRANTES!$D$19:$G$106,2,0),"")</f>
        <v>NOHORA MARIA ROJAS VERA</v>
      </c>
      <c r="Y455" s="596">
        <f>IF(X455&lt;&gt;"",VLOOKUP(VALUE($F448&amp;","&amp;$W455),INTEGRANTES!$D$19:$G$106,3,0),"")</f>
        <v>0.4</v>
      </c>
      <c r="Z455" s="597">
        <f t="shared" ref="Z455" si="249">IF(X455="","",SUMIF($J454:$J459,$X455,$N454:$N459))</f>
        <v>69.734999999999999</v>
      </c>
      <c r="AA455" s="604" t="str">
        <f t="shared" ref="AA455" si="250">IF($Y455="","",IF(AND($Y455&gt;=20%,$Z455&gt;=$Z460),"CUMPLE","NO CUMPLE"))</f>
        <v>NO CUMPLE</v>
      </c>
      <c r="AB455" s="680"/>
      <c r="AC455" s="593" t="str">
        <f t="shared" si="247"/>
        <v>NO CUMPLE</v>
      </c>
      <c r="AD455" s="680"/>
      <c r="AE455" s="593" t="str">
        <f t="shared" si="248"/>
        <v>NO CUMPLE</v>
      </c>
    </row>
    <row r="456" spans="1:31" s="353" customFormat="1" ht="22.5" customHeight="1">
      <c r="A456" s="351"/>
      <c r="B456" s="342">
        <f t="shared" ref="B456:B459" si="251">IF(D456="","",B455+1)</f>
        <v>3</v>
      </c>
      <c r="C456" s="619">
        <v>27</v>
      </c>
      <c r="D456" s="620" t="s">
        <v>217</v>
      </c>
      <c r="E456" s="628" t="s">
        <v>478</v>
      </c>
      <c r="F456" s="622" t="s">
        <v>482</v>
      </c>
      <c r="G456" s="623" t="s">
        <v>226</v>
      </c>
      <c r="H456" s="624">
        <v>1</v>
      </c>
      <c r="I456" s="625" t="s">
        <v>173</v>
      </c>
      <c r="J456" s="626" t="s">
        <v>328</v>
      </c>
      <c r="K456" s="627">
        <v>39349</v>
      </c>
      <c r="L456" s="618">
        <v>669.23</v>
      </c>
      <c r="M456" s="556">
        <f t="shared" ref="M456:M459" si="252">IF(OR(K456="",L456=""),"",IF(I456="SI",H456*L456,""))</f>
        <v>669.23</v>
      </c>
      <c r="N456" s="504">
        <f>IF(OR(I456="",M456=""),"",IF(I456="SI",ROUND(M456,3),0))</f>
        <v>669.23</v>
      </c>
      <c r="O456" s="636"/>
      <c r="Q456" s="352" t="str">
        <f t="shared" si="243"/>
        <v>NO CUMPLE</v>
      </c>
      <c r="R456" s="636"/>
      <c r="S456" s="352" t="str">
        <f>IF(T456="","",IF(T456&gt;=20%,"CUMPLE","NO CUMPLE"))</f>
        <v/>
      </c>
      <c r="T456" s="656" t="str">
        <f t="shared" ref="T456:T459" si="253">IF(R456="","",VLOOKUP(J456,INTEGRAN,2,FALSE))</f>
        <v/>
      </c>
      <c r="U456" s="586"/>
      <c r="W456" s="594">
        <v>3</v>
      </c>
      <c r="X456" s="595" t="str">
        <f>IF(AND(W456&lt;=$T453,$T453&gt;1,$T453&lt;&gt;""),VLOOKUP(VALUE($F450&amp;","&amp;W456),INTEGRANTES!$D$19:$G$106,2,0),"")</f>
        <v/>
      </c>
      <c r="Y456" s="596" t="str">
        <f>IF(X456&lt;&gt;"",VLOOKUP(VALUE($F450&amp;","&amp;$W456),INTEGRANTES!$D$19:$G$106,3,0),"")</f>
        <v/>
      </c>
      <c r="Z456" s="597" t="str">
        <f t="shared" ref="Z456" si="254">IF(X456="","",SUMIF($J456:$J461,$X456,$N456:$N461))</f>
        <v/>
      </c>
      <c r="AA456" s="604" t="str">
        <f t="shared" ref="AA456" si="255">IF($Y456="","",IF(AND($Y456&gt;=20%,$Z456&gt;=$Z462),"CUMPLE","NO CUMPLE"))</f>
        <v/>
      </c>
      <c r="AB456" s="680"/>
      <c r="AC456" s="593" t="str">
        <f t="shared" si="247"/>
        <v/>
      </c>
      <c r="AD456" s="680"/>
      <c r="AE456" s="593" t="str">
        <f t="shared" si="248"/>
        <v/>
      </c>
    </row>
    <row r="457" spans="1:31" s="353" customFormat="1" ht="22.5" customHeight="1">
      <c r="A457" s="351"/>
      <c r="B457" s="342">
        <f t="shared" si="251"/>
        <v>4</v>
      </c>
      <c r="C457" s="619">
        <v>7</v>
      </c>
      <c r="D457" s="620" t="s">
        <v>217</v>
      </c>
      <c r="E457" s="628" t="s">
        <v>479</v>
      </c>
      <c r="F457" s="622" t="s">
        <v>483</v>
      </c>
      <c r="G457" s="623" t="s">
        <v>172</v>
      </c>
      <c r="H457" s="624">
        <v>0.05</v>
      </c>
      <c r="I457" s="625" t="s">
        <v>173</v>
      </c>
      <c r="J457" s="629" t="s">
        <v>329</v>
      </c>
      <c r="K457" s="627">
        <v>43434</v>
      </c>
      <c r="L457" s="618">
        <v>1394.7</v>
      </c>
      <c r="M457" s="555">
        <f t="shared" si="252"/>
        <v>69.734999999999999</v>
      </c>
      <c r="N457" s="504">
        <f>IF(OR(I457="",M457=""),"",IF(I457="SI",ROUND(M457,3),0))</f>
        <v>69.734999999999999</v>
      </c>
      <c r="O457" s="636"/>
      <c r="Q457" s="352" t="str">
        <f t="shared" si="243"/>
        <v>CUMPLE</v>
      </c>
      <c r="R457" s="636" t="s">
        <v>140</v>
      </c>
      <c r="S457" s="352" t="str">
        <f>IF(T457="","",IF(T457&gt;=20%,"CUMPLE","NO CUMPLE"))</f>
        <v>CUMPLE</v>
      </c>
      <c r="T457" s="656">
        <f t="shared" si="253"/>
        <v>0.4</v>
      </c>
      <c r="U457" s="586"/>
      <c r="W457" s="594">
        <v>4</v>
      </c>
      <c r="X457" s="595" t="str">
        <f>IF(AND(W457&lt;=$T453,$T453&gt;1,$T453&lt;&gt;""),VLOOKUP(VALUE($F450&amp;","&amp;W457),INTEGRANTES!$D$19:$G$106,2,0),"")</f>
        <v/>
      </c>
      <c r="Y457" s="596" t="str">
        <f>IF(X457&lt;&gt;"",VLOOKUP(VALUE($F450&amp;","&amp;$W457),INTEGRANTES!$D$19:$G$106,3,0),"")</f>
        <v/>
      </c>
      <c r="Z457" s="597" t="str">
        <f t="shared" ref="Z457" si="256">IF(X457="","",SUMIF($J456:$J461,$X457,$N456:$N461))</f>
        <v/>
      </c>
      <c r="AA457" s="604" t="str">
        <f t="shared" ref="AA457" si="257">IF($Y457="","",IF(AND($Y457&gt;=20%,$Z457&gt;=$Z462),"CUMPLE","NO CUMPLE"))</f>
        <v/>
      </c>
      <c r="AB457" s="680"/>
      <c r="AC457" s="593" t="str">
        <f t="shared" si="247"/>
        <v/>
      </c>
      <c r="AD457" s="680"/>
      <c r="AE457" s="593" t="str">
        <f t="shared" si="248"/>
        <v/>
      </c>
    </row>
    <row r="458" spans="1:31" s="353" customFormat="1" ht="22.5" customHeight="1">
      <c r="A458" s="351"/>
      <c r="B458" s="342" t="str">
        <f t="shared" si="251"/>
        <v/>
      </c>
      <c r="C458" s="619"/>
      <c r="D458" s="620"/>
      <c r="E458" s="628"/>
      <c r="F458" s="622"/>
      <c r="G458" s="623"/>
      <c r="H458" s="624"/>
      <c r="I458" s="625"/>
      <c r="J458" s="629"/>
      <c r="K458" s="627"/>
      <c r="L458" s="618"/>
      <c r="M458" s="556" t="str">
        <f t="shared" si="252"/>
        <v/>
      </c>
      <c r="N458" s="504" t="str">
        <f>IF(OR(I458="",M458=""),"",IF(I458="SI",ROUND(M458,3),0))</f>
        <v/>
      </c>
      <c r="O458" s="636"/>
      <c r="Q458" s="352" t="str">
        <f t="shared" si="243"/>
        <v/>
      </c>
      <c r="R458" s="636"/>
      <c r="S458" s="352" t="str">
        <f t="shared" ref="S458:S459" si="258">IF(T458="","",IF(T458&gt;=20%,"CUMPLE","NO CUMPLE"))</f>
        <v/>
      </c>
      <c r="T458" s="656" t="str">
        <f t="shared" si="253"/>
        <v/>
      </c>
      <c r="U458" s="586"/>
      <c r="W458" s="594">
        <v>5</v>
      </c>
      <c r="X458" s="595" t="str">
        <f>IF(AND(W458&lt;=$T455,$T455&gt;1,$T455&lt;&gt;""),VLOOKUP(VALUE($F452&amp;","&amp;W458),INTEGRANTES!$D$19:$G$106,2,0),"")</f>
        <v/>
      </c>
      <c r="Y458" s="596" t="str">
        <f>IF(X458&lt;&gt;"",VLOOKUP(VALUE($F452&amp;","&amp;$W458),INTEGRANTES!$D$19:$G$106,3,0),"")</f>
        <v/>
      </c>
      <c r="Z458" s="597" t="str">
        <f t="shared" ref="Z458" si="259">IF(X458="","",SUMIF($J458:$J463,$X458,$N458:$N463))</f>
        <v/>
      </c>
      <c r="AA458" s="604" t="str">
        <f t="shared" ref="AA458" si="260">IF($Y458="","",IF(AND($Y458&gt;=20%,$Z458&gt;=$Z464),"CUMPLE","NO CUMPLE"))</f>
        <v/>
      </c>
      <c r="AB458" s="680"/>
      <c r="AC458" s="593" t="str">
        <f t="shared" si="247"/>
        <v/>
      </c>
      <c r="AD458" s="680"/>
      <c r="AE458" s="593" t="str">
        <f t="shared" si="248"/>
        <v/>
      </c>
    </row>
    <row r="459" spans="1:31" s="353" customFormat="1" ht="22.5" customHeight="1">
      <c r="A459" s="351"/>
      <c r="B459" s="342" t="str">
        <f t="shared" si="251"/>
        <v/>
      </c>
      <c r="C459" s="619"/>
      <c r="D459" s="620"/>
      <c r="E459" s="628"/>
      <c r="F459" s="622"/>
      <c r="G459" s="623"/>
      <c r="H459" s="624"/>
      <c r="I459" s="625"/>
      <c r="J459" s="629"/>
      <c r="K459" s="627"/>
      <c r="L459" s="618"/>
      <c r="M459" s="555" t="str">
        <f t="shared" si="252"/>
        <v/>
      </c>
      <c r="N459" s="504" t="str">
        <f>IF(OR(I459="",M459=""),"",IF(I459="SI",ROUND(M459,3),0))</f>
        <v/>
      </c>
      <c r="O459" s="636"/>
      <c r="Q459" s="352" t="str">
        <f t="shared" si="243"/>
        <v/>
      </c>
      <c r="R459" s="636"/>
      <c r="S459" s="352" t="str">
        <f t="shared" si="258"/>
        <v/>
      </c>
      <c r="T459" s="656" t="str">
        <f t="shared" si="253"/>
        <v/>
      </c>
      <c r="U459" s="586"/>
      <c r="W459" s="599">
        <v>6</v>
      </c>
      <c r="X459" s="595" t="str">
        <f>IF(AND(W459&lt;=$T455,$T455&gt;1,$T455&lt;&gt;""),VLOOKUP(VALUE($F452&amp;","&amp;W459),INTEGRANTES!$D$19:$G$106,2,0),"")</f>
        <v/>
      </c>
      <c r="Y459" s="606" t="str">
        <f>IF(X459&lt;&gt;"",VLOOKUP(VALUE($F452&amp;","&amp;$W459),INTEGRANTES!$D$19:$G$106,3,0),"")</f>
        <v/>
      </c>
      <c r="Z459" s="607" t="str">
        <f t="shared" ref="Z459" si="261">IF(X459="","",SUMIF($J458:$J463,$X459,$N458:$N463))</f>
        <v/>
      </c>
      <c r="AA459" s="608" t="str">
        <f t="shared" ref="AA459" si="262">IF($Y459="","",IF(AND($Y459&gt;=20%,$Z459&gt;=$Z464),"CUMPLE","NO CUMPLE"))</f>
        <v/>
      </c>
      <c r="AB459" s="680"/>
      <c r="AC459" s="593" t="str">
        <f t="shared" si="247"/>
        <v/>
      </c>
      <c r="AD459" s="680"/>
      <c r="AE459" s="593" t="str">
        <f t="shared" si="248"/>
        <v/>
      </c>
    </row>
    <row r="460" spans="1:31" ht="5.0999999999999996" customHeight="1" thickBot="1">
      <c r="B460" s="354"/>
      <c r="C460" s="359"/>
      <c r="D460" s="355"/>
      <c r="E460" s="368"/>
      <c r="F460" s="355"/>
      <c r="G460" s="355"/>
      <c r="H460" s="355"/>
      <c r="I460" s="356"/>
      <c r="J460" s="357"/>
      <c r="K460" s="358"/>
      <c r="L460" s="355"/>
      <c r="M460" s="356"/>
      <c r="N460" s="360"/>
      <c r="O460" s="352" t="str">
        <f>IF(L460="","",IF(AND(L460&gt;=YEAR($M$15), J460="SI",L460&lt;=S454),"CUMPLE","NO CUMPLE"))</f>
        <v/>
      </c>
      <c r="Q460" s="352" t="str">
        <f>IF(N460="","",IF(AND(N460&gt;=YEAR($M$15), L460="SI",N460&lt;=V454),"CUMPLE","NO CUMPLE"))</f>
        <v/>
      </c>
      <c r="R460" s="352" t="str">
        <f>IF(P460="","",IF(AND(P460&gt;=YEAR($M$15), M460="SI",P460&lt;=W454),"CUMPLE","NO CUMPLE"))</f>
        <v/>
      </c>
      <c r="S460" s="352" t="str">
        <f>IF(P460="","",IF(AND(P460&gt;=YEAR($M$15), N460="SI",P460&lt;=X454),"CUMPLE","NO CUMPLE"))</f>
        <v/>
      </c>
      <c r="T460" s="564"/>
      <c r="U460" s="586"/>
      <c r="W460" s="600"/>
      <c r="X460" s="600"/>
      <c r="Y460" s="600"/>
      <c r="Z460" s="605">
        <f>MAX(Z454:Z459)</f>
        <v>836.55499999999995</v>
      </c>
      <c r="AA460" s="600"/>
      <c r="AB460" s="602"/>
      <c r="AC460" s="602"/>
      <c r="AD460" s="602"/>
      <c r="AE460" s="602"/>
    </row>
    <row r="461" spans="1:31" s="52" customFormat="1" ht="17.100000000000001" customHeight="1" thickTop="1" thickBot="1">
      <c r="A461" s="361">
        <f>F448</f>
        <v>25</v>
      </c>
      <c r="B461" s="364"/>
      <c r="C461" s="379"/>
      <c r="D461" s="664"/>
      <c r="E461" s="752"/>
      <c r="F461" s="752"/>
      <c r="G461" s="752"/>
      <c r="H461" s="752"/>
      <c r="I461" s="752"/>
      <c r="J461" s="752"/>
      <c r="K461" s="752"/>
      <c r="L461" s="753"/>
      <c r="M461" s="754"/>
      <c r="N461" s="365">
        <f>SUM(N454:N460)</f>
        <v>906.29</v>
      </c>
      <c r="O461" s="373"/>
      <c r="Q461" s="373" t="str">
        <f>IF(COUNTIF(Q454:Q457,"CUMPLE")&gt;0,"CUMPLE","NO CUMPLE")</f>
        <v>CUMPLE</v>
      </c>
      <c r="R461" s="374" t="str">
        <f>IF(COUNTIF(R454:R457,"COLOMBIA")&gt;0,"CUMPLE","NO CUMPLE")</f>
        <v>CUMPLE</v>
      </c>
      <c r="S461" s="373" t="str">
        <f>IF(COUNTIF(S454:S457,"CUMPLE")&gt;0,"CUMPLE","NO CUMPLE")</f>
        <v>CUMPLE</v>
      </c>
      <c r="T461" s="566"/>
      <c r="U461" s="587"/>
      <c r="AA461" s="589" t="str">
        <f>IF(COUNTIF(AA454:AA459,"CUMPLE")&gt;0,"CUMPLE","NO CUMPLE")</f>
        <v>CUMPLE</v>
      </c>
      <c r="AB461" s="735" t="str">
        <f>IF(COUNTIF(AC454:AC459,"CUMPLE")&gt;0,"CUMPLE","NO CUMPLE")</f>
        <v>NO CUMPLE</v>
      </c>
      <c r="AC461" s="736"/>
      <c r="AD461" s="735" t="str">
        <f>IF(COUNTIF(AE454:AE459,"CUMPLE")&gt;0,"CUMPLE","NO CUMPLE")</f>
        <v>NO CUMPLE</v>
      </c>
      <c r="AE461" s="736"/>
    </row>
    <row r="462" spans="1:31" ht="16.5" thickTop="1">
      <c r="B462" s="557"/>
      <c r="C462" s="558"/>
      <c r="D462" s="558"/>
      <c r="E462" s="558"/>
      <c r="F462" s="558"/>
      <c r="G462" s="558"/>
      <c r="H462" s="558"/>
      <c r="I462" s="558"/>
      <c r="J462" s="558"/>
      <c r="K462" s="558"/>
      <c r="L462" s="80"/>
      <c r="M462" s="362" t="s">
        <v>516</v>
      </c>
      <c r="N462" s="369">
        <f ca="1">VFrequerido!Y39</f>
        <v>537.11</v>
      </c>
      <c r="O462" s="568"/>
      <c r="Q462" s="570"/>
      <c r="R462" s="571"/>
      <c r="S462" s="572"/>
      <c r="T462" s="573"/>
      <c r="U462" s="80"/>
    </row>
    <row r="463" spans="1:31" ht="15.75" thickBot="1">
      <c r="A463" s="490" t="str">
        <f>"E"&amp;F448</f>
        <v>E25</v>
      </c>
      <c r="B463" s="559"/>
      <c r="C463" s="560"/>
      <c r="D463" s="560"/>
      <c r="E463" s="560"/>
      <c r="F463" s="560"/>
      <c r="G463" s="560"/>
      <c r="H463" s="560"/>
      <c r="I463" s="560"/>
      <c r="J463" s="560"/>
      <c r="K463" s="560"/>
      <c r="L463" s="363"/>
      <c r="M463" s="755" t="str">
        <f ca="1">IF(OR(N461=0,N461&lt;N462),"NO CUMPLE","CUMPLE")</f>
        <v>CUMPLE</v>
      </c>
      <c r="N463" s="756"/>
      <c r="O463" s="569"/>
      <c r="Q463" s="492"/>
      <c r="R463" s="493"/>
      <c r="S463" s="363"/>
      <c r="T463" s="574"/>
      <c r="U463" s="80"/>
    </row>
    <row r="464" spans="1:31" ht="13.5" thickTop="1"/>
    <row r="466" spans="1:31">
      <c r="F466" s="757">
        <f>F448+1</f>
        <v>26</v>
      </c>
      <c r="G466" s="758" t="str">
        <f>VLOOKUP(F466,PROPO,2,FALSE)</f>
        <v> CONSORCIO INTERADMIVIAL - SANTANDER</v>
      </c>
      <c r="H466" s="758"/>
      <c r="I466" s="758"/>
      <c r="J466" s="758"/>
      <c r="K466" s="52"/>
      <c r="O466" s="52"/>
      <c r="Q466" s="52"/>
      <c r="R466" s="52"/>
    </row>
    <row r="467" spans="1:31">
      <c r="B467" s="328"/>
      <c r="C467" s="328"/>
      <c r="D467" s="328"/>
      <c r="E467" s="328"/>
      <c r="F467" s="757"/>
      <c r="G467" s="758"/>
      <c r="H467" s="758"/>
      <c r="I467" s="758"/>
      <c r="J467" s="758"/>
      <c r="K467" s="52"/>
      <c r="N467" s="567"/>
      <c r="O467" s="52"/>
      <c r="Q467" s="52"/>
      <c r="R467" s="52"/>
    </row>
    <row r="468" spans="1:31" ht="13.5" thickBot="1">
      <c r="B468" s="329"/>
      <c r="C468" s="329"/>
      <c r="D468" s="56"/>
      <c r="E468" s="56"/>
      <c r="F468" s="56"/>
      <c r="G468" s="56"/>
      <c r="H468" s="56"/>
      <c r="I468" s="56"/>
      <c r="J468" s="56"/>
      <c r="K468" s="330"/>
      <c r="L468" s="331"/>
      <c r="M468" s="331"/>
      <c r="N468" s="330"/>
      <c r="O468" s="330"/>
      <c r="Q468" s="330"/>
      <c r="R468" s="330"/>
    </row>
    <row r="469" spans="1:31" ht="50.1" customHeight="1" thickTop="1" thickBot="1">
      <c r="B469" s="332" t="s">
        <v>16</v>
      </c>
      <c r="C469" s="744" t="s">
        <v>121</v>
      </c>
      <c r="D469" s="333" t="s">
        <v>17</v>
      </c>
      <c r="E469" s="746" t="s">
        <v>18</v>
      </c>
      <c r="F469" s="747"/>
      <c r="G469" s="748" t="s">
        <v>117</v>
      </c>
      <c r="H469" s="749"/>
      <c r="I469" s="744" t="s">
        <v>39</v>
      </c>
      <c r="J469" s="744" t="s">
        <v>0</v>
      </c>
      <c r="K469" s="665" t="s">
        <v>19</v>
      </c>
      <c r="L469" s="750" t="s">
        <v>20</v>
      </c>
      <c r="M469" s="751"/>
      <c r="N469" s="68" t="s">
        <v>52</v>
      </c>
      <c r="O469" s="501" t="s">
        <v>151</v>
      </c>
      <c r="Q469" s="665" t="s">
        <v>127</v>
      </c>
      <c r="R469" s="665" t="s">
        <v>138</v>
      </c>
      <c r="S469" s="665" t="s">
        <v>163</v>
      </c>
      <c r="T469" s="565">
        <f>IF(VLOOKUP(F466,PROPONENTES!$C$19:$E$54,3,0)="","",VLOOKUP(F466,PROPONENTES!$C$19:$E$54,3,0))</f>
        <v>2</v>
      </c>
      <c r="U469" s="582"/>
      <c r="W469" s="737" t="s">
        <v>167</v>
      </c>
      <c r="X469" s="738"/>
      <c r="Y469" s="738"/>
      <c r="Z469" s="738"/>
      <c r="AA469" s="738"/>
      <c r="AB469" s="738"/>
      <c r="AC469" s="738"/>
      <c r="AD469" s="738"/>
      <c r="AE469" s="739"/>
    </row>
    <row r="470" spans="1:31" ht="50.1" customHeight="1" thickTop="1" thickBot="1">
      <c r="B470" s="334" t="s">
        <v>21</v>
      </c>
      <c r="C470" s="745"/>
      <c r="D470" s="335" t="s">
        <v>22</v>
      </c>
      <c r="E470" s="366" t="s">
        <v>23</v>
      </c>
      <c r="F470" s="336" t="s">
        <v>24</v>
      </c>
      <c r="G470" s="337" t="s">
        <v>118</v>
      </c>
      <c r="H470" s="338" t="s">
        <v>119</v>
      </c>
      <c r="I470" s="745"/>
      <c r="J470" s="745"/>
      <c r="K470" s="663" t="s">
        <v>120</v>
      </c>
      <c r="L470" s="339" t="s">
        <v>150</v>
      </c>
      <c r="M470" s="340" t="s">
        <v>14</v>
      </c>
      <c r="N470" s="341" t="s">
        <v>14</v>
      </c>
      <c r="O470" s="502" t="s">
        <v>152</v>
      </c>
      <c r="Q470" s="663" t="s">
        <v>128</v>
      </c>
      <c r="R470" s="663" t="s">
        <v>139</v>
      </c>
      <c r="S470" s="663" t="s">
        <v>164</v>
      </c>
      <c r="T470" s="575" t="s">
        <v>83</v>
      </c>
      <c r="U470" s="583"/>
      <c r="W470" s="740" t="s">
        <v>166</v>
      </c>
      <c r="X470" s="743"/>
      <c r="Y470" s="663" t="s">
        <v>168</v>
      </c>
      <c r="Z470" s="663" t="s">
        <v>169</v>
      </c>
      <c r="AA470" s="663" t="s">
        <v>174</v>
      </c>
      <c r="AB470" s="740" t="s">
        <v>524</v>
      </c>
      <c r="AC470" s="741"/>
      <c r="AD470" s="742" t="s">
        <v>522</v>
      </c>
      <c r="AE470" s="741"/>
    </row>
    <row r="471" spans="1:31" ht="14.25" hidden="1" customHeight="1">
      <c r="B471" s="342">
        <v>0</v>
      </c>
      <c r="C471" s="347"/>
      <c r="D471" s="343"/>
      <c r="E471" s="367"/>
      <c r="F471" s="344"/>
      <c r="G471" s="345"/>
      <c r="H471" s="346"/>
      <c r="I471" s="347"/>
      <c r="J471" s="347"/>
      <c r="K471" s="347"/>
      <c r="L471" s="348"/>
      <c r="M471" s="349"/>
      <c r="N471" s="350"/>
      <c r="O471" s="347"/>
      <c r="Q471" s="347"/>
      <c r="R471" s="347"/>
      <c r="S471" s="347"/>
      <c r="T471" s="563"/>
      <c r="U471" s="584"/>
      <c r="W471" s="502" t="s">
        <v>166</v>
      </c>
      <c r="X471" s="502"/>
      <c r="Y471" s="502" t="s">
        <v>168</v>
      </c>
      <c r="Z471" s="502" t="s">
        <v>169</v>
      </c>
      <c r="AA471" s="502" t="s">
        <v>170</v>
      </c>
      <c r="AB471" s="661" t="s">
        <v>170</v>
      </c>
      <c r="AC471" s="661" t="s">
        <v>170</v>
      </c>
      <c r="AD471" s="661" t="s">
        <v>170</v>
      </c>
      <c r="AE471" s="661" t="s">
        <v>170</v>
      </c>
    </row>
    <row r="472" spans="1:31" s="353" customFormat="1" ht="22.5" customHeight="1" thickTop="1">
      <c r="A472" s="351"/>
      <c r="B472" s="342">
        <f>IF(D472="","",B471+1)</f>
        <v>1</v>
      </c>
      <c r="C472" s="609">
        <v>30</v>
      </c>
      <c r="D472" s="610" t="s">
        <v>484</v>
      </c>
      <c r="E472" s="611" t="s">
        <v>485</v>
      </c>
      <c r="F472" s="612" t="s">
        <v>488</v>
      </c>
      <c r="G472" s="613" t="s">
        <v>172</v>
      </c>
      <c r="H472" s="614">
        <v>0.4</v>
      </c>
      <c r="I472" s="615" t="s">
        <v>173</v>
      </c>
      <c r="J472" s="616" t="s">
        <v>331</v>
      </c>
      <c r="K472" s="617">
        <v>41499</v>
      </c>
      <c r="L472" s="618">
        <v>371.68</v>
      </c>
      <c r="M472" s="494">
        <f>IF(OR(K472="",L472=""),"",IF(I472="SI",H472*L472,""))</f>
        <v>148.672</v>
      </c>
      <c r="N472" s="503">
        <f>IF(OR(I472="",M472=""),"",IF(I472="NO",0,IF(I472="SI",ROUND(M472,3),0)))</f>
        <v>148.672</v>
      </c>
      <c r="O472" s="636"/>
      <c r="Q472" s="352"/>
      <c r="R472" s="636"/>
      <c r="S472" s="352"/>
      <c r="T472" s="656"/>
      <c r="U472" s="585"/>
      <c r="W472" s="594">
        <v>1</v>
      </c>
      <c r="X472" s="595" t="str">
        <f>IF(AND(W472&lt;=$T469,$T469&gt;1,$T469&lt;&gt;""),VLOOKUP(VALUE($F466&amp;","&amp;W472),INTEGRANTES!$D$19:$G$106,2,0),"")</f>
        <v>PROYECTOS IAR SAS</v>
      </c>
      <c r="Y472" s="596">
        <f>IF(X472&lt;&gt;"",VLOOKUP(VALUE($F466&amp;","&amp;$W472),INTEGRANTES!$D$19:$G$106,3,0),"")</f>
        <v>0.1</v>
      </c>
      <c r="Z472" s="597">
        <f t="shared" ref="Z472" si="263">IF(X472="","",SUMIF($J472:$J477,$X472,$N472:$N477))</f>
        <v>0</v>
      </c>
      <c r="AA472" s="604" t="str">
        <f t="shared" ref="AA472" si="264">IF($Y472="","",IF(AND($Y472&gt;=20%,$Z472&gt;=$Z478),"CUMPLE","NO CUMPLE"))</f>
        <v>NO CUMPLE</v>
      </c>
      <c r="AB472" s="679"/>
      <c r="AC472" s="592" t="str">
        <f t="shared" ref="AC472:AC477" si="265">IF(X472="","",IF(AND(Y472&gt;=40%,AB472="SI"),"CUMPLE","NO CUMPLE"))</f>
        <v>NO CUMPLE</v>
      </c>
      <c r="AD472" s="679"/>
      <c r="AE472" s="593" t="str">
        <f t="shared" ref="AE472:AE477" si="266">IF(X472="","",IF(AD472="SI","CUMPLE","NO CUMPLE"))</f>
        <v>NO CUMPLE</v>
      </c>
    </row>
    <row r="473" spans="1:31" s="353" customFormat="1" ht="22.5" customHeight="1">
      <c r="A473" s="351"/>
      <c r="B473" s="342">
        <f>IF(D473="","",B472+1)</f>
        <v>2</v>
      </c>
      <c r="C473" s="619">
        <v>84</v>
      </c>
      <c r="D473" s="610" t="s">
        <v>484</v>
      </c>
      <c r="E473" s="621" t="s">
        <v>486</v>
      </c>
      <c r="F473" s="622" t="s">
        <v>489</v>
      </c>
      <c r="G473" s="623" t="s">
        <v>226</v>
      </c>
      <c r="H473" s="624">
        <v>1</v>
      </c>
      <c r="I473" s="625" t="s">
        <v>173</v>
      </c>
      <c r="J473" s="616" t="s">
        <v>331</v>
      </c>
      <c r="K473" s="627">
        <v>40975</v>
      </c>
      <c r="L473" s="618">
        <v>111.12</v>
      </c>
      <c r="M473" s="556">
        <f>IF(OR(K473="",L473=""),"",IF(I473="SI",H473*L473,""))</f>
        <v>111.12</v>
      </c>
      <c r="N473" s="504">
        <f>IF(OR(I473="",M473=""),"",IF(I473="SI",ROUND(M473,3),0))</f>
        <v>111.12</v>
      </c>
      <c r="O473" s="636"/>
      <c r="Q473" s="352"/>
      <c r="R473" s="636"/>
      <c r="S473" s="352"/>
      <c r="T473" s="656"/>
      <c r="U473" s="586"/>
      <c r="W473" s="594">
        <v>2</v>
      </c>
      <c r="X473" s="595" t="str">
        <f>IF(AND(W473&lt;=$T469,$T469&gt;1,$T469&lt;&gt;""),VLOOKUP(VALUE($F466&amp;","&amp;W473),INTEGRANTES!$D$19:$G$106,2,0),"")</f>
        <v>IAR PROYECTOS SAS</v>
      </c>
      <c r="Y473" s="596">
        <f>IF(X473&lt;&gt;"",VLOOKUP(VALUE($F466&amp;","&amp;$W473),INTEGRANTES!$D$19:$G$106,3,0),"")</f>
        <v>0.9</v>
      </c>
      <c r="Z473" s="597">
        <f t="shared" ref="Z473" si="267">IF(X473="","",SUMIF($J472:$J477,$X473,$N472:$N477))</f>
        <v>356.827</v>
      </c>
      <c r="AA473" s="604" t="str">
        <f t="shared" ref="AA473" si="268">IF($Y473="","",IF(AND($Y473&gt;=20%,$Z473&gt;=$Z478),"CUMPLE","NO CUMPLE"))</f>
        <v>CUMPLE</v>
      </c>
      <c r="AB473" s="680" t="s">
        <v>525</v>
      </c>
      <c r="AC473" s="593" t="str">
        <f t="shared" si="265"/>
        <v>CUMPLE</v>
      </c>
      <c r="AD473" s="680" t="s">
        <v>525</v>
      </c>
      <c r="AE473" s="593" t="str">
        <f t="shared" si="266"/>
        <v>CUMPLE</v>
      </c>
    </row>
    <row r="474" spans="1:31" s="353" customFormat="1" ht="22.5" customHeight="1">
      <c r="A474" s="351"/>
      <c r="B474" s="342">
        <f t="shared" ref="B474:B477" si="269">IF(D474="","",B473+1)</f>
        <v>3</v>
      </c>
      <c r="C474" s="619">
        <v>93</v>
      </c>
      <c r="D474" s="610" t="s">
        <v>484</v>
      </c>
      <c r="E474" s="628" t="s">
        <v>487</v>
      </c>
      <c r="F474" s="622" t="s">
        <v>490</v>
      </c>
      <c r="G474" s="623" t="s">
        <v>172</v>
      </c>
      <c r="H474" s="624">
        <v>0.3</v>
      </c>
      <c r="I474" s="625" t="s">
        <v>173</v>
      </c>
      <c r="J474" s="616" t="s">
        <v>331</v>
      </c>
      <c r="K474" s="627">
        <v>42101</v>
      </c>
      <c r="L474" s="618">
        <v>323.45</v>
      </c>
      <c r="M474" s="556">
        <f t="shared" ref="M474:M477" si="270">IF(OR(K474="",L474=""),"",IF(I474="SI",H474*L474,""))</f>
        <v>97.034999999999997</v>
      </c>
      <c r="N474" s="504">
        <f>IF(OR(I474="",M474=""),"",IF(I474="SI",ROUND(M474,3),0))</f>
        <v>97.034999999999997</v>
      </c>
      <c r="O474" s="636"/>
      <c r="Q474" s="352" t="str">
        <f t="shared" ref="Q474:Q477" si="271">IF(K474="","",IF(AND(YEAR(K474)&gt;=YEAR($M$15), I474="SI",K474&lt;=$N$15),"CUMPLE","NO CUMPLE"))</f>
        <v>CUMPLE</v>
      </c>
      <c r="R474" s="636" t="s">
        <v>140</v>
      </c>
      <c r="S474" s="352" t="str">
        <f t="shared" ref="S474:S477" si="272">IF(T474="","",IF(T474&gt;=20%,"CUMPLE","NO CUMPLE"))</f>
        <v>CUMPLE</v>
      </c>
      <c r="T474" s="656">
        <f t="shared" ref="T474:T477" si="273">IF(R474="","",VLOOKUP(J474,INTEGRAN,2,FALSE))</f>
        <v>0.9</v>
      </c>
      <c r="U474" s="586"/>
      <c r="W474" s="594">
        <v>3</v>
      </c>
      <c r="X474" s="595" t="str">
        <f>IF(AND(W474&lt;=$T469,$T469&gt;1,$T469&lt;&gt;""),VLOOKUP(VALUE($F466&amp;","&amp;W474),INTEGRANTES!$D$19:$G$106,2,0),"")</f>
        <v/>
      </c>
      <c r="Y474" s="596" t="str">
        <f>IF(X474&lt;&gt;"",VLOOKUP(VALUE($F466&amp;","&amp;$W474),INTEGRANTES!$D$19:$G$106,3,0),"")</f>
        <v/>
      </c>
      <c r="Z474" s="597" t="str">
        <f>IF(X474="","",SUMIF($J472:$J477,$X474,$N472:$N477))</f>
        <v/>
      </c>
      <c r="AA474" s="604" t="str">
        <f>IF($Y474="","",IF(AND($Y474&gt;=20%,$Z474&gt;=$Z478),"CUMPLE","NO CUMPLE"))</f>
        <v/>
      </c>
      <c r="AB474" s="680"/>
      <c r="AC474" s="593" t="str">
        <f t="shared" si="265"/>
        <v/>
      </c>
      <c r="AD474" s="680"/>
      <c r="AE474" s="593" t="str">
        <f t="shared" si="266"/>
        <v/>
      </c>
    </row>
    <row r="475" spans="1:31" s="353" customFormat="1" ht="22.5" customHeight="1">
      <c r="A475" s="351"/>
      <c r="B475" s="342" t="str">
        <f t="shared" si="269"/>
        <v/>
      </c>
      <c r="C475" s="619"/>
      <c r="D475" s="620"/>
      <c r="E475" s="628"/>
      <c r="F475" s="622"/>
      <c r="G475" s="623"/>
      <c r="H475" s="624"/>
      <c r="I475" s="625"/>
      <c r="J475" s="629"/>
      <c r="K475" s="627"/>
      <c r="L475" s="618"/>
      <c r="M475" s="555" t="str">
        <f t="shared" si="270"/>
        <v/>
      </c>
      <c r="N475" s="504" t="str">
        <f>IF(OR(I475="",M475=""),"",IF(I475="SI",ROUND(M475,3),0))</f>
        <v/>
      </c>
      <c r="O475" s="636"/>
      <c r="Q475" s="352" t="str">
        <f t="shared" si="271"/>
        <v/>
      </c>
      <c r="R475" s="636"/>
      <c r="S475" s="352" t="str">
        <f t="shared" si="272"/>
        <v/>
      </c>
      <c r="T475" s="656" t="str">
        <f t="shared" si="273"/>
        <v/>
      </c>
      <c r="U475" s="586"/>
      <c r="W475" s="594">
        <v>4</v>
      </c>
      <c r="X475" s="595" t="str">
        <f>IF(AND(W475&lt;=$T469,$T469&gt;1,$T469&lt;&gt;""),VLOOKUP(VALUE($F466&amp;","&amp;W475),INTEGRANTES!$D$19:$G$106,2,0),"")</f>
        <v/>
      </c>
      <c r="Y475" s="596" t="str">
        <f>IF(X475&lt;&gt;"",VLOOKUP(VALUE($F466&amp;","&amp;$W475),INTEGRANTES!$D$19:$G$106,3,0),"")</f>
        <v/>
      </c>
      <c r="Z475" s="597" t="str">
        <f>IF(X475="","",SUMIF($J472:$J477,$X475,$N472:$N477))</f>
        <v/>
      </c>
      <c r="AA475" s="604" t="str">
        <f>IF($Y475="","",IF(AND($Y475&gt;=20%,$Z475&gt;=$Z478),"CUMPLE","NO CUMPLE"))</f>
        <v/>
      </c>
      <c r="AB475" s="680"/>
      <c r="AC475" s="593" t="str">
        <f t="shared" si="265"/>
        <v/>
      </c>
      <c r="AD475" s="680"/>
      <c r="AE475" s="593" t="str">
        <f t="shared" si="266"/>
        <v/>
      </c>
    </row>
    <row r="476" spans="1:31" s="353" customFormat="1" ht="22.5" customHeight="1">
      <c r="A476" s="351"/>
      <c r="B476" s="342" t="str">
        <f t="shared" si="269"/>
        <v/>
      </c>
      <c r="C476" s="619"/>
      <c r="D476" s="620"/>
      <c r="E476" s="628"/>
      <c r="F476" s="622"/>
      <c r="G476" s="623"/>
      <c r="H476" s="624"/>
      <c r="I476" s="625"/>
      <c r="J476" s="629"/>
      <c r="K476" s="627"/>
      <c r="L476" s="618"/>
      <c r="M476" s="556" t="str">
        <f t="shared" si="270"/>
        <v/>
      </c>
      <c r="N476" s="504" t="str">
        <f>IF(OR(I476="",M476=""),"",IF(I476="SI",ROUND(M476,3),0))</f>
        <v/>
      </c>
      <c r="O476" s="636"/>
      <c r="Q476" s="352" t="str">
        <f t="shared" si="271"/>
        <v/>
      </c>
      <c r="R476" s="636"/>
      <c r="S476" s="352" t="str">
        <f t="shared" si="272"/>
        <v/>
      </c>
      <c r="T476" s="656" t="str">
        <f t="shared" si="273"/>
        <v/>
      </c>
      <c r="U476" s="586"/>
      <c r="W476" s="594">
        <v>5</v>
      </c>
      <c r="X476" s="595" t="str">
        <f>IF(AND(W476&lt;=$T469,$T469&gt;1,$T469&lt;&gt;""),VLOOKUP(VALUE($F466&amp;","&amp;W476),INTEGRANTES!$D$19:$G$106,2,0),"")</f>
        <v/>
      </c>
      <c r="Y476" s="596" t="str">
        <f>IF(X476&lt;&gt;"",VLOOKUP(VALUE($F466&amp;","&amp;$W476),INTEGRANTES!$D$19:$G$106,3,0),"")</f>
        <v/>
      </c>
      <c r="Z476" s="597" t="str">
        <f>IF(X476="","",SUMIF($J472:$J477,$X476,$N472:$N477))</f>
        <v/>
      </c>
      <c r="AA476" s="604" t="str">
        <f>IF($Y476="","",IF(AND($Y476&gt;=20%,$Z476&gt;=$Z478),"CUMPLE","NO CUMPLE"))</f>
        <v/>
      </c>
      <c r="AB476" s="680"/>
      <c r="AC476" s="593" t="str">
        <f t="shared" si="265"/>
        <v/>
      </c>
      <c r="AD476" s="680"/>
      <c r="AE476" s="593" t="str">
        <f t="shared" si="266"/>
        <v/>
      </c>
    </row>
    <row r="477" spans="1:31" s="353" customFormat="1" ht="22.5" customHeight="1">
      <c r="A477" s="351"/>
      <c r="B477" s="342" t="str">
        <f t="shared" si="269"/>
        <v/>
      </c>
      <c r="C477" s="619"/>
      <c r="D477" s="620"/>
      <c r="E477" s="628"/>
      <c r="F477" s="622"/>
      <c r="G477" s="623"/>
      <c r="H477" s="624"/>
      <c r="I477" s="625"/>
      <c r="J477" s="629"/>
      <c r="K477" s="627"/>
      <c r="L477" s="618"/>
      <c r="M477" s="555" t="str">
        <f t="shared" si="270"/>
        <v/>
      </c>
      <c r="N477" s="504" t="str">
        <f>IF(OR(I477="",M477=""),"",IF(I477="SI",ROUND(M477,3),0))</f>
        <v/>
      </c>
      <c r="O477" s="636"/>
      <c r="Q477" s="352" t="str">
        <f t="shared" si="271"/>
        <v/>
      </c>
      <c r="R477" s="636"/>
      <c r="S477" s="352" t="str">
        <f t="shared" si="272"/>
        <v/>
      </c>
      <c r="T477" s="656" t="str">
        <f t="shared" si="273"/>
        <v/>
      </c>
      <c r="U477" s="586"/>
      <c r="W477" s="599">
        <v>6</v>
      </c>
      <c r="X477" s="595" t="str">
        <f>IF(AND(W477&lt;=$T469,$T469&gt;1,$T469&lt;&gt;""),VLOOKUP(VALUE($F466&amp;","&amp;W477),INTEGRANTES!$D$19:$G$106,2,0),"")</f>
        <v/>
      </c>
      <c r="Y477" s="606" t="str">
        <f>IF(X477&lt;&gt;"",VLOOKUP(VALUE($F466&amp;","&amp;$W477),INTEGRANTES!$D$19:$G$106,3,0),"")</f>
        <v/>
      </c>
      <c r="Z477" s="607" t="str">
        <f>IF(X477="","",SUMIF($J472:$J477,$X477,$N472:$N477))</f>
        <v/>
      </c>
      <c r="AA477" s="608" t="str">
        <f>IF($Y477="","",IF(AND($Y477&gt;=20%,$Z477&gt;=$Z478),"CUMPLE","NO CUMPLE"))</f>
        <v/>
      </c>
      <c r="AB477" s="680"/>
      <c r="AC477" s="593" t="str">
        <f t="shared" si="265"/>
        <v/>
      </c>
      <c r="AD477" s="680"/>
      <c r="AE477" s="593" t="str">
        <f t="shared" si="266"/>
        <v/>
      </c>
    </row>
    <row r="478" spans="1:31" ht="5.0999999999999996" customHeight="1" thickBot="1">
      <c r="B478" s="354"/>
      <c r="C478" s="359"/>
      <c r="D478" s="355"/>
      <c r="E478" s="368"/>
      <c r="F478" s="355"/>
      <c r="G478" s="355"/>
      <c r="H478" s="355"/>
      <c r="I478" s="356"/>
      <c r="J478" s="357"/>
      <c r="K478" s="358"/>
      <c r="L478" s="355"/>
      <c r="M478" s="356"/>
      <c r="N478" s="360"/>
      <c r="O478" s="352" t="str">
        <f>IF(L478="","",IF(AND(L478&gt;=YEAR($M$15), J478="SI",L478&lt;=S472),"CUMPLE","NO CUMPLE"))</f>
        <v/>
      </c>
      <c r="Q478" s="352" t="str">
        <f>IF(N478="","",IF(AND(N478&gt;=YEAR($M$15), L478="SI",N478&lt;=V472),"CUMPLE","NO CUMPLE"))</f>
        <v/>
      </c>
      <c r="R478" s="352" t="str">
        <f>IF(P478="","",IF(AND(P478&gt;=YEAR($M$15), M478="SI",P478&lt;=W472),"CUMPLE","NO CUMPLE"))</f>
        <v/>
      </c>
      <c r="S478" s="352" t="str">
        <f>IF(P478="","",IF(AND(P478&gt;=YEAR($M$15), N478="SI",P478&lt;=X472),"CUMPLE","NO CUMPLE"))</f>
        <v/>
      </c>
      <c r="T478" s="564"/>
      <c r="U478" s="586"/>
      <c r="W478" s="600"/>
      <c r="X478" s="600"/>
      <c r="Y478" s="600"/>
      <c r="Z478" s="605">
        <f>MAX(Z472:Z477)</f>
        <v>356.827</v>
      </c>
      <c r="AA478" s="600"/>
      <c r="AB478" s="602"/>
      <c r="AC478" s="602"/>
      <c r="AD478" s="602"/>
      <c r="AE478" s="602"/>
    </row>
    <row r="479" spans="1:31" s="52" customFormat="1" ht="17.100000000000001" customHeight="1" thickTop="1" thickBot="1">
      <c r="A479" s="361">
        <f>F466</f>
        <v>26</v>
      </c>
      <c r="B479" s="364"/>
      <c r="C479" s="379"/>
      <c r="D479" s="664"/>
      <c r="E479" s="752"/>
      <c r="F479" s="752"/>
      <c r="G479" s="752"/>
      <c r="H479" s="752"/>
      <c r="I479" s="752"/>
      <c r="J479" s="752"/>
      <c r="K479" s="752"/>
      <c r="L479" s="753"/>
      <c r="M479" s="754"/>
      <c r="N479" s="365">
        <f>SUM(N472:N478)</f>
        <v>356.827</v>
      </c>
      <c r="O479" s="373"/>
      <c r="Q479" s="373" t="str">
        <f>IF(COUNTIF(Q472:Q475,"CUMPLE")&gt;0,"CUMPLE","NO CUMPLE")</f>
        <v>CUMPLE</v>
      </c>
      <c r="R479" s="374" t="str">
        <f>IF(COUNTIF(R472:R475,"COLOMBIA")&gt;0,"CUMPLE","NO CUMPLE")</f>
        <v>CUMPLE</v>
      </c>
      <c r="S479" s="373" t="str">
        <f>IF(COUNTIF(S472:S475,"CUMPLE")&gt;0,"CUMPLE","NO CUMPLE")</f>
        <v>CUMPLE</v>
      </c>
      <c r="T479" s="566"/>
      <c r="U479" s="587"/>
      <c r="AA479" s="589" t="str">
        <f>IF(COUNTIF(AA472:AA477,"CUMPLE")&gt;0,"CUMPLE","NO CUMPLE")</f>
        <v>CUMPLE</v>
      </c>
      <c r="AB479" s="735" t="str">
        <f>IF(COUNTIF(AC472:AC477,"CUMPLE")&gt;0,"CUMPLE","NO CUMPLE")</f>
        <v>CUMPLE</v>
      </c>
      <c r="AC479" s="736"/>
      <c r="AD479" s="735" t="str">
        <f>IF(COUNTIF(AE472:AE477,"CUMPLE")&gt;0,"CUMPLE","NO CUMPLE")</f>
        <v>CUMPLE</v>
      </c>
      <c r="AE479" s="736"/>
    </row>
    <row r="480" spans="1:31" ht="16.5" thickTop="1">
      <c r="B480" s="557"/>
      <c r="C480" s="558"/>
      <c r="D480" s="558"/>
      <c r="E480" s="558"/>
      <c r="F480" s="558"/>
      <c r="G480" s="558"/>
      <c r="H480" s="558"/>
      <c r="I480" s="558"/>
      <c r="J480" s="558"/>
      <c r="K480" s="558"/>
      <c r="L480" s="80"/>
      <c r="M480" s="362" t="s">
        <v>516</v>
      </c>
      <c r="N480" s="369">
        <f ca="1">VFrequerido!Y40</f>
        <v>537.11</v>
      </c>
      <c r="O480" s="568"/>
      <c r="Q480" s="570"/>
      <c r="R480" s="571"/>
      <c r="S480" s="572"/>
      <c r="T480" s="573"/>
      <c r="U480" s="80"/>
    </row>
    <row r="481" spans="1:31" ht="15.75" thickBot="1">
      <c r="A481" s="490" t="str">
        <f>"E"&amp;F466</f>
        <v>E26</v>
      </c>
      <c r="B481" s="559"/>
      <c r="C481" s="560"/>
      <c r="D481" s="560"/>
      <c r="E481" s="560"/>
      <c r="F481" s="560"/>
      <c r="G481" s="560"/>
      <c r="H481" s="560"/>
      <c r="I481" s="560"/>
      <c r="J481" s="560"/>
      <c r="K481" s="560"/>
      <c r="L481" s="363"/>
      <c r="M481" s="755" t="str">
        <f ca="1">IF(OR(N479=0,N479&lt;N480),"NO CUMPLE","CUMPLE")</f>
        <v>NO CUMPLE</v>
      </c>
      <c r="N481" s="756"/>
      <c r="O481" s="569"/>
      <c r="Q481" s="492"/>
      <c r="R481" s="493"/>
      <c r="S481" s="363"/>
      <c r="T481" s="574"/>
      <c r="U481" s="80"/>
    </row>
    <row r="482" spans="1:31" ht="13.5" thickTop="1"/>
    <row r="484" spans="1:31">
      <c r="F484" s="757">
        <f>F466+1</f>
        <v>27</v>
      </c>
      <c r="G484" s="758" t="str">
        <f>VLOOKUP(F484,PROPO,2,FALSE)</f>
        <v>CONSORCIO CAR-JASB</v>
      </c>
      <c r="H484" s="758"/>
      <c r="I484" s="758"/>
      <c r="J484" s="758"/>
      <c r="K484" s="52"/>
      <c r="O484" s="52"/>
      <c r="Q484" s="52"/>
      <c r="R484" s="52"/>
    </row>
    <row r="485" spans="1:31">
      <c r="B485" s="328"/>
      <c r="C485" s="328"/>
      <c r="D485" s="328"/>
      <c r="E485" s="328"/>
      <c r="F485" s="757"/>
      <c r="G485" s="758"/>
      <c r="H485" s="758"/>
      <c r="I485" s="758"/>
      <c r="J485" s="758"/>
      <c r="K485" s="52"/>
      <c r="N485" s="567"/>
      <c r="O485" s="52"/>
      <c r="Q485" s="52"/>
      <c r="R485" s="52"/>
    </row>
    <row r="486" spans="1:31" ht="13.5" thickBot="1">
      <c r="B486" s="329"/>
      <c r="C486" s="329"/>
      <c r="D486" s="56"/>
      <c r="E486" s="56"/>
      <c r="F486" s="56"/>
      <c r="G486" s="56"/>
      <c r="H486" s="56"/>
      <c r="I486" s="56"/>
      <c r="J486" s="56"/>
      <c r="K486" s="330"/>
      <c r="L486" s="331"/>
      <c r="M486" s="331"/>
      <c r="N486" s="330"/>
      <c r="O486" s="330"/>
      <c r="Q486" s="330"/>
      <c r="R486" s="330"/>
    </row>
    <row r="487" spans="1:31" ht="50.1" customHeight="1" thickTop="1" thickBot="1">
      <c r="B487" s="332" t="s">
        <v>16</v>
      </c>
      <c r="C487" s="744" t="s">
        <v>121</v>
      </c>
      <c r="D487" s="333" t="s">
        <v>17</v>
      </c>
      <c r="E487" s="746" t="s">
        <v>18</v>
      </c>
      <c r="F487" s="747"/>
      <c r="G487" s="748" t="s">
        <v>117</v>
      </c>
      <c r="H487" s="749"/>
      <c r="I487" s="744" t="s">
        <v>39</v>
      </c>
      <c r="J487" s="744" t="s">
        <v>0</v>
      </c>
      <c r="K487" s="665" t="s">
        <v>19</v>
      </c>
      <c r="L487" s="750" t="s">
        <v>20</v>
      </c>
      <c r="M487" s="751"/>
      <c r="N487" s="68" t="s">
        <v>52</v>
      </c>
      <c r="O487" s="501" t="s">
        <v>151</v>
      </c>
      <c r="Q487" s="665" t="s">
        <v>127</v>
      </c>
      <c r="R487" s="665" t="s">
        <v>138</v>
      </c>
      <c r="S487" s="665" t="s">
        <v>163</v>
      </c>
      <c r="T487" s="565">
        <f>IF(VLOOKUP(F484,PROPONENTES!$C$19:$E$54,3,0)="","",VLOOKUP(F484,PROPONENTES!$C$19:$E$54,3,0))</f>
        <v>2</v>
      </c>
      <c r="U487" s="582"/>
      <c r="W487" s="737" t="s">
        <v>167</v>
      </c>
      <c r="X487" s="738"/>
      <c r="Y487" s="738"/>
      <c r="Z487" s="738"/>
      <c r="AA487" s="738"/>
      <c r="AB487" s="738"/>
      <c r="AC487" s="738"/>
      <c r="AD487" s="738"/>
      <c r="AE487" s="739"/>
    </row>
    <row r="488" spans="1:31" ht="50.1" customHeight="1" thickTop="1" thickBot="1">
      <c r="B488" s="334" t="s">
        <v>21</v>
      </c>
      <c r="C488" s="745"/>
      <c r="D488" s="335" t="s">
        <v>22</v>
      </c>
      <c r="E488" s="366" t="s">
        <v>23</v>
      </c>
      <c r="F488" s="336" t="s">
        <v>24</v>
      </c>
      <c r="G488" s="337" t="s">
        <v>118</v>
      </c>
      <c r="H488" s="338" t="s">
        <v>119</v>
      </c>
      <c r="I488" s="745"/>
      <c r="J488" s="745"/>
      <c r="K488" s="663" t="s">
        <v>120</v>
      </c>
      <c r="L488" s="339" t="s">
        <v>150</v>
      </c>
      <c r="M488" s="340" t="s">
        <v>14</v>
      </c>
      <c r="N488" s="341" t="s">
        <v>14</v>
      </c>
      <c r="O488" s="502" t="s">
        <v>152</v>
      </c>
      <c r="Q488" s="663" t="s">
        <v>128</v>
      </c>
      <c r="R488" s="663" t="s">
        <v>139</v>
      </c>
      <c r="S488" s="663" t="s">
        <v>164</v>
      </c>
      <c r="T488" s="575" t="s">
        <v>83</v>
      </c>
      <c r="U488" s="583"/>
      <c r="W488" s="740" t="s">
        <v>166</v>
      </c>
      <c r="X488" s="743"/>
      <c r="Y488" s="663" t="s">
        <v>168</v>
      </c>
      <c r="Z488" s="663" t="s">
        <v>169</v>
      </c>
      <c r="AA488" s="663" t="s">
        <v>174</v>
      </c>
      <c r="AB488" s="740" t="s">
        <v>524</v>
      </c>
      <c r="AC488" s="741"/>
      <c r="AD488" s="742" t="s">
        <v>522</v>
      </c>
      <c r="AE488" s="741"/>
    </row>
    <row r="489" spans="1:31" ht="14.25" hidden="1" customHeight="1">
      <c r="B489" s="342">
        <v>0</v>
      </c>
      <c r="C489" s="347"/>
      <c r="D489" s="343"/>
      <c r="E489" s="367"/>
      <c r="F489" s="344"/>
      <c r="G489" s="345"/>
      <c r="H489" s="346"/>
      <c r="I489" s="347"/>
      <c r="J489" s="347"/>
      <c r="K489" s="347"/>
      <c r="L489" s="348"/>
      <c r="M489" s="349"/>
      <c r="N489" s="350"/>
      <c r="O489" s="347"/>
      <c r="Q489" s="347"/>
      <c r="R489" s="347"/>
      <c r="S489" s="347"/>
      <c r="T489" s="563"/>
      <c r="U489" s="584"/>
      <c r="W489" s="502" t="s">
        <v>166</v>
      </c>
      <c r="X489" s="502"/>
      <c r="Y489" s="502" t="s">
        <v>168</v>
      </c>
      <c r="Z489" s="502" t="s">
        <v>169</v>
      </c>
      <c r="AA489" s="502" t="s">
        <v>170</v>
      </c>
      <c r="AB489" s="661" t="s">
        <v>170</v>
      </c>
      <c r="AC489" s="661" t="s">
        <v>170</v>
      </c>
      <c r="AD489" s="661" t="s">
        <v>170</v>
      </c>
      <c r="AE489" s="661" t="s">
        <v>170</v>
      </c>
    </row>
    <row r="490" spans="1:31" s="353" customFormat="1" ht="22.5" customHeight="1" thickTop="1">
      <c r="A490" s="351"/>
      <c r="B490" s="342">
        <f>IF(D490="","",B489+1)</f>
        <v>1</v>
      </c>
      <c r="C490" s="609">
        <v>59</v>
      </c>
      <c r="D490" s="610" t="s">
        <v>332</v>
      </c>
      <c r="E490" s="611" t="s">
        <v>333</v>
      </c>
      <c r="F490" s="612" t="s">
        <v>334</v>
      </c>
      <c r="G490" s="613" t="s">
        <v>172</v>
      </c>
      <c r="H490" s="614">
        <v>0.5</v>
      </c>
      <c r="I490" s="615" t="s">
        <v>173</v>
      </c>
      <c r="J490" s="616" t="s">
        <v>342</v>
      </c>
      <c r="K490" s="617">
        <v>42328</v>
      </c>
      <c r="L490" s="618">
        <v>541.74</v>
      </c>
      <c r="M490" s="494">
        <f>IF(OR(K490="",L490=""),"",IF(I490="SI",H490*L490,""))</f>
        <v>270.87</v>
      </c>
      <c r="N490" s="503">
        <f>IF(OR(I490="",M490=""),"",IF(I490="NO",0,IF(I490="SI",ROUND(M490,3),0)))</f>
        <v>270.87</v>
      </c>
      <c r="O490" s="636"/>
      <c r="Q490" s="352" t="str">
        <f t="shared" ref="Q490:Q495" si="274">IF(K490="","",IF(AND(YEAR(K490)&gt;=YEAR($M$15), I490="SI",K490&lt;=$N$15),"CUMPLE","NO CUMPLE"))</f>
        <v>CUMPLE</v>
      </c>
      <c r="R490" s="636" t="s">
        <v>140</v>
      </c>
      <c r="S490" s="352" t="str">
        <f t="shared" ref="S490" si="275">IF(T490="","",IF(T490&gt;=20%,"CUMPLE","NO CUMPLE"))</f>
        <v>CUMPLE</v>
      </c>
      <c r="T490" s="656">
        <f t="shared" ref="T490:T495" si="276">IF(R490="","",VLOOKUP(J490,INTEGRAN,2,FALSE))</f>
        <v>0.4</v>
      </c>
      <c r="U490" s="585"/>
      <c r="W490" s="594">
        <v>1</v>
      </c>
      <c r="X490" s="595" t="s">
        <v>340</v>
      </c>
      <c r="Y490" s="596">
        <f>IF(X490&lt;&gt;"",VLOOKUP(VALUE($F484&amp;","&amp;$W490),INTEGRANTES!$D$19:$G$106,3,0),"")</f>
        <v>0.4</v>
      </c>
      <c r="Z490" s="597">
        <f t="shared" ref="Z490" si="277">IF(X490="","",SUMIF($J490:$J495,$X490,$N490:$N495))</f>
        <v>0</v>
      </c>
      <c r="AA490" s="604" t="str">
        <f t="shared" ref="AA490" si="278">IF($Y490="","",IF(AND($Y490&gt;=20%,$Z490&gt;=$Z496),"CUMPLE","NO CUMPLE"))</f>
        <v>NO CUMPLE</v>
      </c>
      <c r="AB490" s="679" t="s">
        <v>525</v>
      </c>
      <c r="AC490" s="592" t="str">
        <f t="shared" ref="AC490:AC495" si="279">IF(X490="","",IF(AND(Y490&gt;=40%,AB490="SI"),"CUMPLE","NO CUMPLE"))</f>
        <v>CUMPLE</v>
      </c>
      <c r="AD490" s="679" t="s">
        <v>525</v>
      </c>
      <c r="AE490" s="593" t="str">
        <f t="shared" ref="AE490:AE495" si="280">IF(X490="","",IF(AD490="SI","CUMPLE","NO CUMPLE"))</f>
        <v>CUMPLE</v>
      </c>
    </row>
    <row r="491" spans="1:31" s="353" customFormat="1" ht="22.5" customHeight="1">
      <c r="A491" s="351"/>
      <c r="B491" s="342">
        <f>IF(D491="","",B490+1)</f>
        <v>2</v>
      </c>
      <c r="C491" s="619">
        <v>1</v>
      </c>
      <c r="D491" s="620" t="s">
        <v>217</v>
      </c>
      <c r="E491" s="621" t="s">
        <v>335</v>
      </c>
      <c r="F491" s="622" t="s">
        <v>336</v>
      </c>
      <c r="G491" s="623" t="s">
        <v>172</v>
      </c>
      <c r="H491" s="624">
        <v>0.5</v>
      </c>
      <c r="I491" s="625" t="s">
        <v>173</v>
      </c>
      <c r="J491" s="629" t="s">
        <v>341</v>
      </c>
      <c r="K491" s="627">
        <v>40381</v>
      </c>
      <c r="L491" s="618">
        <v>401.1</v>
      </c>
      <c r="M491" s="556">
        <f>IF(OR(K491="",L491=""),"",IF(I491="SI",H491*L491,""))</f>
        <v>200.55</v>
      </c>
      <c r="N491" s="504">
        <f>IF(OR(I491="",M491=""),"",IF(I491="SI",ROUND(M491,3),0))</f>
        <v>200.55</v>
      </c>
      <c r="O491" s="636"/>
      <c r="Q491" s="352" t="str">
        <f t="shared" si="274"/>
        <v>NO CUMPLE</v>
      </c>
      <c r="R491" s="636"/>
      <c r="S491" s="352" t="str">
        <f t="shared" ref="S491:S495" si="281">IF(T491="","",IF(T491&gt;=20%,"CUMPLE","NO CUMPLE"))</f>
        <v/>
      </c>
      <c r="T491" s="656" t="str">
        <f t="shared" si="276"/>
        <v/>
      </c>
      <c r="U491" s="586"/>
      <c r="W491" s="594">
        <v>2</v>
      </c>
      <c r="X491" s="595" t="s">
        <v>341</v>
      </c>
      <c r="Y491" s="596">
        <f>IF(X491&lt;&gt;"",VLOOKUP(VALUE($F484&amp;","&amp;$W491),INTEGRANTES!$D$19:$G$106,3,0),"")</f>
        <v>0.6</v>
      </c>
      <c r="Z491" s="597">
        <f t="shared" ref="Z491" si="282">IF(X491="","",SUMIF($J490:$J495,$X491,$N490:$N495))</f>
        <v>400.60300000000001</v>
      </c>
      <c r="AA491" s="604" t="str">
        <f t="shared" ref="AA491" si="283">IF($Y491="","",IF(AND($Y491&gt;=20%,$Z491&gt;=$Z496),"CUMPLE","NO CUMPLE"))</f>
        <v>CUMPLE</v>
      </c>
      <c r="AB491" s="680"/>
      <c r="AC491" s="593" t="str">
        <f t="shared" si="279"/>
        <v>NO CUMPLE</v>
      </c>
      <c r="AD491" s="680"/>
      <c r="AE491" s="593" t="str">
        <f t="shared" si="280"/>
        <v>NO CUMPLE</v>
      </c>
    </row>
    <row r="492" spans="1:31" s="353" customFormat="1" ht="22.5" customHeight="1">
      <c r="A492" s="351"/>
      <c r="B492" s="342">
        <f t="shared" ref="B492:B495" si="284">IF(D492="","",B491+1)</f>
        <v>3</v>
      </c>
      <c r="C492" s="619">
        <v>5</v>
      </c>
      <c r="D492" s="620" t="s">
        <v>337</v>
      </c>
      <c r="E492" s="628" t="s">
        <v>338</v>
      </c>
      <c r="F492" s="622" t="s">
        <v>339</v>
      </c>
      <c r="G492" s="623" t="s">
        <v>172</v>
      </c>
      <c r="H492" s="624">
        <v>0.7</v>
      </c>
      <c r="I492" s="625" t="s">
        <v>173</v>
      </c>
      <c r="J492" s="629" t="s">
        <v>341</v>
      </c>
      <c r="K492" s="627">
        <v>37442</v>
      </c>
      <c r="L492" s="618">
        <v>285.79000000000002</v>
      </c>
      <c r="M492" s="556">
        <f t="shared" ref="M492:M495" si="285">IF(OR(K492="",L492=""),"",IF(I492="SI",H492*L492,""))</f>
        <v>200.053</v>
      </c>
      <c r="N492" s="504">
        <f>IF(OR(I492="",M492=""),"",IF(I492="SI",ROUND(M492,3),0))</f>
        <v>200.053</v>
      </c>
      <c r="O492" s="636"/>
      <c r="Q492" s="352" t="str">
        <f t="shared" si="274"/>
        <v>NO CUMPLE</v>
      </c>
      <c r="R492" s="636"/>
      <c r="S492" s="352" t="str">
        <f t="shared" si="281"/>
        <v/>
      </c>
      <c r="T492" s="656" t="str">
        <f t="shared" si="276"/>
        <v/>
      </c>
      <c r="U492" s="586"/>
      <c r="W492" s="594">
        <v>3</v>
      </c>
      <c r="X492" s="595" t="str">
        <f>IF(AND(W492&lt;=$T487,$T487&gt;1,$T487&lt;&gt;""),VLOOKUP(VALUE($F484&amp;","&amp;W492),INTEGRANTES!$D$19:$G$106,2,0),"")</f>
        <v/>
      </c>
      <c r="Y492" s="596" t="str">
        <f>IF(X492&lt;&gt;"",VLOOKUP(VALUE($F484&amp;","&amp;$W492),INTEGRANTES!$D$19:$G$106,3,0),"")</f>
        <v/>
      </c>
      <c r="Z492" s="597" t="str">
        <f>IF(X492="","",SUMIF($J490:$J495,$X492,$N490:$N495))</f>
        <v/>
      </c>
      <c r="AA492" s="604" t="str">
        <f>IF($Y492="","",IF(AND($Y492&gt;=20%,$Z492&gt;=$Z496),"CUMPLE","NO CUMPLE"))</f>
        <v/>
      </c>
      <c r="AB492" s="680"/>
      <c r="AC492" s="593" t="str">
        <f t="shared" si="279"/>
        <v/>
      </c>
      <c r="AD492" s="680"/>
      <c r="AE492" s="593" t="str">
        <f t="shared" si="280"/>
        <v/>
      </c>
    </row>
    <row r="493" spans="1:31" s="353" customFormat="1" ht="22.5" customHeight="1">
      <c r="A493" s="351"/>
      <c r="B493" s="342" t="str">
        <f t="shared" si="284"/>
        <v/>
      </c>
      <c r="C493" s="619"/>
      <c r="D493" s="620"/>
      <c r="E493" s="628"/>
      <c r="F493" s="622"/>
      <c r="G493" s="623"/>
      <c r="H493" s="624"/>
      <c r="I493" s="625"/>
      <c r="J493" s="629"/>
      <c r="K493" s="627"/>
      <c r="L493" s="618"/>
      <c r="M493" s="555" t="str">
        <f t="shared" si="285"/>
        <v/>
      </c>
      <c r="N493" s="504" t="str">
        <f>IF(OR(I493="",M493=""),"",IF(I493="SI",ROUND(M493,3),0))</f>
        <v/>
      </c>
      <c r="O493" s="636"/>
      <c r="Q493" s="352" t="str">
        <f t="shared" si="274"/>
        <v/>
      </c>
      <c r="R493" s="636"/>
      <c r="S493" s="352" t="str">
        <f t="shared" si="281"/>
        <v/>
      </c>
      <c r="T493" s="656" t="str">
        <f t="shared" si="276"/>
        <v/>
      </c>
      <c r="U493" s="586"/>
      <c r="W493" s="594">
        <v>4</v>
      </c>
      <c r="X493" s="595" t="str">
        <f>IF(AND(W493&lt;=$T487,$T487&gt;1,$T487&lt;&gt;""),VLOOKUP(VALUE($F484&amp;","&amp;W493),INTEGRANTES!$D$19:$G$106,2,0),"")</f>
        <v/>
      </c>
      <c r="Y493" s="596" t="str">
        <f>IF(X493&lt;&gt;"",VLOOKUP(VALUE($F484&amp;","&amp;$W493),INTEGRANTES!$D$19:$G$106,3,0),"")</f>
        <v/>
      </c>
      <c r="Z493" s="597" t="str">
        <f>IF(X493="","",SUMIF($J490:$J495,$X493,$N490:$N495))</f>
        <v/>
      </c>
      <c r="AA493" s="604" t="str">
        <f>IF($Y493="","",IF(AND($Y493&gt;=20%,$Z493&gt;=$Z496),"CUMPLE","NO CUMPLE"))</f>
        <v/>
      </c>
      <c r="AB493" s="680"/>
      <c r="AC493" s="593" t="str">
        <f t="shared" si="279"/>
        <v/>
      </c>
      <c r="AD493" s="680"/>
      <c r="AE493" s="593" t="str">
        <f t="shared" si="280"/>
        <v/>
      </c>
    </row>
    <row r="494" spans="1:31" s="353" customFormat="1" ht="22.5" customHeight="1">
      <c r="A494" s="351"/>
      <c r="B494" s="342" t="str">
        <f t="shared" si="284"/>
        <v/>
      </c>
      <c r="C494" s="619"/>
      <c r="D494" s="620"/>
      <c r="E494" s="628"/>
      <c r="F494" s="622"/>
      <c r="G494" s="623"/>
      <c r="H494" s="624"/>
      <c r="I494" s="625"/>
      <c r="J494" s="629"/>
      <c r="K494" s="627"/>
      <c r="L494" s="618"/>
      <c r="M494" s="556" t="str">
        <f t="shared" si="285"/>
        <v/>
      </c>
      <c r="N494" s="504" t="str">
        <f>IF(OR(I494="",M494=""),"",IF(I494="SI",ROUND(M494,3),0))</f>
        <v/>
      </c>
      <c r="O494" s="636"/>
      <c r="Q494" s="352" t="str">
        <f t="shared" si="274"/>
        <v/>
      </c>
      <c r="R494" s="636"/>
      <c r="S494" s="352" t="str">
        <f t="shared" si="281"/>
        <v/>
      </c>
      <c r="T494" s="656" t="str">
        <f t="shared" si="276"/>
        <v/>
      </c>
      <c r="U494" s="586"/>
      <c r="W494" s="594">
        <v>5</v>
      </c>
      <c r="X494" s="595" t="str">
        <f>IF(AND(W494&lt;=$T487,$T487&gt;1,$T487&lt;&gt;""),VLOOKUP(VALUE($F484&amp;","&amp;W494),INTEGRANTES!$D$19:$G$106,2,0),"")</f>
        <v/>
      </c>
      <c r="Y494" s="596" t="str">
        <f>IF(X494&lt;&gt;"",VLOOKUP(VALUE($F484&amp;","&amp;$W494),INTEGRANTES!$D$19:$G$106,3,0),"")</f>
        <v/>
      </c>
      <c r="Z494" s="597" t="str">
        <f>IF(X494="","",SUMIF($J490:$J495,$X494,$N490:$N495))</f>
        <v/>
      </c>
      <c r="AA494" s="604" t="str">
        <f>IF($Y494="","",IF(AND($Y494&gt;=20%,$Z494&gt;=$Z496),"CUMPLE","NO CUMPLE"))</f>
        <v/>
      </c>
      <c r="AB494" s="680"/>
      <c r="AC494" s="593" t="str">
        <f t="shared" si="279"/>
        <v/>
      </c>
      <c r="AD494" s="680"/>
      <c r="AE494" s="593" t="str">
        <f t="shared" si="280"/>
        <v/>
      </c>
    </row>
    <row r="495" spans="1:31" s="353" customFormat="1" ht="22.5" customHeight="1">
      <c r="A495" s="351"/>
      <c r="B495" s="342" t="str">
        <f t="shared" si="284"/>
        <v/>
      </c>
      <c r="C495" s="619"/>
      <c r="D495" s="620"/>
      <c r="E495" s="628"/>
      <c r="F495" s="622"/>
      <c r="G495" s="623"/>
      <c r="H495" s="624"/>
      <c r="I495" s="625"/>
      <c r="J495" s="629"/>
      <c r="K495" s="627"/>
      <c r="L495" s="618"/>
      <c r="M495" s="555" t="str">
        <f t="shared" si="285"/>
        <v/>
      </c>
      <c r="N495" s="504" t="str">
        <f>IF(OR(I495="",M495=""),"",IF(I495="SI",ROUND(M495,3),0))</f>
        <v/>
      </c>
      <c r="O495" s="636"/>
      <c r="Q495" s="352" t="str">
        <f t="shared" si="274"/>
        <v/>
      </c>
      <c r="R495" s="636"/>
      <c r="S495" s="352" t="str">
        <f t="shared" si="281"/>
        <v/>
      </c>
      <c r="T495" s="656" t="str">
        <f t="shared" si="276"/>
        <v/>
      </c>
      <c r="U495" s="586"/>
      <c r="W495" s="599">
        <v>6</v>
      </c>
      <c r="X495" s="595" t="str">
        <f>IF(AND(W495&lt;=$T487,$T487&gt;1,$T487&lt;&gt;""),VLOOKUP(VALUE($F484&amp;","&amp;W495),INTEGRANTES!$D$19:$G$106,2,0),"")</f>
        <v/>
      </c>
      <c r="Y495" s="606" t="str">
        <f>IF(X495&lt;&gt;"",VLOOKUP(VALUE($F484&amp;","&amp;$W495),INTEGRANTES!$D$19:$G$106,3,0),"")</f>
        <v/>
      </c>
      <c r="Z495" s="607" t="str">
        <f>IF(X495="","",SUMIF($J490:$J495,$X495,$N490:$N495))</f>
        <v/>
      </c>
      <c r="AA495" s="608" t="str">
        <f>IF($Y495="","",IF(AND($Y495&gt;=20%,$Z495&gt;=$Z496),"CUMPLE","NO CUMPLE"))</f>
        <v/>
      </c>
      <c r="AB495" s="680"/>
      <c r="AC495" s="593" t="str">
        <f t="shared" si="279"/>
        <v/>
      </c>
      <c r="AD495" s="680"/>
      <c r="AE495" s="593" t="str">
        <f t="shared" si="280"/>
        <v/>
      </c>
    </row>
    <row r="496" spans="1:31" ht="5.0999999999999996" customHeight="1" thickBot="1">
      <c r="B496" s="354"/>
      <c r="C496" s="359"/>
      <c r="D496" s="355"/>
      <c r="E496" s="368"/>
      <c r="F496" s="355"/>
      <c r="G496" s="355"/>
      <c r="H496" s="355"/>
      <c r="I496" s="356"/>
      <c r="J496" s="357"/>
      <c r="K496" s="358"/>
      <c r="L496" s="355"/>
      <c r="M496" s="356"/>
      <c r="N496" s="360"/>
      <c r="O496" s="352" t="str">
        <f>IF(L496="","",IF(AND(L496&gt;=YEAR($M$15), J496="SI",L496&lt;=S490),"CUMPLE","NO CUMPLE"))</f>
        <v/>
      </c>
      <c r="Q496" s="352" t="str">
        <f>IF(N496="","",IF(AND(N496&gt;=YEAR($M$15), L496="SI",N496&lt;=V490),"CUMPLE","NO CUMPLE"))</f>
        <v/>
      </c>
      <c r="R496" s="352" t="str">
        <f>IF(P496="","",IF(AND(P496&gt;=YEAR($M$15), M496="SI",P496&lt;=W490),"CUMPLE","NO CUMPLE"))</f>
        <v/>
      </c>
      <c r="S496" s="352" t="str">
        <f>IF(P496="","",IF(AND(P496&gt;=YEAR($M$15), N496="SI",P496&lt;=X490),"CUMPLE","NO CUMPLE"))</f>
        <v/>
      </c>
      <c r="T496" s="564"/>
      <c r="U496" s="586"/>
      <c r="W496" s="600"/>
      <c r="X496" s="600"/>
      <c r="Y496" s="600"/>
      <c r="Z496" s="605">
        <f>MAX(Z490:Z495)</f>
        <v>400.60300000000001</v>
      </c>
      <c r="AA496" s="600"/>
      <c r="AB496" s="602"/>
      <c r="AC496" s="602"/>
      <c r="AD496" s="602"/>
      <c r="AE496" s="602"/>
    </row>
    <row r="497" spans="1:31" s="52" customFormat="1" ht="17.100000000000001" customHeight="1" thickTop="1" thickBot="1">
      <c r="A497" s="361">
        <f>F484</f>
        <v>27</v>
      </c>
      <c r="B497" s="364"/>
      <c r="C497" s="379"/>
      <c r="D497" s="664"/>
      <c r="E497" s="752"/>
      <c r="F497" s="752"/>
      <c r="G497" s="752"/>
      <c r="H497" s="752"/>
      <c r="I497" s="752"/>
      <c r="J497" s="752"/>
      <c r="K497" s="752"/>
      <c r="L497" s="753"/>
      <c r="M497" s="754"/>
      <c r="N497" s="365">
        <f>SUM(N490:N496)</f>
        <v>671.47299999999996</v>
      </c>
      <c r="O497" s="373"/>
      <c r="Q497" s="373" t="str">
        <f>IF(COUNTIF(Q490:Q493,"CUMPLE")&gt;0,"CUMPLE","NO CUMPLE")</f>
        <v>CUMPLE</v>
      </c>
      <c r="R497" s="374" t="str">
        <f>IF(COUNTIF(R490:R493,"COLOMBIA")&gt;0,"CUMPLE","NO CUMPLE")</f>
        <v>CUMPLE</v>
      </c>
      <c r="S497" s="373" t="str">
        <f>IF(COUNTIF(S490:S493,"CUMPLE")&gt;0,"CUMPLE","NO CUMPLE")</f>
        <v>CUMPLE</v>
      </c>
      <c r="T497" s="566"/>
      <c r="U497" s="587"/>
      <c r="AA497" s="589" t="str">
        <f>IF(COUNTIF(AA490:AA495,"CUMPLE")&gt;0,"CUMPLE","NO CUMPLE")</f>
        <v>CUMPLE</v>
      </c>
      <c r="AB497" s="735" t="str">
        <f>IF(COUNTIF(AC490:AC495,"CUMPLE")&gt;0,"CUMPLE","NO CUMPLE")</f>
        <v>CUMPLE</v>
      </c>
      <c r="AC497" s="736"/>
      <c r="AD497" s="735" t="str">
        <f>IF(COUNTIF(AE490:AE495,"CUMPLE")&gt;0,"CUMPLE","NO CUMPLE")</f>
        <v>CUMPLE</v>
      </c>
      <c r="AE497" s="736"/>
    </row>
    <row r="498" spans="1:31" ht="16.5" thickTop="1">
      <c r="B498" s="557"/>
      <c r="C498" s="558"/>
      <c r="D498" s="558"/>
      <c r="E498" s="558"/>
      <c r="F498" s="558"/>
      <c r="G498" s="558"/>
      <c r="H498" s="558"/>
      <c r="I498" s="558"/>
      <c r="J498" s="558"/>
      <c r="K498" s="558"/>
      <c r="L498" s="80"/>
      <c r="M498" s="362" t="s">
        <v>516</v>
      </c>
      <c r="N498" s="369">
        <f ca="1">VFrequerido!Y41</f>
        <v>537.11</v>
      </c>
      <c r="O498" s="568"/>
      <c r="Q498" s="570"/>
      <c r="R498" s="571"/>
      <c r="S498" s="572"/>
      <c r="T498" s="573"/>
      <c r="U498" s="80"/>
    </row>
    <row r="499" spans="1:31" ht="15.75" thickBot="1">
      <c r="A499" s="490" t="str">
        <f>"E"&amp;F484</f>
        <v>E27</v>
      </c>
      <c r="B499" s="559"/>
      <c r="C499" s="560"/>
      <c r="D499" s="560"/>
      <c r="E499" s="560"/>
      <c r="F499" s="560"/>
      <c r="G499" s="560"/>
      <c r="H499" s="560"/>
      <c r="I499" s="560"/>
      <c r="J499" s="560"/>
      <c r="K499" s="560"/>
      <c r="L499" s="363"/>
      <c r="M499" s="755" t="str">
        <f ca="1">IF(OR(N497=0,N497&lt;N498),"NO CUMPLE","CUMPLE")</f>
        <v>CUMPLE</v>
      </c>
      <c r="N499" s="756"/>
      <c r="O499" s="569"/>
      <c r="Q499" s="492"/>
      <c r="R499" s="493"/>
      <c r="S499" s="363"/>
      <c r="T499" s="574"/>
      <c r="U499" s="80"/>
    </row>
    <row r="500" spans="1:31" ht="13.5" thickTop="1"/>
    <row r="502" spans="1:31">
      <c r="F502" s="757">
        <f>F484+1</f>
        <v>28</v>
      </c>
      <c r="G502" s="758" t="str">
        <f>VLOOKUP(F502,PROPO,2,FALSE)</f>
        <v>CONSORCIO CJD</v>
      </c>
      <c r="H502" s="758"/>
      <c r="I502" s="758"/>
      <c r="J502" s="758"/>
      <c r="K502" s="52"/>
      <c r="O502" s="52"/>
      <c r="Q502" s="52"/>
      <c r="R502" s="52"/>
    </row>
    <row r="503" spans="1:31">
      <c r="B503" s="328"/>
      <c r="C503" s="328"/>
      <c r="D503" s="328"/>
      <c r="E503" s="328"/>
      <c r="F503" s="757"/>
      <c r="G503" s="758"/>
      <c r="H503" s="758"/>
      <c r="I503" s="758"/>
      <c r="J503" s="758"/>
      <c r="K503" s="52"/>
      <c r="N503" s="567"/>
      <c r="O503" s="52"/>
      <c r="Q503" s="52"/>
      <c r="R503" s="52"/>
    </row>
    <row r="504" spans="1:31" ht="13.5" thickBot="1">
      <c r="B504" s="329"/>
      <c r="C504" s="329"/>
      <c r="D504" s="56"/>
      <c r="E504" s="56"/>
      <c r="F504" s="56"/>
      <c r="G504" s="56"/>
      <c r="H504" s="56"/>
      <c r="I504" s="56"/>
      <c r="J504" s="56"/>
      <c r="K504" s="330"/>
      <c r="L504" s="331"/>
      <c r="M504" s="331"/>
      <c r="N504" s="330"/>
      <c r="O504" s="330"/>
      <c r="Q504" s="330"/>
      <c r="R504" s="330"/>
    </row>
    <row r="505" spans="1:31" ht="50.1" customHeight="1" thickTop="1" thickBot="1">
      <c r="B505" s="332" t="s">
        <v>16</v>
      </c>
      <c r="C505" s="744" t="s">
        <v>121</v>
      </c>
      <c r="D505" s="333" t="s">
        <v>17</v>
      </c>
      <c r="E505" s="746" t="s">
        <v>18</v>
      </c>
      <c r="F505" s="747"/>
      <c r="G505" s="748" t="s">
        <v>117</v>
      </c>
      <c r="H505" s="749"/>
      <c r="I505" s="744" t="s">
        <v>39</v>
      </c>
      <c r="J505" s="744" t="s">
        <v>0</v>
      </c>
      <c r="K505" s="665" t="s">
        <v>19</v>
      </c>
      <c r="L505" s="750" t="s">
        <v>20</v>
      </c>
      <c r="M505" s="751"/>
      <c r="N505" s="68" t="s">
        <v>52</v>
      </c>
      <c r="O505" s="501" t="s">
        <v>151</v>
      </c>
      <c r="Q505" s="665" t="s">
        <v>127</v>
      </c>
      <c r="R505" s="665" t="s">
        <v>138</v>
      </c>
      <c r="S505" s="665" t="s">
        <v>163</v>
      </c>
      <c r="T505" s="565">
        <f>IF(VLOOKUP(F502,PROPONENTES!$C$19:$E$54,3,0)="","",VLOOKUP(F502,PROPONENTES!$C$19:$E$54,3,0))</f>
        <v>3</v>
      </c>
      <c r="U505" s="582"/>
      <c r="W505" s="737" t="s">
        <v>167</v>
      </c>
      <c r="X505" s="738"/>
      <c r="Y505" s="738"/>
      <c r="Z505" s="738"/>
      <c r="AA505" s="738"/>
      <c r="AB505" s="738"/>
      <c r="AC505" s="738"/>
      <c r="AD505" s="738"/>
      <c r="AE505" s="739"/>
    </row>
    <row r="506" spans="1:31" ht="50.1" customHeight="1" thickTop="1" thickBot="1">
      <c r="B506" s="334" t="s">
        <v>21</v>
      </c>
      <c r="C506" s="745"/>
      <c r="D506" s="335" t="s">
        <v>22</v>
      </c>
      <c r="E506" s="366" t="s">
        <v>23</v>
      </c>
      <c r="F506" s="336" t="s">
        <v>24</v>
      </c>
      <c r="G506" s="337" t="s">
        <v>118</v>
      </c>
      <c r="H506" s="338" t="s">
        <v>119</v>
      </c>
      <c r="I506" s="745"/>
      <c r="J506" s="745"/>
      <c r="K506" s="663" t="s">
        <v>120</v>
      </c>
      <c r="L506" s="339" t="s">
        <v>150</v>
      </c>
      <c r="M506" s="340" t="s">
        <v>14</v>
      </c>
      <c r="N506" s="341" t="s">
        <v>14</v>
      </c>
      <c r="O506" s="502" t="s">
        <v>152</v>
      </c>
      <c r="Q506" s="663" t="s">
        <v>128</v>
      </c>
      <c r="R506" s="663" t="s">
        <v>139</v>
      </c>
      <c r="S506" s="663" t="s">
        <v>164</v>
      </c>
      <c r="T506" s="575" t="s">
        <v>83</v>
      </c>
      <c r="U506" s="583"/>
      <c r="W506" s="740" t="s">
        <v>166</v>
      </c>
      <c r="X506" s="743"/>
      <c r="Y506" s="663" t="s">
        <v>168</v>
      </c>
      <c r="Z506" s="663" t="s">
        <v>169</v>
      </c>
      <c r="AA506" s="663" t="s">
        <v>174</v>
      </c>
      <c r="AB506" s="740" t="s">
        <v>524</v>
      </c>
      <c r="AC506" s="741"/>
      <c r="AD506" s="742" t="s">
        <v>522</v>
      </c>
      <c r="AE506" s="741"/>
    </row>
    <row r="507" spans="1:31" ht="14.25" hidden="1" customHeight="1">
      <c r="B507" s="342">
        <v>0</v>
      </c>
      <c r="C507" s="347"/>
      <c r="D507" s="343"/>
      <c r="E507" s="367"/>
      <c r="F507" s="344"/>
      <c r="G507" s="345"/>
      <c r="H507" s="346"/>
      <c r="I507" s="347"/>
      <c r="J507" s="347"/>
      <c r="K507" s="347"/>
      <c r="L507" s="348"/>
      <c r="M507" s="349"/>
      <c r="N507" s="350"/>
      <c r="O507" s="347"/>
      <c r="Q507" s="347"/>
      <c r="R507" s="347"/>
      <c r="S507" s="347"/>
      <c r="T507" s="563"/>
      <c r="U507" s="584"/>
      <c r="W507" s="502" t="s">
        <v>166</v>
      </c>
      <c r="X507" s="502"/>
      <c r="Y507" s="502" t="s">
        <v>168</v>
      </c>
      <c r="Z507" s="502" t="s">
        <v>169</v>
      </c>
      <c r="AA507" s="502" t="s">
        <v>170</v>
      </c>
      <c r="AB507" s="661" t="s">
        <v>170</v>
      </c>
      <c r="AC507" s="661" t="s">
        <v>170</v>
      </c>
      <c r="AD507" s="661" t="s">
        <v>170</v>
      </c>
      <c r="AE507" s="661" t="s">
        <v>170</v>
      </c>
    </row>
    <row r="508" spans="1:31" s="353" customFormat="1" ht="22.5" customHeight="1" thickTop="1">
      <c r="A508" s="351"/>
      <c r="B508" s="342">
        <f>IF(D508="","",B507+1)</f>
        <v>1</v>
      </c>
      <c r="C508" s="609">
        <v>3</v>
      </c>
      <c r="D508" s="610" t="s">
        <v>217</v>
      </c>
      <c r="E508" s="611" t="s">
        <v>347</v>
      </c>
      <c r="F508" s="612" t="s">
        <v>348</v>
      </c>
      <c r="G508" s="613" t="s">
        <v>172</v>
      </c>
      <c r="H508" s="614">
        <v>0.3</v>
      </c>
      <c r="I508" s="615" t="s">
        <v>173</v>
      </c>
      <c r="J508" s="616" t="s">
        <v>344</v>
      </c>
      <c r="K508" s="617">
        <v>40750</v>
      </c>
      <c r="L508" s="618">
        <v>1525.37</v>
      </c>
      <c r="M508" s="494">
        <f>IF(OR(K508="",L508=""),"",IF(I508="SI",H508*L508,""))</f>
        <v>457.61099999999999</v>
      </c>
      <c r="N508" s="503">
        <f>IF(OR(I508="",M508=""),"",IF(I508="NO",0,IF(I508="SI",ROUND(M508,3),0)))</f>
        <v>457.61099999999999</v>
      </c>
      <c r="O508" s="636"/>
      <c r="Q508" s="352" t="str">
        <f t="shared" ref="Q508:Q513" si="286">IF(K508="","",IF(AND(YEAR(K508)&gt;=YEAR($M$15), I508="SI",K508&lt;=$N$15),"CUMPLE","NO CUMPLE"))</f>
        <v>NO CUMPLE</v>
      </c>
      <c r="R508" s="636"/>
      <c r="S508" s="352" t="str">
        <f>IF(T508="","",IF(T508&gt;=20%,"CUMPLE","NO CUMPLE"))</f>
        <v/>
      </c>
      <c r="T508" s="656" t="str">
        <f t="shared" ref="T508:T513" si="287">IF(R508="","",VLOOKUP(J508,INTEGRAN,2,FALSE))</f>
        <v/>
      </c>
      <c r="U508" s="585"/>
      <c r="W508" s="594">
        <v>1</v>
      </c>
      <c r="X508" s="595" t="s">
        <v>356</v>
      </c>
      <c r="Y508" s="596">
        <f>IF(X508&lt;&gt;"",VLOOKUP(VALUE($F502&amp;","&amp;$W508),INTEGRANTES!$D$19:$G$106,3,0),"")</f>
        <v>0.6</v>
      </c>
      <c r="Z508" s="597">
        <f>IF(X508="","",SUMIF($J508:$J513,$X508,$N508:$N513))</f>
        <v>0</v>
      </c>
      <c r="AA508" s="604" t="str">
        <f>IF($Y508="","",IF(AND($Y508&gt;=20%,$Z508&gt;=$Z514),"CUMPLE","NO CUMPLE"))</f>
        <v>CUMPLE</v>
      </c>
      <c r="AB508" s="679"/>
      <c r="AC508" s="592" t="str">
        <f t="shared" ref="AC508:AC513" si="288">IF(X508="","",IF(AND(Y508&gt;=40%,AB508="SI"),"CUMPLE","NO CUMPLE"))</f>
        <v>NO CUMPLE</v>
      </c>
      <c r="AD508" s="679"/>
      <c r="AE508" s="593" t="str">
        <f t="shared" ref="AE508:AE513" si="289">IF(X508="","",IF(AD508="SI","CUMPLE","NO CUMPLE"))</f>
        <v>NO CUMPLE</v>
      </c>
    </row>
    <row r="509" spans="1:31" s="353" customFormat="1" ht="22.5" customHeight="1">
      <c r="A509" s="351"/>
      <c r="B509" s="342">
        <f>IF(D509="","",B508+1)</f>
        <v>2</v>
      </c>
      <c r="C509" s="619">
        <v>8</v>
      </c>
      <c r="D509" s="620" t="s">
        <v>349</v>
      </c>
      <c r="E509" s="621" t="s">
        <v>350</v>
      </c>
      <c r="F509" s="622" t="s">
        <v>351</v>
      </c>
      <c r="G509" s="623" t="s">
        <v>226</v>
      </c>
      <c r="H509" s="624">
        <v>1</v>
      </c>
      <c r="I509" s="625" t="s">
        <v>404</v>
      </c>
      <c r="J509" s="626" t="s">
        <v>344</v>
      </c>
      <c r="K509" s="627">
        <v>37131</v>
      </c>
      <c r="L509" s="618">
        <v>24.47</v>
      </c>
      <c r="M509" s="556" t="str">
        <f>IF(OR(K509="",L509=""),"",IF(I509="SI",H509*L509,""))</f>
        <v/>
      </c>
      <c r="N509" s="504" t="str">
        <f>IF(OR(I509="",M509=""),"",IF(I509="SI",ROUND(M509,3),0))</f>
        <v/>
      </c>
      <c r="O509" s="636"/>
      <c r="Q509" s="352" t="str">
        <f t="shared" si="286"/>
        <v>NO CUMPLE</v>
      </c>
      <c r="R509" s="636"/>
      <c r="S509" s="352" t="str">
        <f t="shared" ref="S509:S513" si="290">IF(T509="","",IF(T509&gt;=20%,"CUMPLE","NO CUMPLE"))</f>
        <v/>
      </c>
      <c r="T509" s="656" t="str">
        <f t="shared" si="287"/>
        <v/>
      </c>
      <c r="U509" s="586"/>
      <c r="W509" s="594">
        <v>2</v>
      </c>
      <c r="X509" s="595" t="str">
        <f>IF(AND(W509&lt;=$T505,$T505&gt;1,$T505&lt;&gt;""),VLOOKUP(VALUE($F502&amp;","&amp;W509),INTEGRANTES!$D$19:$G$106,2,0),"")</f>
        <v>DORA CRISTINA TORRES MAZABEL</v>
      </c>
      <c r="Y509" s="596">
        <f>IF(X509&lt;&gt;"",VLOOKUP(VALUE($F502&amp;","&amp;$W509),INTEGRANTES!$D$19:$G$106,3,0),"")</f>
        <v>0.1</v>
      </c>
      <c r="Z509" s="597">
        <f>IF(X509="","",SUMIF($J508:$J513,$X509,$N508:$N513))</f>
        <v>0</v>
      </c>
      <c r="AA509" s="604" t="str">
        <f>IF($Y509="","",IF(AND($Y509&gt;=20%,$Z509&gt;=$Z514),"CUMPLE","NO CUMPLE"))</f>
        <v>NO CUMPLE</v>
      </c>
      <c r="AB509" s="680"/>
      <c r="AC509" s="593" t="str">
        <f t="shared" si="288"/>
        <v>NO CUMPLE</v>
      </c>
      <c r="AD509" s="680"/>
      <c r="AE509" s="593" t="str">
        <f t="shared" si="289"/>
        <v>NO CUMPLE</v>
      </c>
    </row>
    <row r="510" spans="1:31" s="353" customFormat="1" ht="22.5" customHeight="1">
      <c r="A510" s="351"/>
      <c r="B510" s="342">
        <f t="shared" ref="B510:B513" si="291">IF(D510="","",B509+1)</f>
        <v>3</v>
      </c>
      <c r="C510" s="619">
        <v>13</v>
      </c>
      <c r="D510" s="620" t="s">
        <v>217</v>
      </c>
      <c r="E510" s="628" t="s">
        <v>352</v>
      </c>
      <c r="F510" s="622" t="s">
        <v>353</v>
      </c>
      <c r="G510" s="623" t="s">
        <v>226</v>
      </c>
      <c r="H510" s="624">
        <v>1</v>
      </c>
      <c r="I510" s="625" t="s">
        <v>173</v>
      </c>
      <c r="J510" s="626" t="s">
        <v>344</v>
      </c>
      <c r="K510" s="627">
        <v>42683</v>
      </c>
      <c r="L510" s="618">
        <v>55.23</v>
      </c>
      <c r="M510" s="556">
        <f t="shared" ref="M510:M513" si="292">IF(OR(K510="",L510=""),"",IF(I510="SI",H510*L510,""))</f>
        <v>55.23</v>
      </c>
      <c r="N510" s="504">
        <f>IF(OR(I510="",M510=""),"",IF(I510="SI",ROUND(M510,3),0))</f>
        <v>55.23</v>
      </c>
      <c r="O510" s="636"/>
      <c r="Q510" s="352" t="str">
        <f t="shared" si="286"/>
        <v>CUMPLE</v>
      </c>
      <c r="R510" s="636" t="s">
        <v>140</v>
      </c>
      <c r="S510" s="352" t="str">
        <f t="shared" si="290"/>
        <v>CUMPLE</v>
      </c>
      <c r="T510" s="656">
        <f t="shared" si="287"/>
        <v>0.6</v>
      </c>
      <c r="U510" s="586"/>
      <c r="W510" s="594">
        <v>3</v>
      </c>
      <c r="X510" s="595" t="str">
        <f>IF(AND(W510&lt;=$T505,$T505&gt;1,$T505&lt;&gt;""),VLOOKUP(VALUE($F502&amp;","&amp;W510),INTEGRANTES!$D$19:$G$106,2,0),"")</f>
        <v>DANIEL ENRIQUE ORTIZ CASTILLO</v>
      </c>
      <c r="Y510" s="596">
        <f>IF(X510&lt;&gt;"",VLOOKUP(VALUE($F502&amp;","&amp;$W510),INTEGRANTES!$D$19:$G$106,3,0),"")</f>
        <v>0.3</v>
      </c>
      <c r="Z510" s="597">
        <f>IF(X510="","",SUMIF($J508:$J513,$X510,$N508:$N513))</f>
        <v>0</v>
      </c>
      <c r="AA510" s="604" t="str">
        <f>IF($Y510="","",IF(AND($Y510&gt;=20%,$Z510&gt;=$Z514),"CUMPLE","NO CUMPLE"))</f>
        <v>CUMPLE</v>
      </c>
      <c r="AB510" s="680"/>
      <c r="AC510" s="593" t="str">
        <f t="shared" si="288"/>
        <v>NO CUMPLE</v>
      </c>
      <c r="AD510" s="680"/>
      <c r="AE510" s="593" t="str">
        <f t="shared" si="289"/>
        <v>NO CUMPLE</v>
      </c>
    </row>
    <row r="511" spans="1:31" s="353" customFormat="1" ht="22.5" customHeight="1">
      <c r="A511" s="351"/>
      <c r="B511" s="342">
        <f t="shared" si="291"/>
        <v>4</v>
      </c>
      <c r="C511" s="619">
        <v>14</v>
      </c>
      <c r="D511" s="620" t="s">
        <v>217</v>
      </c>
      <c r="E511" s="628" t="s">
        <v>354</v>
      </c>
      <c r="F511" s="622" t="s">
        <v>355</v>
      </c>
      <c r="G511" s="623" t="s">
        <v>226</v>
      </c>
      <c r="H511" s="624">
        <v>1</v>
      </c>
      <c r="I511" s="625" t="s">
        <v>173</v>
      </c>
      <c r="J511" s="626" t="s">
        <v>344</v>
      </c>
      <c r="K511" s="627">
        <v>42683</v>
      </c>
      <c r="L511" s="618">
        <v>69.75</v>
      </c>
      <c r="M511" s="555">
        <f t="shared" si="292"/>
        <v>69.75</v>
      </c>
      <c r="N511" s="504">
        <f>IF(OR(I511="",M511=""),"",IF(I511="SI",ROUND(M511,3),0))</f>
        <v>69.75</v>
      </c>
      <c r="O511" s="636"/>
      <c r="Q511" s="352" t="str">
        <f t="shared" si="286"/>
        <v>CUMPLE</v>
      </c>
      <c r="R511" s="636"/>
      <c r="S511" s="352" t="str">
        <f t="shared" si="290"/>
        <v/>
      </c>
      <c r="T511" s="656" t="str">
        <f t="shared" si="287"/>
        <v/>
      </c>
      <c r="U511" s="586"/>
      <c r="W511" s="594">
        <v>4</v>
      </c>
      <c r="X511" s="595" t="str">
        <f>IF(AND(W511&lt;=$T505,$T505&gt;1,$T505&lt;&gt;""),VLOOKUP(VALUE($F502&amp;","&amp;W511),INTEGRANTES!$D$19:$G$106,2,0),"")</f>
        <v/>
      </c>
      <c r="Y511" s="596" t="str">
        <f>IF(X511&lt;&gt;"",VLOOKUP(VALUE($F502&amp;","&amp;$W511),INTEGRANTES!$D$19:$G$106,3,0),"")</f>
        <v/>
      </c>
      <c r="Z511" s="597" t="str">
        <f>IF(X511="","",SUMIF($J508:$J513,$X511,$N508:$N513))</f>
        <v/>
      </c>
      <c r="AA511" s="604" t="str">
        <f>IF($Y511="","",IF(AND($Y511&gt;=20%,$Z511&gt;=$Z514),"CUMPLE","NO CUMPLE"))</f>
        <v/>
      </c>
      <c r="AB511" s="680"/>
      <c r="AC511" s="593" t="str">
        <f t="shared" si="288"/>
        <v/>
      </c>
      <c r="AD511" s="680"/>
      <c r="AE511" s="593" t="str">
        <f t="shared" si="289"/>
        <v/>
      </c>
    </row>
    <row r="512" spans="1:31" s="353" customFormat="1" ht="22.5" customHeight="1">
      <c r="A512" s="351"/>
      <c r="B512" s="342" t="str">
        <f t="shared" si="291"/>
        <v/>
      </c>
      <c r="C512" s="619"/>
      <c r="D512" s="620"/>
      <c r="E512" s="628"/>
      <c r="F512" s="622"/>
      <c r="G512" s="623"/>
      <c r="H512" s="624"/>
      <c r="I512" s="625"/>
      <c r="J512" s="629"/>
      <c r="K512" s="627"/>
      <c r="L512" s="618"/>
      <c r="M512" s="556" t="str">
        <f t="shared" si="292"/>
        <v/>
      </c>
      <c r="N512" s="504" t="str">
        <f>IF(OR(I512="",M512=""),"",IF(I512="SI",ROUND(M512,3),0))</f>
        <v/>
      </c>
      <c r="O512" s="636"/>
      <c r="Q512" s="352" t="str">
        <f t="shared" si="286"/>
        <v/>
      </c>
      <c r="R512" s="636"/>
      <c r="S512" s="352" t="str">
        <f t="shared" si="290"/>
        <v/>
      </c>
      <c r="T512" s="656" t="str">
        <f t="shared" si="287"/>
        <v/>
      </c>
      <c r="U512" s="586"/>
      <c r="W512" s="594">
        <v>5</v>
      </c>
      <c r="X512" s="595" t="str">
        <f>IF(AND(W512&lt;=$T505,$T505&gt;1,$T505&lt;&gt;""),VLOOKUP(VALUE($F502&amp;","&amp;W512),INTEGRANTES!$D$19:$G$106,2,0),"")</f>
        <v/>
      </c>
      <c r="Y512" s="596" t="str">
        <f>IF(X512&lt;&gt;"",VLOOKUP(VALUE($F502&amp;","&amp;$W512),INTEGRANTES!$D$19:$G$106,3,0),"")</f>
        <v/>
      </c>
      <c r="Z512" s="597" t="str">
        <f>IF(X512="","",SUMIF($J508:$J513,$X512,$N508:$N513))</f>
        <v/>
      </c>
      <c r="AA512" s="604" t="str">
        <f>IF($Y512="","",IF(AND($Y512&gt;=20%,$Z512&gt;=$Z514),"CUMPLE","NO CUMPLE"))</f>
        <v/>
      </c>
      <c r="AB512" s="680"/>
      <c r="AC512" s="593" t="str">
        <f t="shared" si="288"/>
        <v/>
      </c>
      <c r="AD512" s="680"/>
      <c r="AE512" s="593" t="str">
        <f t="shared" si="289"/>
        <v/>
      </c>
    </row>
    <row r="513" spans="1:31" s="353" customFormat="1" ht="22.5" customHeight="1">
      <c r="A513" s="351"/>
      <c r="B513" s="342" t="str">
        <f t="shared" si="291"/>
        <v/>
      </c>
      <c r="C513" s="619"/>
      <c r="D513" s="620"/>
      <c r="E513" s="628"/>
      <c r="F513" s="622"/>
      <c r="G513" s="623"/>
      <c r="H513" s="624"/>
      <c r="I513" s="625"/>
      <c r="J513" s="629"/>
      <c r="K513" s="627"/>
      <c r="L513" s="618"/>
      <c r="M513" s="555" t="str">
        <f t="shared" si="292"/>
        <v/>
      </c>
      <c r="N513" s="504" t="str">
        <f>IF(OR(I513="",M513=""),"",IF(I513="SI",ROUND(M513,3),0))</f>
        <v/>
      </c>
      <c r="O513" s="636"/>
      <c r="Q513" s="352" t="str">
        <f t="shared" si="286"/>
        <v/>
      </c>
      <c r="R513" s="636"/>
      <c r="S513" s="352" t="str">
        <f t="shared" si="290"/>
        <v/>
      </c>
      <c r="T513" s="656" t="str">
        <f t="shared" si="287"/>
        <v/>
      </c>
      <c r="U513" s="586"/>
      <c r="W513" s="599">
        <v>6</v>
      </c>
      <c r="X513" s="595" t="str">
        <f>IF(AND(W513&lt;=$T505,$T505&gt;1,$T505&lt;&gt;""),VLOOKUP(VALUE($F502&amp;","&amp;W513),INTEGRANTES!$D$19:$G$106,2,0),"")</f>
        <v/>
      </c>
      <c r="Y513" s="606" t="str">
        <f>IF(X513&lt;&gt;"",VLOOKUP(VALUE($F502&amp;","&amp;$W513),INTEGRANTES!$D$19:$G$106,3,0),"")</f>
        <v/>
      </c>
      <c r="Z513" s="607" t="str">
        <f>IF(X513="","",SUMIF($J508:$J513,$X513,$N508:$N513))</f>
        <v/>
      </c>
      <c r="AA513" s="608" t="str">
        <f>IF($Y513="","",IF(AND($Y513&gt;=20%,$Z513&gt;=$Z514),"CUMPLE","NO CUMPLE"))</f>
        <v/>
      </c>
      <c r="AB513" s="680"/>
      <c r="AC513" s="593" t="str">
        <f t="shared" si="288"/>
        <v/>
      </c>
      <c r="AD513" s="680"/>
      <c r="AE513" s="593" t="str">
        <f t="shared" si="289"/>
        <v/>
      </c>
    </row>
    <row r="514" spans="1:31" ht="5.0999999999999996" customHeight="1" thickBot="1">
      <c r="B514" s="354"/>
      <c r="C514" s="359"/>
      <c r="D514" s="355"/>
      <c r="E514" s="368"/>
      <c r="F514" s="355"/>
      <c r="G514" s="355"/>
      <c r="H514" s="355"/>
      <c r="I514" s="356"/>
      <c r="J514" s="357"/>
      <c r="K514" s="358"/>
      <c r="L514" s="355"/>
      <c r="M514" s="356"/>
      <c r="N514" s="360"/>
      <c r="O514" s="352" t="str">
        <f>IF(L514="","",IF(AND(L514&gt;=YEAR($M$15), J514="SI",L514&lt;=S508),"CUMPLE","NO CUMPLE"))</f>
        <v/>
      </c>
      <c r="Q514" s="352" t="str">
        <f>IF(N514="","",IF(AND(N514&gt;=YEAR($M$15), L514="SI",N514&lt;=V508),"CUMPLE","NO CUMPLE"))</f>
        <v/>
      </c>
      <c r="R514" s="352" t="str">
        <f>IF(P514="","",IF(AND(P514&gt;=YEAR($M$15), M514="SI",P514&lt;=W508),"CUMPLE","NO CUMPLE"))</f>
        <v/>
      </c>
      <c r="S514" s="352" t="str">
        <f>IF(P514="","",IF(AND(P514&gt;=YEAR($M$15), N514="SI",P514&lt;=X508),"CUMPLE","NO CUMPLE"))</f>
        <v/>
      </c>
      <c r="T514" s="564"/>
      <c r="U514" s="586"/>
      <c r="W514" s="600"/>
      <c r="X514" s="600"/>
      <c r="Y514" s="600"/>
      <c r="Z514" s="605">
        <f>MAX(Z508:Z513)</f>
        <v>0</v>
      </c>
      <c r="AA514" s="600"/>
      <c r="AB514" s="602"/>
      <c r="AC514" s="602"/>
      <c r="AD514" s="602"/>
      <c r="AE514" s="602"/>
    </row>
    <row r="515" spans="1:31" s="52" customFormat="1" ht="17.100000000000001" customHeight="1" thickTop="1" thickBot="1">
      <c r="A515" s="361">
        <f>F502</f>
        <v>28</v>
      </c>
      <c r="B515" s="364"/>
      <c r="C515" s="379"/>
      <c r="D515" s="664"/>
      <c r="E515" s="752"/>
      <c r="F515" s="752"/>
      <c r="G515" s="752"/>
      <c r="H515" s="752"/>
      <c r="I515" s="752"/>
      <c r="J515" s="752"/>
      <c r="K515" s="752"/>
      <c r="L515" s="753"/>
      <c r="M515" s="754"/>
      <c r="N515" s="365">
        <f>SUM(N508:N514)</f>
        <v>582.59100000000001</v>
      </c>
      <c r="O515" s="373"/>
      <c r="Q515" s="373" t="str">
        <f>IF(COUNTIF(Q508:Q511,"CUMPLE")&gt;0,"CUMPLE","NO CUMPLE")</f>
        <v>CUMPLE</v>
      </c>
      <c r="R515" s="374" t="str">
        <f>IF(COUNTIF(R508:R511,"COLOMBIA")&gt;0,"CUMPLE","NO CUMPLE")</f>
        <v>CUMPLE</v>
      </c>
      <c r="S515" s="373" t="str">
        <f>IF(COUNTIF(S508:S511,"CUMPLE")&gt;0,"CUMPLE","NO CUMPLE")</f>
        <v>CUMPLE</v>
      </c>
      <c r="T515" s="566"/>
      <c r="U515" s="587"/>
      <c r="AA515" s="589" t="str">
        <f>IF(COUNTIF(AA508:AA513,"CUMPLE")&gt;0,"CUMPLE","NO CUMPLE")</f>
        <v>CUMPLE</v>
      </c>
      <c r="AB515" s="735" t="str">
        <f>IF(COUNTIF(AC508:AC513,"CUMPLE")&gt;0,"CUMPLE","NO CUMPLE")</f>
        <v>NO CUMPLE</v>
      </c>
      <c r="AC515" s="736"/>
      <c r="AD515" s="735" t="str">
        <f>IF(COUNTIF(AE508:AE513,"CUMPLE")&gt;0,"CUMPLE","NO CUMPLE")</f>
        <v>NO CUMPLE</v>
      </c>
      <c r="AE515" s="736"/>
    </row>
    <row r="516" spans="1:31" ht="16.5" thickTop="1">
      <c r="B516" s="557"/>
      <c r="C516" s="558"/>
      <c r="D516" s="558"/>
      <c r="E516" s="558"/>
      <c r="F516" s="558"/>
      <c r="G516" s="558"/>
      <c r="H516" s="558"/>
      <c r="I516" s="558"/>
      <c r="J516" s="558"/>
      <c r="K516" s="558"/>
      <c r="L516" s="80"/>
      <c r="M516" s="362" t="s">
        <v>516</v>
      </c>
      <c r="N516" s="369">
        <f ca="1">VFrequerido!Y42</f>
        <v>537.11</v>
      </c>
      <c r="O516" s="568"/>
      <c r="Q516" s="570"/>
      <c r="R516" s="571"/>
      <c r="S516" s="572"/>
      <c r="T516" s="573"/>
      <c r="U516" s="80"/>
    </row>
    <row r="517" spans="1:31" ht="15.75" thickBot="1">
      <c r="A517" s="490" t="str">
        <f>"E"&amp;F502</f>
        <v>E28</v>
      </c>
      <c r="B517" s="559"/>
      <c r="C517" s="560"/>
      <c r="D517" s="560"/>
      <c r="E517" s="560"/>
      <c r="F517" s="560"/>
      <c r="G517" s="560"/>
      <c r="H517" s="560"/>
      <c r="I517" s="560"/>
      <c r="J517" s="560"/>
      <c r="K517" s="560"/>
      <c r="L517" s="363"/>
      <c r="M517" s="755" t="str">
        <f ca="1">IF(OR(N515=0,N515&lt;N516),"NO CUMPLE","CUMPLE")</f>
        <v>CUMPLE</v>
      </c>
      <c r="N517" s="756"/>
      <c r="O517" s="569"/>
      <c r="Q517" s="492"/>
      <c r="R517" s="493"/>
      <c r="S517" s="363"/>
      <c r="T517" s="574"/>
      <c r="U517" s="80"/>
    </row>
    <row r="518" spans="1:31" ht="13.5" thickTop="1"/>
    <row r="520" spans="1:31">
      <c r="F520" s="757">
        <f>F502+1</f>
        <v>29</v>
      </c>
      <c r="G520" s="758" t="str">
        <f>VLOOKUP(F520,PROPO,2,FALSE)</f>
        <v>GUILLERMO ALFONSO MEDINA ACEVEDO</v>
      </c>
      <c r="H520" s="758"/>
      <c r="I520" s="758"/>
      <c r="J520" s="758"/>
      <c r="K520" s="52"/>
      <c r="O520" s="52"/>
      <c r="Q520" s="52"/>
      <c r="R520" s="52"/>
    </row>
    <row r="521" spans="1:31">
      <c r="B521" s="328"/>
      <c r="C521" s="328"/>
      <c r="D521" s="328"/>
      <c r="E521" s="328"/>
      <c r="F521" s="757"/>
      <c r="G521" s="758"/>
      <c r="H521" s="758"/>
      <c r="I521" s="758"/>
      <c r="J521" s="758"/>
      <c r="K521" s="52"/>
      <c r="N521" s="567"/>
      <c r="O521" s="52"/>
      <c r="Q521" s="52"/>
      <c r="R521" s="52"/>
    </row>
    <row r="522" spans="1:31" ht="13.5" thickBot="1">
      <c r="B522" s="329"/>
      <c r="C522" s="329"/>
      <c r="D522" s="56"/>
      <c r="E522" s="56"/>
      <c r="F522" s="56"/>
      <c r="G522" s="56"/>
      <c r="H522" s="56"/>
      <c r="I522" s="56"/>
      <c r="J522" s="56"/>
      <c r="K522" s="330"/>
      <c r="L522" s="331"/>
      <c r="M522" s="331"/>
      <c r="N522" s="330"/>
      <c r="O522" s="330"/>
      <c r="Q522" s="330"/>
      <c r="R522" s="330"/>
    </row>
    <row r="523" spans="1:31" ht="50.1" customHeight="1" thickTop="1" thickBot="1">
      <c r="B523" s="332" t="s">
        <v>16</v>
      </c>
      <c r="C523" s="744" t="s">
        <v>121</v>
      </c>
      <c r="D523" s="333" t="s">
        <v>17</v>
      </c>
      <c r="E523" s="746" t="s">
        <v>18</v>
      </c>
      <c r="F523" s="747"/>
      <c r="G523" s="748" t="s">
        <v>117</v>
      </c>
      <c r="H523" s="749"/>
      <c r="I523" s="744" t="s">
        <v>39</v>
      </c>
      <c r="J523" s="744" t="s">
        <v>0</v>
      </c>
      <c r="K523" s="665" t="s">
        <v>19</v>
      </c>
      <c r="L523" s="750" t="s">
        <v>20</v>
      </c>
      <c r="M523" s="751"/>
      <c r="N523" s="68" t="s">
        <v>52</v>
      </c>
      <c r="O523" s="501" t="s">
        <v>151</v>
      </c>
      <c r="Q523" s="665" t="s">
        <v>127</v>
      </c>
      <c r="R523" s="665" t="s">
        <v>138</v>
      </c>
      <c r="S523" s="665" t="s">
        <v>163</v>
      </c>
      <c r="T523" s="565">
        <f>IF(VLOOKUP(F520,PROPONENTES!$C$19:$E$54,3,0)="","",VLOOKUP(F520,PROPONENTES!$C$19:$E$54,3,0))</f>
        <v>1</v>
      </c>
      <c r="U523" s="582"/>
      <c r="W523" s="737" t="s">
        <v>167</v>
      </c>
      <c r="X523" s="738"/>
      <c r="Y523" s="738"/>
      <c r="Z523" s="738"/>
      <c r="AA523" s="738"/>
      <c r="AB523" s="738"/>
      <c r="AC523" s="738"/>
      <c r="AD523" s="738"/>
      <c r="AE523" s="739"/>
    </row>
    <row r="524" spans="1:31" ht="50.1" customHeight="1" thickTop="1" thickBot="1">
      <c r="B524" s="334" t="s">
        <v>21</v>
      </c>
      <c r="C524" s="745"/>
      <c r="D524" s="335" t="s">
        <v>22</v>
      </c>
      <c r="E524" s="366" t="s">
        <v>23</v>
      </c>
      <c r="F524" s="336" t="s">
        <v>24</v>
      </c>
      <c r="G524" s="337" t="s">
        <v>118</v>
      </c>
      <c r="H524" s="338" t="s">
        <v>119</v>
      </c>
      <c r="I524" s="745"/>
      <c r="J524" s="745"/>
      <c r="K524" s="663" t="s">
        <v>120</v>
      </c>
      <c r="L524" s="339" t="s">
        <v>150</v>
      </c>
      <c r="M524" s="340" t="s">
        <v>14</v>
      </c>
      <c r="N524" s="341" t="s">
        <v>14</v>
      </c>
      <c r="O524" s="502" t="s">
        <v>152</v>
      </c>
      <c r="Q524" s="663" t="s">
        <v>128</v>
      </c>
      <c r="R524" s="663" t="s">
        <v>139</v>
      </c>
      <c r="S524" s="663" t="s">
        <v>164</v>
      </c>
      <c r="T524" s="575" t="s">
        <v>83</v>
      </c>
      <c r="U524" s="583"/>
      <c r="W524" s="740" t="s">
        <v>166</v>
      </c>
      <c r="X524" s="743"/>
      <c r="Y524" s="663" t="s">
        <v>168</v>
      </c>
      <c r="Z524" s="663" t="s">
        <v>169</v>
      </c>
      <c r="AA524" s="663" t="s">
        <v>174</v>
      </c>
      <c r="AB524" s="740" t="s">
        <v>524</v>
      </c>
      <c r="AC524" s="741"/>
      <c r="AD524" s="742" t="s">
        <v>522</v>
      </c>
      <c r="AE524" s="741"/>
    </row>
    <row r="525" spans="1:31" ht="14.25" hidden="1" customHeight="1">
      <c r="B525" s="342">
        <v>0</v>
      </c>
      <c r="C525" s="347"/>
      <c r="D525" s="343"/>
      <c r="E525" s="367"/>
      <c r="F525" s="344"/>
      <c r="G525" s="345"/>
      <c r="H525" s="346"/>
      <c r="I525" s="347"/>
      <c r="J525" s="347"/>
      <c r="K525" s="347"/>
      <c r="L525" s="348"/>
      <c r="M525" s="349"/>
      <c r="N525" s="350"/>
      <c r="O525" s="347"/>
      <c r="Q525" s="347"/>
      <c r="R525" s="347"/>
      <c r="S525" s="347"/>
      <c r="T525" s="563"/>
      <c r="U525" s="584"/>
      <c r="W525" s="502" t="s">
        <v>166</v>
      </c>
      <c r="X525" s="502"/>
      <c r="Y525" s="502" t="s">
        <v>168</v>
      </c>
      <c r="Z525" s="502" t="s">
        <v>169</v>
      </c>
      <c r="AA525" s="502" t="s">
        <v>170</v>
      </c>
      <c r="AB525" s="661" t="s">
        <v>170</v>
      </c>
      <c r="AC525" s="661" t="s">
        <v>170</v>
      </c>
      <c r="AD525" s="661" t="s">
        <v>170</v>
      </c>
      <c r="AE525" s="661" t="s">
        <v>170</v>
      </c>
    </row>
    <row r="526" spans="1:31" s="353" customFormat="1" ht="58.5" customHeight="1" thickTop="1">
      <c r="A526" s="351"/>
      <c r="B526" s="342">
        <f>IF(D526="","",B525+1)</f>
        <v>1</v>
      </c>
      <c r="C526" s="609">
        <v>2</v>
      </c>
      <c r="D526" s="610" t="s">
        <v>217</v>
      </c>
      <c r="E526" s="611" t="s">
        <v>491</v>
      </c>
      <c r="F526" s="612" t="s">
        <v>494</v>
      </c>
      <c r="G526" s="613" t="s">
        <v>226</v>
      </c>
      <c r="H526" s="614">
        <v>1</v>
      </c>
      <c r="I526" s="615" t="s">
        <v>173</v>
      </c>
      <c r="J526" s="616" t="s">
        <v>204</v>
      </c>
      <c r="K526" s="617">
        <v>35277</v>
      </c>
      <c r="L526" s="618">
        <v>45.73</v>
      </c>
      <c r="M526" s="494">
        <f>IF(OR(K526="",L526=""),"",IF(I526="SI",H526*L526,""))</f>
        <v>45.73</v>
      </c>
      <c r="N526" s="503">
        <f>IF(OR(I526="",M526=""),"",IF(I526="NO",0,IF(I526="SI",ROUND(M526,3),0)))</f>
        <v>45.73</v>
      </c>
      <c r="O526" s="636"/>
      <c r="Q526" s="352" t="str">
        <f t="shared" ref="Q526:Q527" si="293">IF(K526="","",IF(AND(YEAR(K526)&gt;=YEAR($M$15), I526="SI",K526&lt;=$N$15),"CUMPLE","NO CUMPLE"))</f>
        <v>NO CUMPLE</v>
      </c>
      <c r="R526" s="636"/>
      <c r="S526" s="352" t="str">
        <f t="shared" ref="S526:S527" si="294">IF(T526="","",IF(T526&gt;=20%,"CUMPLE","NO CUMPLE"))</f>
        <v/>
      </c>
      <c r="T526" s="656"/>
      <c r="U526" s="585"/>
      <c r="W526" s="594">
        <v>1</v>
      </c>
      <c r="X526" s="595"/>
      <c r="Y526" s="596" t="str">
        <f>IF(X526&lt;&gt;"",VLOOKUP(VALUE($F520&amp;","&amp;$W526),INTEGRANTES!$D$19:$G$106,3,0),"")</f>
        <v/>
      </c>
      <c r="Z526" s="597" t="str">
        <f>IF(X526="","",SUMIF($J526:$J531,$X526,$N526:$N531))</f>
        <v/>
      </c>
      <c r="AA526" s="604" t="str">
        <f>IF($Y526="","",IF(AND($Y526&gt;=20%,$Z526&gt;=$Z532),"CUMPLE","NO CUMPLE"))</f>
        <v/>
      </c>
      <c r="AB526" s="679" t="s">
        <v>525</v>
      </c>
      <c r="AC526" s="592" t="str">
        <f t="shared" ref="AC526:AC531" si="295">IF(X526="","",IF(AND(Y526&gt;=40%,AB526="SI"),"CUMPLE","NO CUMPLE"))</f>
        <v/>
      </c>
      <c r="AD526" s="679" t="s">
        <v>525</v>
      </c>
      <c r="AE526" s="593" t="str">
        <f t="shared" ref="AE526:AE531" si="296">IF(X526="","",IF(AD526="SI","CUMPLE","NO CUMPLE"))</f>
        <v/>
      </c>
    </row>
    <row r="527" spans="1:31" s="353" customFormat="1" ht="49.5" customHeight="1">
      <c r="A527" s="351"/>
      <c r="B527" s="342">
        <f>IF(D527="","",B526+1)</f>
        <v>2</v>
      </c>
      <c r="C527" s="619">
        <v>10</v>
      </c>
      <c r="D527" s="610" t="s">
        <v>217</v>
      </c>
      <c r="E527" s="621" t="s">
        <v>492</v>
      </c>
      <c r="F527" s="622" t="s">
        <v>495</v>
      </c>
      <c r="G527" s="613" t="s">
        <v>226</v>
      </c>
      <c r="H527" s="624">
        <v>1</v>
      </c>
      <c r="I527" s="625" t="s">
        <v>173</v>
      </c>
      <c r="J527" s="616" t="s">
        <v>204</v>
      </c>
      <c r="K527" s="627">
        <v>38638</v>
      </c>
      <c r="L527" s="618">
        <v>146.29</v>
      </c>
      <c r="M527" s="556">
        <f>IF(OR(K527="",L527=""),"",IF(I527="SI",H527*L527,""))</f>
        <v>146.29</v>
      </c>
      <c r="N527" s="504">
        <f>IF(OR(I527="",M527=""),"",IF(I527="SI",ROUND(M527,3),0))</f>
        <v>146.29</v>
      </c>
      <c r="O527" s="636"/>
      <c r="Q527" s="352" t="str">
        <f t="shared" si="293"/>
        <v>NO CUMPLE</v>
      </c>
      <c r="R527" s="636"/>
      <c r="S527" s="352" t="str">
        <f t="shared" si="294"/>
        <v/>
      </c>
      <c r="T527" s="656"/>
      <c r="U527" s="586"/>
      <c r="W527" s="594">
        <v>2</v>
      </c>
      <c r="X527" s="595"/>
      <c r="Y527" s="596" t="str">
        <f>IF(X527&lt;&gt;"",VLOOKUP(VALUE($F520&amp;","&amp;$W527),INTEGRANTES!$D$19:$G$106,3,0),"")</f>
        <v/>
      </c>
      <c r="Z527" s="597" t="str">
        <f>IF(X527="","",SUMIF($J526:$J531,$X527,$N526:$N531))</f>
        <v/>
      </c>
      <c r="AA527" s="604" t="str">
        <f>IF($Y527="","",IF(AND($Y527&gt;=20%,$Z527&gt;=$Z532),"CUMPLE","NO CUMPLE"))</f>
        <v/>
      </c>
      <c r="AB527" s="680"/>
      <c r="AC527" s="593" t="str">
        <f t="shared" si="295"/>
        <v/>
      </c>
      <c r="AD527" s="680"/>
      <c r="AE527" s="593" t="str">
        <f t="shared" si="296"/>
        <v/>
      </c>
    </row>
    <row r="528" spans="1:31" s="353" customFormat="1" ht="22.5" customHeight="1">
      <c r="A528" s="351"/>
      <c r="B528" s="342">
        <f t="shared" ref="B528:B531" si="297">IF(D528="","",B527+1)</f>
        <v>3</v>
      </c>
      <c r="C528" s="619">
        <v>14</v>
      </c>
      <c r="D528" s="610" t="s">
        <v>217</v>
      </c>
      <c r="E528" s="628" t="s">
        <v>493</v>
      </c>
      <c r="F528" s="622" t="s">
        <v>496</v>
      </c>
      <c r="G528" s="623" t="s">
        <v>172</v>
      </c>
      <c r="H528" s="624">
        <v>0.6</v>
      </c>
      <c r="I528" s="625" t="s">
        <v>173</v>
      </c>
      <c r="J528" s="616" t="s">
        <v>204</v>
      </c>
      <c r="K528" s="627">
        <v>43555</v>
      </c>
      <c r="L528" s="618">
        <v>673.5</v>
      </c>
      <c r="M528" s="556">
        <f t="shared" ref="M528:M531" si="298">IF(OR(K528="",L528=""),"",IF(I528="SI",H528*L528,""))</f>
        <v>404.1</v>
      </c>
      <c r="N528" s="504">
        <f>IF(OR(I528="",M528=""),"",IF(I528="SI",ROUND(M528,3),0))</f>
        <v>404.1</v>
      </c>
      <c r="O528" s="636"/>
      <c r="Q528" s="352" t="str">
        <f t="shared" ref="Q528:Q531" si="299">IF(K528="","",IF(AND(YEAR(K528)&gt;=YEAR($M$15), I528="SI",K528&lt;=$N$15),"CUMPLE","NO CUMPLE"))</f>
        <v>CUMPLE</v>
      </c>
      <c r="R528" s="636" t="s">
        <v>140</v>
      </c>
      <c r="S528" s="352" t="str">
        <f t="shared" ref="S528:S531" si="300">IF(T528="","",IF(T528&gt;=20%,"CUMPLE","NO CUMPLE"))</f>
        <v>CUMPLE</v>
      </c>
      <c r="T528" s="656">
        <f t="shared" ref="T528:T531" si="301">IF(R528="","",VLOOKUP(J528,INTEGRAN,2,FALSE))</f>
        <v>1</v>
      </c>
      <c r="U528" s="586"/>
      <c r="W528" s="594">
        <v>3</v>
      </c>
      <c r="X528" s="595" t="str">
        <f>IF(AND(W528&lt;=$T523,$T523&gt;1,$T523&lt;&gt;""),VLOOKUP(VALUE($F520&amp;","&amp;W528),INTEGRANTES!$D$19:$G$106,2,0),"")</f>
        <v/>
      </c>
      <c r="Y528" s="596" t="str">
        <f>IF(X528&lt;&gt;"",VLOOKUP(VALUE($F520&amp;","&amp;$W528),INTEGRANTES!$D$19:$G$106,3,0),"")</f>
        <v/>
      </c>
      <c r="Z528" s="597" t="str">
        <f>IF(X528="","",SUMIF($J526:$J531,$X528,$N526:$N531))</f>
        <v/>
      </c>
      <c r="AA528" s="604" t="str">
        <f>IF($Y528="","",IF(AND($Y528&gt;=20%,$Z528&gt;=$Z532),"CUMPLE","NO CUMPLE"))</f>
        <v/>
      </c>
      <c r="AB528" s="680"/>
      <c r="AC528" s="593" t="str">
        <f t="shared" si="295"/>
        <v/>
      </c>
      <c r="AD528" s="680"/>
      <c r="AE528" s="593" t="str">
        <f t="shared" si="296"/>
        <v/>
      </c>
    </row>
    <row r="529" spans="1:31" s="353" customFormat="1" ht="22.5" customHeight="1">
      <c r="A529" s="351"/>
      <c r="B529" s="342" t="str">
        <f t="shared" si="297"/>
        <v/>
      </c>
      <c r="C529" s="619"/>
      <c r="D529" s="620"/>
      <c r="E529" s="628"/>
      <c r="F529" s="622"/>
      <c r="G529" s="623"/>
      <c r="H529" s="624"/>
      <c r="I529" s="625"/>
      <c r="J529" s="629"/>
      <c r="K529" s="627"/>
      <c r="L529" s="618"/>
      <c r="M529" s="555" t="str">
        <f t="shared" si="298"/>
        <v/>
      </c>
      <c r="N529" s="504" t="str">
        <f>IF(OR(I529="",M529=""),"",IF(I529="SI",ROUND(M529,3),0))</f>
        <v/>
      </c>
      <c r="O529" s="636"/>
      <c r="Q529" s="352" t="str">
        <f t="shared" si="299"/>
        <v/>
      </c>
      <c r="R529" s="636"/>
      <c r="S529" s="352" t="str">
        <f t="shared" si="300"/>
        <v/>
      </c>
      <c r="T529" s="656" t="str">
        <f t="shared" si="301"/>
        <v/>
      </c>
      <c r="U529" s="586"/>
      <c r="W529" s="594">
        <v>4</v>
      </c>
      <c r="X529" s="595" t="str">
        <f>IF(AND(W529&lt;=$T523,$T523&gt;1,$T523&lt;&gt;""),VLOOKUP(VALUE($F520&amp;","&amp;W529),INTEGRANTES!$D$19:$G$106,2,0),"")</f>
        <v/>
      </c>
      <c r="Y529" s="596" t="str">
        <f>IF(X529&lt;&gt;"",VLOOKUP(VALUE($F520&amp;","&amp;$W529),INTEGRANTES!$D$19:$G$106,3,0),"")</f>
        <v/>
      </c>
      <c r="Z529" s="597" t="str">
        <f>IF(X529="","",SUMIF($J526:$J531,$X529,$N526:$N531))</f>
        <v/>
      </c>
      <c r="AA529" s="604" t="str">
        <f>IF($Y529="","",IF(AND($Y529&gt;=20%,$Z529&gt;=$Z532),"CUMPLE","NO CUMPLE"))</f>
        <v/>
      </c>
      <c r="AB529" s="680"/>
      <c r="AC529" s="593" t="str">
        <f t="shared" si="295"/>
        <v/>
      </c>
      <c r="AD529" s="680"/>
      <c r="AE529" s="593" t="str">
        <f t="shared" si="296"/>
        <v/>
      </c>
    </row>
    <row r="530" spans="1:31" s="353" customFormat="1" ht="22.5" customHeight="1">
      <c r="A530" s="351"/>
      <c r="B530" s="342" t="str">
        <f t="shared" si="297"/>
        <v/>
      </c>
      <c r="C530" s="619"/>
      <c r="D530" s="620"/>
      <c r="E530" s="628"/>
      <c r="F530" s="622"/>
      <c r="G530" s="623"/>
      <c r="H530" s="624"/>
      <c r="I530" s="625"/>
      <c r="J530" s="629"/>
      <c r="K530" s="627"/>
      <c r="L530" s="618"/>
      <c r="M530" s="556" t="str">
        <f t="shared" si="298"/>
        <v/>
      </c>
      <c r="N530" s="504" t="str">
        <f>IF(OR(I530="",M530=""),"",IF(I530="SI",ROUND(M530,3),0))</f>
        <v/>
      </c>
      <c r="O530" s="636"/>
      <c r="Q530" s="352" t="str">
        <f t="shared" si="299"/>
        <v/>
      </c>
      <c r="R530" s="636"/>
      <c r="S530" s="352" t="str">
        <f t="shared" si="300"/>
        <v/>
      </c>
      <c r="T530" s="656" t="str">
        <f t="shared" si="301"/>
        <v/>
      </c>
      <c r="U530" s="586"/>
      <c r="W530" s="594">
        <v>5</v>
      </c>
      <c r="X530" s="595" t="str">
        <f>IF(AND(W530&lt;=$T523,$T523&gt;1,$T523&lt;&gt;""),VLOOKUP(VALUE($F520&amp;","&amp;W530),INTEGRANTES!$D$19:$G$106,2,0),"")</f>
        <v/>
      </c>
      <c r="Y530" s="596" t="str">
        <f>IF(X530&lt;&gt;"",VLOOKUP(VALUE($F520&amp;","&amp;$W530),INTEGRANTES!$D$19:$G$106,3,0),"")</f>
        <v/>
      </c>
      <c r="Z530" s="597" t="str">
        <f>IF(X530="","",SUMIF($J526:$J531,$X530,$N526:$N531))</f>
        <v/>
      </c>
      <c r="AA530" s="604" t="str">
        <f>IF($Y530="","",IF(AND($Y530&gt;=20%,$Z530&gt;=$Z532),"CUMPLE","NO CUMPLE"))</f>
        <v/>
      </c>
      <c r="AB530" s="680"/>
      <c r="AC530" s="593" t="str">
        <f t="shared" si="295"/>
        <v/>
      </c>
      <c r="AD530" s="680"/>
      <c r="AE530" s="593" t="str">
        <f t="shared" si="296"/>
        <v/>
      </c>
    </row>
    <row r="531" spans="1:31" s="353" customFormat="1" ht="22.5" customHeight="1">
      <c r="A531" s="351"/>
      <c r="B531" s="342" t="str">
        <f t="shared" si="297"/>
        <v/>
      </c>
      <c r="C531" s="619"/>
      <c r="D531" s="620"/>
      <c r="E531" s="628"/>
      <c r="F531" s="622"/>
      <c r="G531" s="623"/>
      <c r="H531" s="624"/>
      <c r="I531" s="625"/>
      <c r="J531" s="629"/>
      <c r="K531" s="627"/>
      <c r="L531" s="618"/>
      <c r="M531" s="555" t="str">
        <f t="shared" si="298"/>
        <v/>
      </c>
      <c r="N531" s="504" t="str">
        <f>IF(OR(I531="",M531=""),"",IF(I531="SI",ROUND(M531,3),0))</f>
        <v/>
      </c>
      <c r="O531" s="636"/>
      <c r="Q531" s="352" t="str">
        <f t="shared" si="299"/>
        <v/>
      </c>
      <c r="R531" s="636"/>
      <c r="S531" s="352" t="str">
        <f t="shared" si="300"/>
        <v/>
      </c>
      <c r="T531" s="656" t="str">
        <f t="shared" si="301"/>
        <v/>
      </c>
      <c r="U531" s="586"/>
      <c r="W531" s="599">
        <v>6</v>
      </c>
      <c r="X531" s="595" t="str">
        <f>IF(AND(W531&lt;=$T523,$T523&gt;1,$T523&lt;&gt;""),VLOOKUP(VALUE($F520&amp;","&amp;W531),INTEGRANTES!$D$19:$G$106,2,0),"")</f>
        <v/>
      </c>
      <c r="Y531" s="606" t="str">
        <f>IF(X531&lt;&gt;"",VLOOKUP(VALUE($F520&amp;","&amp;$W531),INTEGRANTES!$D$19:$G$106,3,0),"")</f>
        <v/>
      </c>
      <c r="Z531" s="607" t="str">
        <f>IF(X531="","",SUMIF($J526:$J531,$X531,$N526:$N531))</f>
        <v/>
      </c>
      <c r="AA531" s="608" t="str">
        <f>IF($Y531="","",IF(AND($Y531&gt;=20%,$Z531&gt;=$Z532),"CUMPLE","NO CUMPLE"))</f>
        <v/>
      </c>
      <c r="AB531" s="680"/>
      <c r="AC531" s="593" t="str">
        <f t="shared" si="295"/>
        <v/>
      </c>
      <c r="AD531" s="680"/>
      <c r="AE531" s="593" t="str">
        <f t="shared" si="296"/>
        <v/>
      </c>
    </row>
    <row r="532" spans="1:31" ht="5.0999999999999996" customHeight="1" thickBot="1">
      <c r="B532" s="354"/>
      <c r="C532" s="359"/>
      <c r="D532" s="355"/>
      <c r="E532" s="368"/>
      <c r="F532" s="355"/>
      <c r="G532" s="355"/>
      <c r="H532" s="355"/>
      <c r="I532" s="356"/>
      <c r="J532" s="357"/>
      <c r="K532" s="358"/>
      <c r="L532" s="355"/>
      <c r="M532" s="356"/>
      <c r="N532" s="360"/>
      <c r="O532" s="352" t="str">
        <f>IF(L532="","",IF(AND(L532&gt;=YEAR($M$15), J532="SI",L532&lt;=S526),"CUMPLE","NO CUMPLE"))</f>
        <v/>
      </c>
      <c r="Q532" s="352" t="str">
        <f>IF(N532="","",IF(AND(N532&gt;=YEAR($M$15), L532="SI",N532&lt;=V526),"CUMPLE","NO CUMPLE"))</f>
        <v/>
      </c>
      <c r="R532" s="352" t="str">
        <f>IF(P532="","",IF(AND(P532&gt;=YEAR($M$15), M532="SI",P532&lt;=W526),"CUMPLE","NO CUMPLE"))</f>
        <v/>
      </c>
      <c r="S532" s="352" t="str">
        <f>IF(P532="","",IF(AND(P532&gt;=YEAR($M$15), N532="SI",P532&lt;=X526),"CUMPLE","NO CUMPLE"))</f>
        <v/>
      </c>
      <c r="T532" s="564"/>
      <c r="U532" s="586"/>
      <c r="W532" s="600"/>
      <c r="X532" s="600"/>
      <c r="Y532" s="600"/>
      <c r="Z532" s="605">
        <f>MAX(Z526:Z531)</f>
        <v>0</v>
      </c>
      <c r="AA532" s="600"/>
      <c r="AB532" s="602"/>
      <c r="AC532" s="602"/>
      <c r="AD532" s="602"/>
      <c r="AE532" s="602"/>
    </row>
    <row r="533" spans="1:31" s="52" customFormat="1" ht="17.100000000000001" customHeight="1" thickTop="1" thickBot="1">
      <c r="A533" s="361">
        <f>F520</f>
        <v>29</v>
      </c>
      <c r="B533" s="364"/>
      <c r="C533" s="379"/>
      <c r="D533" s="664"/>
      <c r="E533" s="752"/>
      <c r="F533" s="752"/>
      <c r="G533" s="752"/>
      <c r="H533" s="752"/>
      <c r="I533" s="752"/>
      <c r="J533" s="752"/>
      <c r="K533" s="752"/>
      <c r="L533" s="753"/>
      <c r="M533" s="754"/>
      <c r="N533" s="365">
        <f>SUM(N526:N532)</f>
        <v>596.12</v>
      </c>
      <c r="O533" s="373"/>
      <c r="Q533" s="373" t="str">
        <f>IF(COUNTIF(Q526:Q529,"CUMPLE")&gt;0,"CUMPLE","NO CUMPLE")</f>
        <v>CUMPLE</v>
      </c>
      <c r="R533" s="374" t="str">
        <f>IF(COUNTIF(R526:R529,"COLOMBIA")&gt;0,"CUMPLE","NO CUMPLE")</f>
        <v>CUMPLE</v>
      </c>
      <c r="S533" s="373" t="str">
        <f>IF(COUNTIF(S526:S529,"CUMPLE")&gt;0,"CUMPLE","NO CUMPLE")</f>
        <v>CUMPLE</v>
      </c>
      <c r="T533" s="566"/>
      <c r="U533" s="587"/>
      <c r="AA533" s="589" t="str">
        <f>IF(T523=1,"CUMPLE",IF(COUNTIF(AA526:AA531,"CUMPLE")&gt;0,"CUMPLE","NO CUMPLE"))</f>
        <v>CUMPLE</v>
      </c>
      <c r="AB533" s="735" t="str">
        <f>IF(COUNTIF(AC526:AC531,"CUMPLE")&gt;0,"CUMPLE","NO CUMPLE")</f>
        <v>NO CUMPLE</v>
      </c>
      <c r="AC533" s="736"/>
      <c r="AD533" s="735" t="str">
        <f>IF(COUNTIF(AE526:AE531,"CUMPLE")&gt;0,"CUMPLE","NO CUMPLE")</f>
        <v>NO CUMPLE</v>
      </c>
      <c r="AE533" s="736"/>
    </row>
    <row r="534" spans="1:31" ht="16.5" thickTop="1">
      <c r="B534" s="557"/>
      <c r="C534" s="558"/>
      <c r="D534" s="558"/>
      <c r="E534" s="558"/>
      <c r="F534" s="558"/>
      <c r="G534" s="558"/>
      <c r="H534" s="558"/>
      <c r="I534" s="558"/>
      <c r="J534" s="558"/>
      <c r="K534" s="558"/>
      <c r="L534" s="80"/>
      <c r="M534" s="362" t="s">
        <v>516</v>
      </c>
      <c r="N534" s="369">
        <f ca="1">VFrequerido!Y43</f>
        <v>537.11</v>
      </c>
      <c r="O534" s="568"/>
      <c r="Q534" s="570"/>
      <c r="R534" s="571"/>
      <c r="S534" s="572"/>
      <c r="T534" s="573"/>
      <c r="U534" s="80"/>
    </row>
    <row r="535" spans="1:31" ht="15.75" thickBot="1">
      <c r="A535" s="490" t="str">
        <f>"E"&amp;F520</f>
        <v>E29</v>
      </c>
      <c r="B535" s="559"/>
      <c r="C535" s="560"/>
      <c r="D535" s="560"/>
      <c r="E535" s="560"/>
      <c r="F535" s="560"/>
      <c r="G535" s="560"/>
      <c r="H535" s="560"/>
      <c r="I535" s="560"/>
      <c r="J535" s="560"/>
      <c r="K535" s="560"/>
      <c r="L535" s="363"/>
      <c r="M535" s="755" t="str">
        <f ca="1">IF(OR(N533=0,N533&lt;N534),"NO CUMPLE","CUMPLE")</f>
        <v>CUMPLE</v>
      </c>
      <c r="N535" s="756"/>
      <c r="O535" s="569"/>
      <c r="Q535" s="492"/>
      <c r="R535" s="493"/>
      <c r="S535" s="363"/>
      <c r="T535" s="574"/>
      <c r="U535" s="80"/>
    </row>
    <row r="536" spans="1:31" ht="13.5" thickTop="1"/>
    <row r="538" spans="1:31">
      <c r="F538" s="757">
        <f>F520+1</f>
        <v>30</v>
      </c>
      <c r="G538" s="758" t="str">
        <f>VLOOKUP(F538,PROPO,2,FALSE)</f>
        <v>CONSORCIO PI</v>
      </c>
      <c r="H538" s="758"/>
      <c r="I538" s="758"/>
      <c r="J538" s="758"/>
      <c r="K538" s="52"/>
      <c r="O538" s="52"/>
      <c r="Q538" s="52"/>
      <c r="R538" s="52"/>
    </row>
    <row r="539" spans="1:31">
      <c r="B539" s="328"/>
      <c r="C539" s="328"/>
      <c r="D539" s="328"/>
      <c r="E539" s="328"/>
      <c r="F539" s="757"/>
      <c r="G539" s="758"/>
      <c r="H539" s="758"/>
      <c r="I539" s="758"/>
      <c r="J539" s="758"/>
      <c r="K539" s="52"/>
      <c r="N539" s="567"/>
      <c r="O539" s="52"/>
      <c r="Q539" s="52"/>
      <c r="R539" s="52"/>
    </row>
    <row r="540" spans="1:31" ht="13.5" thickBot="1">
      <c r="B540" s="329"/>
      <c r="C540" s="329"/>
      <c r="D540" s="56"/>
      <c r="E540" s="56"/>
      <c r="F540" s="56"/>
      <c r="G540" s="56"/>
      <c r="H540" s="56"/>
      <c r="I540" s="56"/>
      <c r="J540" s="56"/>
      <c r="K540" s="330"/>
      <c r="L540" s="331"/>
      <c r="M540" s="331"/>
      <c r="N540" s="330"/>
      <c r="O540" s="330"/>
      <c r="Q540" s="330"/>
      <c r="R540" s="330"/>
    </row>
    <row r="541" spans="1:31" ht="50.1" customHeight="1" thickTop="1" thickBot="1">
      <c r="B541" s="332" t="s">
        <v>16</v>
      </c>
      <c r="C541" s="744" t="s">
        <v>121</v>
      </c>
      <c r="D541" s="333" t="s">
        <v>17</v>
      </c>
      <c r="E541" s="746" t="s">
        <v>18</v>
      </c>
      <c r="F541" s="747"/>
      <c r="G541" s="748" t="s">
        <v>117</v>
      </c>
      <c r="H541" s="749"/>
      <c r="I541" s="744" t="s">
        <v>39</v>
      </c>
      <c r="J541" s="744" t="s">
        <v>0</v>
      </c>
      <c r="K541" s="665" t="s">
        <v>19</v>
      </c>
      <c r="L541" s="750" t="s">
        <v>20</v>
      </c>
      <c r="M541" s="751"/>
      <c r="N541" s="68" t="s">
        <v>52</v>
      </c>
      <c r="O541" s="501" t="s">
        <v>151</v>
      </c>
      <c r="Q541" s="665" t="s">
        <v>127</v>
      </c>
      <c r="R541" s="665" t="s">
        <v>138</v>
      </c>
      <c r="S541" s="665" t="s">
        <v>163</v>
      </c>
      <c r="T541" s="565">
        <f>IF(VLOOKUP(F538,PROPONENTES!$C$19:$E$54,3,0)="","",VLOOKUP(F538,PROPONENTES!$C$19:$E$54,3,0))</f>
        <v>2</v>
      </c>
      <c r="U541" s="582"/>
      <c r="W541" s="737" t="s">
        <v>167</v>
      </c>
      <c r="X541" s="738"/>
      <c r="Y541" s="738"/>
      <c r="Z541" s="738"/>
      <c r="AA541" s="738"/>
      <c r="AB541" s="738"/>
      <c r="AC541" s="738"/>
      <c r="AD541" s="738"/>
      <c r="AE541" s="739"/>
    </row>
    <row r="542" spans="1:31" ht="50.1" customHeight="1" thickTop="1" thickBot="1">
      <c r="B542" s="334" t="s">
        <v>21</v>
      </c>
      <c r="C542" s="745"/>
      <c r="D542" s="335" t="s">
        <v>22</v>
      </c>
      <c r="E542" s="366" t="s">
        <v>23</v>
      </c>
      <c r="F542" s="336" t="s">
        <v>24</v>
      </c>
      <c r="G542" s="337" t="s">
        <v>118</v>
      </c>
      <c r="H542" s="338" t="s">
        <v>119</v>
      </c>
      <c r="I542" s="745"/>
      <c r="J542" s="745"/>
      <c r="K542" s="663" t="s">
        <v>120</v>
      </c>
      <c r="L542" s="339" t="s">
        <v>150</v>
      </c>
      <c r="M542" s="340" t="s">
        <v>14</v>
      </c>
      <c r="N542" s="341" t="s">
        <v>14</v>
      </c>
      <c r="O542" s="502" t="s">
        <v>152</v>
      </c>
      <c r="Q542" s="663" t="s">
        <v>128</v>
      </c>
      <c r="R542" s="663" t="s">
        <v>139</v>
      </c>
      <c r="S542" s="663" t="s">
        <v>164</v>
      </c>
      <c r="T542" s="575" t="s">
        <v>83</v>
      </c>
      <c r="U542" s="583"/>
      <c r="W542" s="740" t="s">
        <v>166</v>
      </c>
      <c r="X542" s="743"/>
      <c r="Y542" s="663" t="s">
        <v>168</v>
      </c>
      <c r="Z542" s="663" t="s">
        <v>169</v>
      </c>
      <c r="AA542" s="663" t="s">
        <v>174</v>
      </c>
      <c r="AB542" s="740" t="s">
        <v>524</v>
      </c>
      <c r="AC542" s="741"/>
      <c r="AD542" s="742" t="s">
        <v>522</v>
      </c>
      <c r="AE542" s="741"/>
    </row>
    <row r="543" spans="1:31" ht="14.25" hidden="1" customHeight="1">
      <c r="B543" s="342">
        <v>0</v>
      </c>
      <c r="C543" s="347"/>
      <c r="D543" s="343"/>
      <c r="E543" s="367"/>
      <c r="F543" s="344"/>
      <c r="G543" s="345"/>
      <c r="H543" s="346"/>
      <c r="I543" s="347"/>
      <c r="J543" s="347"/>
      <c r="K543" s="347"/>
      <c r="L543" s="348"/>
      <c r="M543" s="349"/>
      <c r="N543" s="350"/>
      <c r="O543" s="347"/>
      <c r="Q543" s="347"/>
      <c r="R543" s="347"/>
      <c r="S543" s="347"/>
      <c r="T543" s="563"/>
      <c r="U543" s="584"/>
      <c r="W543" s="502" t="s">
        <v>166</v>
      </c>
      <c r="X543" s="502"/>
      <c r="Y543" s="502" t="s">
        <v>168</v>
      </c>
      <c r="Z543" s="502" t="s">
        <v>169</v>
      </c>
      <c r="AA543" s="502" t="s">
        <v>170</v>
      </c>
      <c r="AB543" s="661" t="s">
        <v>170</v>
      </c>
      <c r="AC543" s="661" t="s">
        <v>170</v>
      </c>
      <c r="AD543" s="661" t="s">
        <v>170</v>
      </c>
      <c r="AE543" s="661" t="s">
        <v>170</v>
      </c>
    </row>
    <row r="544" spans="1:31" s="353" customFormat="1" ht="22.5" customHeight="1" thickTop="1">
      <c r="A544" s="351"/>
      <c r="B544" s="342">
        <f>IF(D544="","",B543+1)</f>
        <v>1</v>
      </c>
      <c r="C544" s="609">
        <v>46</v>
      </c>
      <c r="D544" s="610" t="s">
        <v>357</v>
      </c>
      <c r="E544" s="611" t="s">
        <v>358</v>
      </c>
      <c r="F544" s="612" t="s">
        <v>359</v>
      </c>
      <c r="G544" s="613" t="s">
        <v>172</v>
      </c>
      <c r="H544" s="614">
        <v>0.5</v>
      </c>
      <c r="I544" s="615" t="s">
        <v>173</v>
      </c>
      <c r="J544" s="616" t="s">
        <v>362</v>
      </c>
      <c r="K544" s="617">
        <v>42185</v>
      </c>
      <c r="L544" s="618">
        <v>1466.32</v>
      </c>
      <c r="M544" s="494">
        <f>IF(OR(K544="",L544=""),"",IF(I544="SI",H544*L544,""))</f>
        <v>733.16</v>
      </c>
      <c r="N544" s="503">
        <f>IF(OR(I544="",M544=""),"",IF(I544="NO",0,IF(I544="SI",ROUND(M544,3),0)))</f>
        <v>733.16</v>
      </c>
      <c r="O544" s="636"/>
      <c r="Q544" s="352" t="str">
        <f t="shared" ref="Q544:Q549" si="302">IF(K544="","",IF(AND(YEAR(K544)&gt;=YEAR($M$15), I544="SI",K544&lt;=$N$15),"CUMPLE","NO CUMPLE"))</f>
        <v>CUMPLE</v>
      </c>
      <c r="R544" s="636" t="s">
        <v>140</v>
      </c>
      <c r="S544" s="352" t="str">
        <f>IF(T544="","",IF(T544&gt;=20%,"CUMPLE","NO CUMPLE"))</f>
        <v>CUMPLE</v>
      </c>
      <c r="T544" s="656">
        <f t="shared" ref="T544:T549" si="303">IF(R544="","",VLOOKUP(J544,INTEGRAN,2,FALSE))</f>
        <v>0.95</v>
      </c>
      <c r="U544" s="585"/>
      <c r="W544" s="594">
        <v>1</v>
      </c>
      <c r="X544" s="595" t="str">
        <f>IF(AND(W544&lt;=$T541,$T541&gt;1,$T541&lt;&gt;""),VLOOKUP(VALUE($F538&amp;","&amp;W544),INTEGRANTES!$D$19:$G$106,2,0),"")</f>
        <v>PI SAS - PROYECTOS DE INGENIERIA SAS</v>
      </c>
      <c r="Y544" s="596">
        <f>IF(X544&lt;&gt;"",VLOOKUP(VALUE($F538&amp;","&amp;$W544),INTEGRANTES!$D$19:$G$106,3,0),"")</f>
        <v>0.95</v>
      </c>
      <c r="Z544" s="597">
        <f>IF(X544="","",SUMIF($J544:$J549,$X544,$N544:$N549))</f>
        <v>1997.54</v>
      </c>
      <c r="AA544" s="604" t="str">
        <f>IF($Y544="","",IF(AND($Y544&gt;=20%,$Z544&gt;=$Z550),"CUMPLE","NO CUMPLE"))</f>
        <v>CUMPLE</v>
      </c>
      <c r="AB544" s="679" t="s">
        <v>525</v>
      </c>
      <c r="AC544" s="592" t="str">
        <f t="shared" ref="AC544:AC549" si="304">IF(X544="","",IF(AND(Y544&gt;=40%,AB544="SI"),"CUMPLE","NO CUMPLE"))</f>
        <v>CUMPLE</v>
      </c>
      <c r="AD544" s="679" t="s">
        <v>525</v>
      </c>
      <c r="AE544" s="593" t="str">
        <f t="shared" ref="AE544:AE549" si="305">IF(X544="","",IF(AD544="SI","CUMPLE","NO CUMPLE"))</f>
        <v>CUMPLE</v>
      </c>
    </row>
    <row r="545" spans="1:31" s="353" customFormat="1" ht="22.5" customHeight="1">
      <c r="A545" s="351"/>
      <c r="B545" s="342">
        <f>IF(D545="","",B544+1)</f>
        <v>2</v>
      </c>
      <c r="C545" s="619">
        <v>47</v>
      </c>
      <c r="D545" s="620" t="s">
        <v>357</v>
      </c>
      <c r="E545" s="621" t="s">
        <v>360</v>
      </c>
      <c r="F545" s="622" t="s">
        <v>361</v>
      </c>
      <c r="G545" s="623" t="s">
        <v>172</v>
      </c>
      <c r="H545" s="624">
        <v>0.5</v>
      </c>
      <c r="I545" s="625" t="s">
        <v>173</v>
      </c>
      <c r="J545" s="626" t="s">
        <v>362</v>
      </c>
      <c r="K545" s="627">
        <v>42338</v>
      </c>
      <c r="L545" s="618">
        <v>2528.7600000000002</v>
      </c>
      <c r="M545" s="556">
        <f>IF(OR(K545="",L545=""),"",IF(I545="SI",H545*L545,""))</f>
        <v>1264.3800000000001</v>
      </c>
      <c r="N545" s="504">
        <f>IF(OR(I545="",M545=""),"",IF(I545="SI",ROUND(M545,3),0))</f>
        <v>1264.3800000000001</v>
      </c>
      <c r="O545" s="636"/>
      <c r="Q545" s="352" t="str">
        <f t="shared" si="302"/>
        <v>CUMPLE</v>
      </c>
      <c r="R545" s="636" t="s">
        <v>140</v>
      </c>
      <c r="S545" s="352" t="str">
        <f t="shared" ref="S545:S549" si="306">IF(T545="","",IF(T545&gt;=20%,"CUMPLE","NO CUMPLE"))</f>
        <v>CUMPLE</v>
      </c>
      <c r="T545" s="656">
        <f t="shared" si="303"/>
        <v>0.95</v>
      </c>
      <c r="U545" s="586"/>
      <c r="W545" s="594">
        <v>2</v>
      </c>
      <c r="X545" s="595" t="str">
        <f>IF(AND(W545&lt;=$T541,$T541&gt;1,$T541&lt;&gt;""),VLOOKUP(VALUE($F538&amp;","&amp;W545),INTEGRANTES!$D$19:$G$106,2,0),"")</f>
        <v>PI S.A.S. LABORATORIO DE INGENIERIA S.A.S.</v>
      </c>
      <c r="Y545" s="596">
        <f>IF(X545&lt;&gt;"",VLOOKUP(VALUE($F538&amp;","&amp;$W545),INTEGRANTES!$D$19:$G$106,3,0),"")</f>
        <v>0.05</v>
      </c>
      <c r="Z545" s="597">
        <f>IF(X545="","",SUMIF($J544:$J549,$X545,$N544:$N549))</f>
        <v>0</v>
      </c>
      <c r="AA545" s="604" t="str">
        <f>IF($Y545="","",IF(AND($Y545&gt;=20%,$Z545&gt;=$Z550),"CUMPLE","NO CUMPLE"))</f>
        <v>NO CUMPLE</v>
      </c>
      <c r="AB545" s="680"/>
      <c r="AC545" s="593" t="str">
        <f t="shared" si="304"/>
        <v>NO CUMPLE</v>
      </c>
      <c r="AD545" s="680"/>
      <c r="AE545" s="593" t="str">
        <f t="shared" si="305"/>
        <v>NO CUMPLE</v>
      </c>
    </row>
    <row r="546" spans="1:31" s="353" customFormat="1" ht="22.5" customHeight="1">
      <c r="A546" s="351"/>
      <c r="B546" s="342" t="str">
        <f t="shared" ref="B546:B549" si="307">IF(D546="","",B545+1)</f>
        <v/>
      </c>
      <c r="C546" s="619"/>
      <c r="D546" s="620"/>
      <c r="E546" s="628"/>
      <c r="F546" s="622"/>
      <c r="G546" s="623"/>
      <c r="H546" s="624"/>
      <c r="I546" s="625"/>
      <c r="J546" s="629"/>
      <c r="K546" s="627"/>
      <c r="L546" s="618"/>
      <c r="M546" s="556" t="str">
        <f t="shared" ref="M546:M549" si="308">IF(OR(K546="",L546=""),"",IF(I546="SI",H546*L546,""))</f>
        <v/>
      </c>
      <c r="N546" s="504" t="str">
        <f>IF(OR(I546="",M546=""),"",IF(I546="SI",ROUND(M546,3),0))</f>
        <v/>
      </c>
      <c r="O546" s="636"/>
      <c r="Q546" s="352" t="str">
        <f t="shared" si="302"/>
        <v/>
      </c>
      <c r="R546" s="636"/>
      <c r="S546" s="352" t="str">
        <f t="shared" si="306"/>
        <v/>
      </c>
      <c r="T546" s="656" t="str">
        <f t="shared" si="303"/>
        <v/>
      </c>
      <c r="U546" s="586"/>
      <c r="W546" s="594">
        <v>3</v>
      </c>
      <c r="X546" s="595" t="str">
        <f>IF(AND(W546&lt;=$T541,$T541&gt;1,$T541&lt;&gt;""),VLOOKUP(VALUE($F538&amp;","&amp;W546),INTEGRANTES!$D$19:$G$106,2,0),"")</f>
        <v/>
      </c>
      <c r="Y546" s="596" t="str">
        <f>IF(X546&lt;&gt;"",VLOOKUP(VALUE($F538&amp;","&amp;$W546),INTEGRANTES!$D$19:$G$106,3,0),"")</f>
        <v/>
      </c>
      <c r="Z546" s="597" t="str">
        <f>IF(X546="","",SUMIF($J544:$J549,$X546,$N544:$N549))</f>
        <v/>
      </c>
      <c r="AA546" s="604" t="str">
        <f>IF($Y546="","",IF(AND($Y546&gt;=20%,$Z546&gt;=$Z550),"CUMPLE","NO CUMPLE"))</f>
        <v/>
      </c>
      <c r="AB546" s="680"/>
      <c r="AC546" s="593" t="str">
        <f t="shared" si="304"/>
        <v/>
      </c>
      <c r="AD546" s="680"/>
      <c r="AE546" s="593" t="str">
        <f t="shared" si="305"/>
        <v/>
      </c>
    </row>
    <row r="547" spans="1:31" s="353" customFormat="1" ht="22.5" customHeight="1">
      <c r="A547" s="351"/>
      <c r="B547" s="342" t="str">
        <f t="shared" si="307"/>
        <v/>
      </c>
      <c r="C547" s="619"/>
      <c r="D547" s="620"/>
      <c r="E547" s="628"/>
      <c r="F547" s="622"/>
      <c r="G547" s="623"/>
      <c r="H547" s="624"/>
      <c r="I547" s="625"/>
      <c r="J547" s="629"/>
      <c r="K547" s="627"/>
      <c r="L547" s="618"/>
      <c r="M547" s="555" t="str">
        <f t="shared" si="308"/>
        <v/>
      </c>
      <c r="N547" s="504" t="str">
        <f>IF(OR(I547="",M547=""),"",IF(I547="SI",ROUND(M547,3),0))</f>
        <v/>
      </c>
      <c r="O547" s="636"/>
      <c r="Q547" s="352" t="str">
        <f t="shared" si="302"/>
        <v/>
      </c>
      <c r="R547" s="636"/>
      <c r="S547" s="352" t="str">
        <f t="shared" si="306"/>
        <v/>
      </c>
      <c r="T547" s="656" t="str">
        <f t="shared" si="303"/>
        <v/>
      </c>
      <c r="U547" s="586"/>
      <c r="W547" s="594">
        <v>4</v>
      </c>
      <c r="X547" s="595" t="str">
        <f>IF(AND(W547&lt;=$T541,$T541&gt;1,$T541&lt;&gt;""),VLOOKUP(VALUE($F538&amp;","&amp;W547),INTEGRANTES!$D$19:$G$106,2,0),"")</f>
        <v/>
      </c>
      <c r="Y547" s="596" t="str">
        <f>IF(X547&lt;&gt;"",VLOOKUP(VALUE($F538&amp;","&amp;$W547),INTEGRANTES!$D$19:$G$106,3,0),"")</f>
        <v/>
      </c>
      <c r="Z547" s="597" t="str">
        <f>IF(X547="","",SUMIF($J544:$J549,$X547,$N544:$N549))</f>
        <v/>
      </c>
      <c r="AA547" s="604" t="str">
        <f>IF($Y547="","",IF(AND($Y547&gt;=20%,$Z547&gt;=$Z550),"CUMPLE","NO CUMPLE"))</f>
        <v/>
      </c>
      <c r="AB547" s="680"/>
      <c r="AC547" s="593" t="str">
        <f t="shared" si="304"/>
        <v/>
      </c>
      <c r="AD547" s="680"/>
      <c r="AE547" s="593" t="str">
        <f t="shared" si="305"/>
        <v/>
      </c>
    </row>
    <row r="548" spans="1:31" s="353" customFormat="1" ht="22.5" customHeight="1">
      <c r="A548" s="351"/>
      <c r="B548" s="342" t="str">
        <f t="shared" si="307"/>
        <v/>
      </c>
      <c r="C548" s="619"/>
      <c r="D548" s="620"/>
      <c r="E548" s="628"/>
      <c r="F548" s="622"/>
      <c r="G548" s="623"/>
      <c r="H548" s="624"/>
      <c r="I548" s="625"/>
      <c r="J548" s="629"/>
      <c r="K548" s="627"/>
      <c r="L548" s="618"/>
      <c r="M548" s="556" t="str">
        <f t="shared" si="308"/>
        <v/>
      </c>
      <c r="N548" s="504" t="str">
        <f>IF(OR(I548="",M548=""),"",IF(I548="SI",ROUND(M548,3),0))</f>
        <v/>
      </c>
      <c r="O548" s="636"/>
      <c r="Q548" s="352" t="str">
        <f t="shared" si="302"/>
        <v/>
      </c>
      <c r="R548" s="636"/>
      <c r="S548" s="352" t="str">
        <f t="shared" si="306"/>
        <v/>
      </c>
      <c r="T548" s="656" t="str">
        <f t="shared" si="303"/>
        <v/>
      </c>
      <c r="U548" s="586"/>
      <c r="W548" s="594">
        <v>5</v>
      </c>
      <c r="X548" s="595" t="str">
        <f>IF(AND(W548&lt;=$T541,$T541&gt;1,$T541&lt;&gt;""),VLOOKUP(VALUE($F538&amp;","&amp;W548),INTEGRANTES!$D$19:$G$106,2,0),"")</f>
        <v/>
      </c>
      <c r="Y548" s="596" t="str">
        <f>IF(X548&lt;&gt;"",VLOOKUP(VALUE($F538&amp;","&amp;$W548),INTEGRANTES!$D$19:$G$106,3,0),"")</f>
        <v/>
      </c>
      <c r="Z548" s="597" t="str">
        <f>IF(X548="","",SUMIF($J544:$J549,$X548,$N544:$N549))</f>
        <v/>
      </c>
      <c r="AA548" s="604" t="str">
        <f>IF($Y548="","",IF(AND($Y548&gt;=20%,$Z548&gt;=$Z550),"CUMPLE","NO CUMPLE"))</f>
        <v/>
      </c>
      <c r="AB548" s="680"/>
      <c r="AC548" s="593" t="str">
        <f t="shared" si="304"/>
        <v/>
      </c>
      <c r="AD548" s="680"/>
      <c r="AE548" s="593" t="str">
        <f t="shared" si="305"/>
        <v/>
      </c>
    </row>
    <row r="549" spans="1:31" s="353" customFormat="1" ht="22.5" customHeight="1">
      <c r="A549" s="351"/>
      <c r="B549" s="342" t="str">
        <f t="shared" si="307"/>
        <v/>
      </c>
      <c r="C549" s="619"/>
      <c r="D549" s="620"/>
      <c r="E549" s="628"/>
      <c r="F549" s="622"/>
      <c r="G549" s="623"/>
      <c r="H549" s="624"/>
      <c r="I549" s="625"/>
      <c r="J549" s="629"/>
      <c r="K549" s="627"/>
      <c r="L549" s="618"/>
      <c r="M549" s="555" t="str">
        <f t="shared" si="308"/>
        <v/>
      </c>
      <c r="N549" s="504" t="str">
        <f>IF(OR(I549="",M549=""),"",IF(I549="SI",ROUND(M549,3),0))</f>
        <v/>
      </c>
      <c r="O549" s="636"/>
      <c r="Q549" s="352" t="str">
        <f t="shared" si="302"/>
        <v/>
      </c>
      <c r="R549" s="636"/>
      <c r="S549" s="352" t="str">
        <f t="shared" si="306"/>
        <v/>
      </c>
      <c r="T549" s="656" t="str">
        <f t="shared" si="303"/>
        <v/>
      </c>
      <c r="U549" s="586"/>
      <c r="W549" s="599">
        <v>6</v>
      </c>
      <c r="X549" s="595" t="str">
        <f>IF(AND(W549&lt;=$T541,$T541&gt;1,$T541&lt;&gt;""),VLOOKUP(VALUE($F538&amp;","&amp;W549),INTEGRANTES!$D$19:$G$106,2,0),"")</f>
        <v/>
      </c>
      <c r="Y549" s="606" t="str">
        <f>IF(X549&lt;&gt;"",VLOOKUP(VALUE($F538&amp;","&amp;$W549),INTEGRANTES!$D$19:$G$106,3,0),"")</f>
        <v/>
      </c>
      <c r="Z549" s="607" t="str">
        <f>IF(X549="","",SUMIF($J544:$J549,$X549,$N544:$N549))</f>
        <v/>
      </c>
      <c r="AA549" s="608" t="str">
        <f>IF($Y549="","",IF(AND($Y549&gt;=20%,$Z549&gt;=$Z550),"CUMPLE","NO CUMPLE"))</f>
        <v/>
      </c>
      <c r="AB549" s="680"/>
      <c r="AC549" s="593" t="str">
        <f t="shared" si="304"/>
        <v/>
      </c>
      <c r="AD549" s="680"/>
      <c r="AE549" s="593" t="str">
        <f t="shared" si="305"/>
        <v/>
      </c>
    </row>
    <row r="550" spans="1:31" ht="5.0999999999999996" customHeight="1" thickBot="1">
      <c r="B550" s="354"/>
      <c r="C550" s="359"/>
      <c r="D550" s="355"/>
      <c r="E550" s="368"/>
      <c r="F550" s="355"/>
      <c r="G550" s="355"/>
      <c r="H550" s="355"/>
      <c r="I550" s="356"/>
      <c r="J550" s="357"/>
      <c r="K550" s="358"/>
      <c r="L550" s="355"/>
      <c r="M550" s="356"/>
      <c r="N550" s="360"/>
      <c r="O550" s="352" t="str">
        <f>IF(L550="","",IF(AND(L550&gt;=YEAR($M$15), J550="SI",L550&lt;=S544),"CUMPLE","NO CUMPLE"))</f>
        <v/>
      </c>
      <c r="Q550" s="352" t="str">
        <f>IF(N550="","",IF(AND(N550&gt;=YEAR($M$15), L550="SI",N550&lt;=V544),"CUMPLE","NO CUMPLE"))</f>
        <v/>
      </c>
      <c r="R550" s="352" t="str">
        <f>IF(P550="","",IF(AND(P550&gt;=YEAR($M$15), M550="SI",P550&lt;=W544),"CUMPLE","NO CUMPLE"))</f>
        <v/>
      </c>
      <c r="S550" s="352" t="str">
        <f>IF(P550="","",IF(AND(P550&gt;=YEAR($M$15), N550="SI",P550&lt;=X544),"CUMPLE","NO CUMPLE"))</f>
        <v/>
      </c>
      <c r="T550" s="564"/>
      <c r="U550" s="586"/>
      <c r="W550" s="600"/>
      <c r="X550" s="600"/>
      <c r="Y550" s="600"/>
      <c r="Z550" s="605">
        <f>MAX(Z544:Z549)</f>
        <v>1997.54</v>
      </c>
      <c r="AA550" s="600"/>
      <c r="AB550" s="602"/>
      <c r="AC550" s="602"/>
      <c r="AD550" s="602"/>
      <c r="AE550" s="602"/>
    </row>
    <row r="551" spans="1:31" s="52" customFormat="1" ht="17.100000000000001" customHeight="1" thickTop="1" thickBot="1">
      <c r="A551" s="361">
        <f>F538</f>
        <v>30</v>
      </c>
      <c r="B551" s="364"/>
      <c r="C551" s="379"/>
      <c r="D551" s="664"/>
      <c r="E551" s="752"/>
      <c r="F551" s="752"/>
      <c r="G551" s="752"/>
      <c r="H551" s="752"/>
      <c r="I551" s="752"/>
      <c r="J551" s="752"/>
      <c r="K551" s="752"/>
      <c r="L551" s="753"/>
      <c r="M551" s="754"/>
      <c r="N551" s="365">
        <f>SUM(N544:N550)</f>
        <v>1997.54</v>
      </c>
      <c r="O551" s="373"/>
      <c r="Q551" s="373" t="str">
        <f>IF(COUNTIF(Q544:Q547,"CUMPLE")&gt;0,"CUMPLE","NO CUMPLE")</f>
        <v>CUMPLE</v>
      </c>
      <c r="R551" s="374" t="str">
        <f>IF(COUNTIF(R544:R547,"COLOMBIA")&gt;0,"CUMPLE","NO CUMPLE")</f>
        <v>CUMPLE</v>
      </c>
      <c r="S551" s="373" t="str">
        <f>IF(COUNTIF(S544:S547,"CUMPLE")&gt;0,"CUMPLE","NO CUMPLE")</f>
        <v>CUMPLE</v>
      </c>
      <c r="T551" s="566"/>
      <c r="U551" s="587"/>
      <c r="AA551" s="589" t="str">
        <f>IF(COUNTIF(AA544:AA549,"CUMPLE")&gt;0,"CUMPLE","NO CUMPLE")</f>
        <v>CUMPLE</v>
      </c>
      <c r="AB551" s="735" t="str">
        <f>IF(COUNTIF(AC544:AC549,"CUMPLE")&gt;0,"CUMPLE","NO CUMPLE")</f>
        <v>CUMPLE</v>
      </c>
      <c r="AC551" s="736"/>
      <c r="AD551" s="735" t="str">
        <f>IF(COUNTIF(AE544:AE549,"CUMPLE")&gt;0,"CUMPLE","NO CUMPLE")</f>
        <v>CUMPLE</v>
      </c>
      <c r="AE551" s="736"/>
    </row>
    <row r="552" spans="1:31" ht="16.5" thickTop="1">
      <c r="B552" s="557"/>
      <c r="C552" s="558"/>
      <c r="D552" s="558"/>
      <c r="E552" s="558"/>
      <c r="F552" s="558"/>
      <c r="G552" s="558"/>
      <c r="H552" s="558"/>
      <c r="I552" s="558"/>
      <c r="J552" s="558"/>
      <c r="K552" s="558"/>
      <c r="L552" s="80"/>
      <c r="M552" s="362" t="s">
        <v>516</v>
      </c>
      <c r="N552" s="369">
        <f ca="1">VFrequerido!Y44</f>
        <v>537.11</v>
      </c>
      <c r="O552" s="568"/>
      <c r="Q552" s="570"/>
      <c r="R552" s="571"/>
      <c r="S552" s="572"/>
      <c r="T552" s="573"/>
      <c r="U552" s="80"/>
    </row>
    <row r="553" spans="1:31" ht="15.75" thickBot="1">
      <c r="A553" s="490" t="str">
        <f>"E"&amp;F538</f>
        <v>E30</v>
      </c>
      <c r="B553" s="559"/>
      <c r="C553" s="560"/>
      <c r="D553" s="560"/>
      <c r="E553" s="560"/>
      <c r="F553" s="560"/>
      <c r="G553" s="560"/>
      <c r="H553" s="560"/>
      <c r="I553" s="560"/>
      <c r="J553" s="560"/>
      <c r="K553" s="560"/>
      <c r="L553" s="363"/>
      <c r="M553" s="755" t="str">
        <f ca="1">IF(OR(N551=0,N551&lt;N552),"NO CUMPLE","CUMPLE")</f>
        <v>CUMPLE</v>
      </c>
      <c r="N553" s="756"/>
      <c r="O553" s="569"/>
      <c r="Q553" s="492"/>
      <c r="R553" s="493"/>
      <c r="S553" s="363"/>
      <c r="T553" s="574"/>
      <c r="U553" s="80"/>
    </row>
    <row r="554" spans="1:31" ht="13.5" thickTop="1"/>
    <row r="556" spans="1:31">
      <c r="F556" s="757">
        <f>F538+1</f>
        <v>31</v>
      </c>
      <c r="G556" s="758" t="str">
        <f>VLOOKUP(F556,PROPO,2,FALSE)</f>
        <v>CONSORCIO VIAL SANTANDER</v>
      </c>
      <c r="H556" s="758"/>
      <c r="I556" s="758"/>
      <c r="J556" s="758"/>
      <c r="K556" s="52"/>
      <c r="O556" s="52"/>
      <c r="Q556" s="52"/>
      <c r="R556" s="52"/>
    </row>
    <row r="557" spans="1:31">
      <c r="B557" s="328"/>
      <c r="C557" s="328"/>
      <c r="D557" s="328"/>
      <c r="E557" s="328"/>
      <c r="F557" s="757"/>
      <c r="G557" s="758"/>
      <c r="H557" s="758"/>
      <c r="I557" s="758"/>
      <c r="J557" s="758"/>
      <c r="K557" s="52"/>
      <c r="N557" s="567"/>
      <c r="O557" s="52"/>
      <c r="Q557" s="52"/>
      <c r="R557" s="52"/>
    </row>
    <row r="558" spans="1:31" ht="13.5" thickBot="1">
      <c r="B558" s="329"/>
      <c r="C558" s="329"/>
      <c r="D558" s="56"/>
      <c r="E558" s="56"/>
      <c r="F558" s="56"/>
      <c r="G558" s="56"/>
      <c r="H558" s="56"/>
      <c r="I558" s="56"/>
      <c r="J558" s="56"/>
      <c r="K558" s="330"/>
      <c r="L558" s="331"/>
      <c r="M558" s="331"/>
      <c r="N558" s="330"/>
      <c r="O558" s="330"/>
      <c r="Q558" s="330"/>
      <c r="R558" s="330"/>
    </row>
    <row r="559" spans="1:31" ht="50.1" customHeight="1" thickTop="1" thickBot="1">
      <c r="B559" s="332" t="s">
        <v>16</v>
      </c>
      <c r="C559" s="744" t="s">
        <v>121</v>
      </c>
      <c r="D559" s="333" t="s">
        <v>17</v>
      </c>
      <c r="E559" s="746" t="s">
        <v>18</v>
      </c>
      <c r="F559" s="747"/>
      <c r="G559" s="748" t="s">
        <v>117</v>
      </c>
      <c r="H559" s="749"/>
      <c r="I559" s="744" t="s">
        <v>39</v>
      </c>
      <c r="J559" s="744" t="s">
        <v>0</v>
      </c>
      <c r="K559" s="665" t="s">
        <v>19</v>
      </c>
      <c r="L559" s="750" t="s">
        <v>20</v>
      </c>
      <c r="M559" s="751"/>
      <c r="N559" s="68" t="s">
        <v>52</v>
      </c>
      <c r="O559" s="501" t="s">
        <v>151</v>
      </c>
      <c r="Q559" s="665" t="s">
        <v>127</v>
      </c>
      <c r="R559" s="665" t="s">
        <v>138</v>
      </c>
      <c r="S559" s="665" t="s">
        <v>163</v>
      </c>
      <c r="T559" s="565">
        <f>IF(VLOOKUP(F556,PROPONENTES!$C$19:$E$54,3,0)="","",VLOOKUP(F556,PROPONENTES!$C$19:$E$54,3,0))</f>
        <v>2</v>
      </c>
      <c r="U559" s="582"/>
      <c r="W559" s="737" t="s">
        <v>167</v>
      </c>
      <c r="X559" s="738"/>
      <c r="Y559" s="738"/>
      <c r="Z559" s="738"/>
      <c r="AA559" s="738"/>
      <c r="AB559" s="738"/>
      <c r="AC559" s="738"/>
      <c r="AD559" s="738"/>
      <c r="AE559" s="739"/>
    </row>
    <row r="560" spans="1:31" ht="50.1" customHeight="1" thickTop="1" thickBot="1">
      <c r="B560" s="334" t="s">
        <v>21</v>
      </c>
      <c r="C560" s="745"/>
      <c r="D560" s="335" t="s">
        <v>22</v>
      </c>
      <c r="E560" s="366" t="s">
        <v>23</v>
      </c>
      <c r="F560" s="336" t="s">
        <v>24</v>
      </c>
      <c r="G560" s="337" t="s">
        <v>118</v>
      </c>
      <c r="H560" s="338" t="s">
        <v>119</v>
      </c>
      <c r="I560" s="745"/>
      <c r="J560" s="745"/>
      <c r="K560" s="663" t="s">
        <v>120</v>
      </c>
      <c r="L560" s="339" t="s">
        <v>150</v>
      </c>
      <c r="M560" s="340" t="s">
        <v>14</v>
      </c>
      <c r="N560" s="341" t="s">
        <v>14</v>
      </c>
      <c r="O560" s="502" t="s">
        <v>152</v>
      </c>
      <c r="Q560" s="663" t="s">
        <v>128</v>
      </c>
      <c r="R560" s="663" t="s">
        <v>139</v>
      </c>
      <c r="S560" s="663" t="s">
        <v>164</v>
      </c>
      <c r="T560" s="575" t="s">
        <v>83</v>
      </c>
      <c r="U560" s="583"/>
      <c r="W560" s="740" t="s">
        <v>166</v>
      </c>
      <c r="X560" s="743"/>
      <c r="Y560" s="663" t="s">
        <v>168</v>
      </c>
      <c r="Z560" s="663" t="s">
        <v>169</v>
      </c>
      <c r="AA560" s="663" t="s">
        <v>174</v>
      </c>
      <c r="AB560" s="740" t="s">
        <v>524</v>
      </c>
      <c r="AC560" s="741"/>
      <c r="AD560" s="742" t="s">
        <v>522</v>
      </c>
      <c r="AE560" s="741"/>
    </row>
    <row r="561" spans="1:31" ht="14.25" hidden="1" customHeight="1">
      <c r="B561" s="342">
        <v>0</v>
      </c>
      <c r="C561" s="347"/>
      <c r="D561" s="343"/>
      <c r="E561" s="367"/>
      <c r="F561" s="344"/>
      <c r="G561" s="345"/>
      <c r="H561" s="346"/>
      <c r="I561" s="347"/>
      <c r="J561" s="347"/>
      <c r="K561" s="347"/>
      <c r="L561" s="348"/>
      <c r="M561" s="349"/>
      <c r="N561" s="350"/>
      <c r="O561" s="347"/>
      <c r="Q561" s="347"/>
      <c r="R561" s="347"/>
      <c r="S561" s="347"/>
      <c r="T561" s="563"/>
      <c r="U561" s="584"/>
      <c r="W561" s="502" t="s">
        <v>166</v>
      </c>
      <c r="X561" s="502"/>
      <c r="Y561" s="502" t="s">
        <v>168</v>
      </c>
      <c r="Z561" s="502" t="s">
        <v>169</v>
      </c>
      <c r="AA561" s="502" t="s">
        <v>170</v>
      </c>
      <c r="AB561" s="661" t="s">
        <v>170</v>
      </c>
      <c r="AC561" s="661" t="s">
        <v>170</v>
      </c>
      <c r="AD561" s="661" t="s">
        <v>170</v>
      </c>
      <c r="AE561" s="661" t="s">
        <v>170</v>
      </c>
    </row>
    <row r="562" spans="1:31" s="353" customFormat="1" ht="22.5" customHeight="1" thickTop="1">
      <c r="A562" s="351"/>
      <c r="B562" s="342">
        <f>IF(D562="","",B561+1)</f>
        <v>1</v>
      </c>
      <c r="C562" s="609">
        <v>94</v>
      </c>
      <c r="D562" s="610" t="s">
        <v>497</v>
      </c>
      <c r="E562" s="611" t="s">
        <v>501</v>
      </c>
      <c r="F562" s="612" t="s">
        <v>505</v>
      </c>
      <c r="G562" s="613" t="s">
        <v>374</v>
      </c>
      <c r="H562" s="614">
        <v>0.1</v>
      </c>
      <c r="I562" s="615" t="s">
        <v>173</v>
      </c>
      <c r="J562" s="616" t="s">
        <v>364</v>
      </c>
      <c r="K562" s="617">
        <v>36871</v>
      </c>
      <c r="L562" s="618">
        <v>132.86000000000001</v>
      </c>
      <c r="M562" s="494">
        <f>IF(OR(K562="",L562=""),"",IF(I562="SI",H562*L562,""))</f>
        <v>13.286</v>
      </c>
      <c r="N562" s="503">
        <f>IF(OR(I562="",M562=""),"",IF(I562="NO",0,IF(I562="SI",ROUND(M562,3),0)))</f>
        <v>13.286</v>
      </c>
      <c r="O562" s="636"/>
      <c r="Q562" s="352" t="str">
        <f t="shared" ref="Q562:Q563" si="309">IF(K562="","",IF(AND(YEAR(K562)&gt;=YEAR($M$15), I562="SI",K562&lt;=$N$15),"CUMPLE","NO CUMPLE"))</f>
        <v>NO CUMPLE</v>
      </c>
      <c r="R562" s="636" t="s">
        <v>140</v>
      </c>
      <c r="S562" s="352" t="str">
        <f t="shared" ref="S562:S565" si="310">IF(T562="","",IF(T562&gt;=20%,"CUMPLE","NO CUMPLE"))</f>
        <v>CUMPLE</v>
      </c>
      <c r="T562" s="656">
        <f t="shared" ref="T562:T565" si="311">IF(R562="","",VLOOKUP(J562,INTEGRAN,2,FALSE))</f>
        <v>0.6</v>
      </c>
      <c r="U562" s="585"/>
      <c r="W562" s="594">
        <v>1</v>
      </c>
      <c r="X562" s="595" t="str">
        <f>IF(AND(W562&lt;=$T559,$T559&gt;1,$T559&lt;&gt;""),VLOOKUP(VALUE($F556&amp;","&amp;W562),INTEGRANTES!$D$19:$G$106,2,0),"")</f>
        <v>BATEMAN INGENIERIA S.A.S</v>
      </c>
      <c r="Y562" s="596">
        <f>IF(X562&lt;&gt;"",VLOOKUP(VALUE($F556&amp;","&amp;$W562),INTEGRANTES!$D$19:$G$106,3,0),"")</f>
        <v>0.6</v>
      </c>
      <c r="Z562" s="597">
        <f>IF(X562="","",SUMIF($J562:$J567,$X562,$N562:$N567))</f>
        <v>59.720999999999997</v>
      </c>
      <c r="AA562" s="604" t="str">
        <f>IF($Y562="","",IF(AND($Y562&gt;=20%,$Z562&gt;=$Z568),"CUMPLE","NO CUMPLE"))</f>
        <v>CUMPLE</v>
      </c>
      <c r="AB562" s="679" t="s">
        <v>525</v>
      </c>
      <c r="AC562" s="592" t="str">
        <f t="shared" ref="AC562:AC567" si="312">IF(X562="","",IF(AND(Y562&gt;=40%,AB562="SI"),"CUMPLE","NO CUMPLE"))</f>
        <v>CUMPLE</v>
      </c>
      <c r="AD562" s="679" t="s">
        <v>525</v>
      </c>
      <c r="AE562" s="593" t="str">
        <f t="shared" ref="AE562:AE567" si="313">IF(X562="","",IF(AD562="SI","CUMPLE","NO CUMPLE"))</f>
        <v>CUMPLE</v>
      </c>
    </row>
    <row r="563" spans="1:31" s="353" customFormat="1" ht="22.5" customHeight="1">
      <c r="A563" s="351"/>
      <c r="B563" s="342">
        <f>IF(D563="","",B562+1)</f>
        <v>2</v>
      </c>
      <c r="C563" s="619">
        <v>156</v>
      </c>
      <c r="D563" s="620" t="s">
        <v>498</v>
      </c>
      <c r="E563" s="621" t="s">
        <v>502</v>
      </c>
      <c r="F563" s="622" t="s">
        <v>505</v>
      </c>
      <c r="G563" s="623" t="s">
        <v>172</v>
      </c>
      <c r="H563" s="624">
        <v>0.5</v>
      </c>
      <c r="I563" s="625" t="s">
        <v>173</v>
      </c>
      <c r="J563" s="616" t="s">
        <v>364</v>
      </c>
      <c r="K563" s="627">
        <v>39887</v>
      </c>
      <c r="L563" s="618">
        <v>92.87</v>
      </c>
      <c r="M563" s="556">
        <f>IF(OR(K563="",L563=""),"",IF(I563="SI",H563*L563,""))</f>
        <v>46.435000000000002</v>
      </c>
      <c r="N563" s="504">
        <f>IF(OR(I563="",M563=""),"",IF(I563="SI",ROUND(M563,3),0))</f>
        <v>46.435000000000002</v>
      </c>
      <c r="O563" s="636"/>
      <c r="Q563" s="352" t="str">
        <f t="shared" si="309"/>
        <v>NO CUMPLE</v>
      </c>
      <c r="R563" s="636" t="s">
        <v>140</v>
      </c>
      <c r="S563" s="352" t="str">
        <f t="shared" si="310"/>
        <v>CUMPLE</v>
      </c>
      <c r="T563" s="656">
        <f t="shared" si="311"/>
        <v>0.6</v>
      </c>
      <c r="U563" s="586"/>
      <c r="W563" s="594">
        <v>2</v>
      </c>
      <c r="X563" s="595" t="str">
        <f>IF(AND(W563&lt;=$T559,$T559&gt;1,$T559&lt;&gt;""),VLOOKUP(VALUE($F556&amp;","&amp;W563),INTEGRANTES!$D$19:$G$106,2,0),"")</f>
        <v>INFRACOL INGENIERIA S.A.S</v>
      </c>
      <c r="Y563" s="596">
        <f>IF(X563&lt;&gt;"",VLOOKUP(VALUE($F556&amp;","&amp;$W563),INTEGRANTES!$D$19:$G$106,3,0),"")</f>
        <v>0.4</v>
      </c>
      <c r="Z563" s="597">
        <f>IF(X563="","",SUMIF($J562:$J567,$X563,$N562:$N567))</f>
        <v>0</v>
      </c>
      <c r="AA563" s="604" t="str">
        <f>IF($Y563="","",IF(AND($Y563&gt;=20%,$Z563&gt;=$Z568),"CUMPLE","NO CUMPLE"))</f>
        <v>NO CUMPLE</v>
      </c>
      <c r="AB563" s="680"/>
      <c r="AC563" s="593" t="str">
        <f t="shared" si="312"/>
        <v>NO CUMPLE</v>
      </c>
      <c r="AD563" s="680"/>
      <c r="AE563" s="593" t="str">
        <f t="shared" si="313"/>
        <v>NO CUMPLE</v>
      </c>
    </row>
    <row r="564" spans="1:31" s="353" customFormat="1" ht="22.5" customHeight="1">
      <c r="A564" s="351"/>
      <c r="B564" s="342">
        <f t="shared" ref="B564:B567" si="314">IF(D564="","",B563+1)</f>
        <v>3</v>
      </c>
      <c r="C564" s="619">
        <v>296</v>
      </c>
      <c r="D564" s="620" t="s">
        <v>499</v>
      </c>
      <c r="E564" s="628" t="s">
        <v>503</v>
      </c>
      <c r="F564" s="622" t="s">
        <v>506</v>
      </c>
      <c r="G564" s="623" t="s">
        <v>226</v>
      </c>
      <c r="H564" s="624">
        <v>1</v>
      </c>
      <c r="I564" s="625" t="s">
        <v>404</v>
      </c>
      <c r="J564" s="616" t="s">
        <v>364</v>
      </c>
      <c r="K564" s="627">
        <v>42590</v>
      </c>
      <c r="L564" s="618">
        <v>167.66</v>
      </c>
      <c r="M564" s="556" t="str">
        <f t="shared" ref="M564:M567" si="315">IF(OR(K564="",L564=""),"",IF(I564="SI",H564*L564,""))</f>
        <v/>
      </c>
      <c r="N564" s="504" t="str">
        <f>IF(OR(I564="",M564=""),"",IF(I564="SI",ROUND(M564,3),0))</f>
        <v/>
      </c>
      <c r="O564" s="636"/>
      <c r="Q564" s="352" t="str">
        <f t="shared" ref="Q564:Q567" si="316">IF(K564="","",IF(AND(YEAR(K564)&gt;=YEAR($M$15), I564="SI",K564&lt;=$N$15),"CUMPLE","NO CUMPLE"))</f>
        <v>NO CUMPLE</v>
      </c>
      <c r="R564" s="636" t="s">
        <v>140</v>
      </c>
      <c r="S564" s="352" t="str">
        <f t="shared" si="310"/>
        <v>CUMPLE</v>
      </c>
      <c r="T564" s="656">
        <f t="shared" si="311"/>
        <v>0.6</v>
      </c>
      <c r="U564" s="586"/>
      <c r="W564" s="594">
        <v>3</v>
      </c>
      <c r="X564" s="595" t="str">
        <f>IF(AND(W564&lt;=$T559,$T559&gt;1,$T559&lt;&gt;""),VLOOKUP(VALUE($F556&amp;","&amp;W564),INTEGRANTES!$D$19:$G$106,2,0),"")</f>
        <v/>
      </c>
      <c r="Y564" s="596" t="str">
        <f>IF(X564&lt;&gt;"",VLOOKUP(VALUE($F556&amp;","&amp;$W564),INTEGRANTES!$D$19:$G$106,3,0),"")</f>
        <v/>
      </c>
      <c r="Z564" s="597" t="str">
        <f>IF(X564="","",SUMIF($J562:$J567,$X564,$N562:$N567))</f>
        <v/>
      </c>
      <c r="AA564" s="604" t="str">
        <f>IF($Y564="","",IF(AND($Y564&gt;=20%,$Z564&gt;=$Z568),"CUMPLE","NO CUMPLE"))</f>
        <v/>
      </c>
      <c r="AB564" s="680"/>
      <c r="AC564" s="593" t="str">
        <f t="shared" si="312"/>
        <v/>
      </c>
      <c r="AD564" s="680"/>
      <c r="AE564" s="593" t="str">
        <f t="shared" si="313"/>
        <v/>
      </c>
    </row>
    <row r="565" spans="1:31" s="353" customFormat="1" ht="22.5" customHeight="1">
      <c r="A565" s="351"/>
      <c r="B565" s="342">
        <f t="shared" si="314"/>
        <v>4</v>
      </c>
      <c r="C565" s="619">
        <v>21</v>
      </c>
      <c r="D565" s="620" t="s">
        <v>500</v>
      </c>
      <c r="E565" s="628" t="s">
        <v>504</v>
      </c>
      <c r="F565" s="622" t="s">
        <v>507</v>
      </c>
      <c r="G565" s="623" t="s">
        <v>172</v>
      </c>
      <c r="H565" s="624">
        <v>0.33</v>
      </c>
      <c r="I565" s="625" t="s">
        <v>404</v>
      </c>
      <c r="J565" s="616" t="s">
        <v>364</v>
      </c>
      <c r="K565" s="627">
        <v>39329</v>
      </c>
      <c r="L565" s="618">
        <v>927.56</v>
      </c>
      <c r="M565" s="555" t="str">
        <f t="shared" si="315"/>
        <v/>
      </c>
      <c r="N565" s="504" t="str">
        <f>IF(OR(I565="",M565=""),"",IF(I565="SI",ROUND(M565,3),0))</f>
        <v/>
      </c>
      <c r="O565" s="636"/>
      <c r="Q565" s="352" t="str">
        <f t="shared" si="316"/>
        <v>NO CUMPLE</v>
      </c>
      <c r="R565" s="636"/>
      <c r="S565" s="352" t="str">
        <f t="shared" si="310"/>
        <v/>
      </c>
      <c r="T565" s="656" t="str">
        <f t="shared" si="311"/>
        <v/>
      </c>
      <c r="U565" s="586"/>
      <c r="W565" s="594">
        <v>4</v>
      </c>
      <c r="X565" s="595" t="str">
        <f>IF(AND(W565&lt;=$T559,$T559&gt;1,$T559&lt;&gt;""),VLOOKUP(VALUE($F556&amp;","&amp;W565),INTEGRANTES!$D$19:$G$106,2,0),"")</f>
        <v/>
      </c>
      <c r="Y565" s="596" t="str">
        <f>IF(X565&lt;&gt;"",VLOOKUP(VALUE($F556&amp;","&amp;$W565),INTEGRANTES!$D$19:$G$106,3,0),"")</f>
        <v/>
      </c>
      <c r="Z565" s="597" t="str">
        <f>IF(X565="","",SUMIF($J562:$J567,$X565,$N562:$N567))</f>
        <v/>
      </c>
      <c r="AA565" s="604" t="str">
        <f>IF($Y565="","",IF(AND($Y565&gt;=20%,$Z565&gt;=$Z568),"CUMPLE","NO CUMPLE"))</f>
        <v/>
      </c>
      <c r="AB565" s="680"/>
      <c r="AC565" s="593" t="str">
        <f t="shared" si="312"/>
        <v/>
      </c>
      <c r="AD565" s="680"/>
      <c r="AE565" s="593" t="str">
        <f t="shared" si="313"/>
        <v/>
      </c>
    </row>
    <row r="566" spans="1:31" s="353" customFormat="1" ht="22.5" customHeight="1">
      <c r="A566" s="351"/>
      <c r="B566" s="342" t="str">
        <f t="shared" si="314"/>
        <v/>
      </c>
      <c r="C566" s="619"/>
      <c r="D566" s="620"/>
      <c r="E566" s="628"/>
      <c r="F566" s="622"/>
      <c r="G566" s="623"/>
      <c r="H566" s="624"/>
      <c r="I566" s="625"/>
      <c r="J566" s="629"/>
      <c r="K566" s="627"/>
      <c r="L566" s="618"/>
      <c r="M566" s="556" t="str">
        <f t="shared" si="315"/>
        <v/>
      </c>
      <c r="N566" s="504" t="str">
        <f>IF(OR(I566="",M566=""),"",IF(I566="SI",ROUND(M566,3),0))</f>
        <v/>
      </c>
      <c r="O566" s="636"/>
      <c r="Q566" s="352" t="str">
        <f t="shared" si="316"/>
        <v/>
      </c>
      <c r="R566" s="636"/>
      <c r="S566" s="352" t="str">
        <f t="shared" ref="S566:S567" si="317">IF(T566="","",IF(T566&gt;=20%,"CUMPLE","NO CUMPLE"))</f>
        <v/>
      </c>
      <c r="T566" s="656" t="str">
        <f t="shared" ref="T566:T567" si="318">IF(R566="","",VLOOKUP(J566,INTEGRAN,2,FALSE))</f>
        <v/>
      </c>
      <c r="U566" s="586"/>
      <c r="W566" s="594">
        <v>5</v>
      </c>
      <c r="X566" s="595" t="str">
        <f>IF(AND(W566&lt;=$T559,$T559&gt;1,$T559&lt;&gt;""),VLOOKUP(VALUE($F556&amp;","&amp;W566),INTEGRANTES!$D$19:$G$106,2,0),"")</f>
        <v/>
      </c>
      <c r="Y566" s="596" t="str">
        <f>IF(X566&lt;&gt;"",VLOOKUP(VALUE($F556&amp;","&amp;$W566),INTEGRANTES!$D$19:$G$106,3,0),"")</f>
        <v/>
      </c>
      <c r="Z566" s="597" t="str">
        <f>IF(X566="","",SUMIF($J562:$J567,$X566,$N562:$N567))</f>
        <v/>
      </c>
      <c r="AA566" s="604" t="str">
        <f>IF($Y566="","",IF(AND($Y566&gt;=20%,$Z566&gt;=$Z568),"CUMPLE","NO CUMPLE"))</f>
        <v/>
      </c>
      <c r="AB566" s="680"/>
      <c r="AC566" s="593" t="str">
        <f t="shared" si="312"/>
        <v/>
      </c>
      <c r="AD566" s="680"/>
      <c r="AE566" s="593" t="str">
        <f t="shared" si="313"/>
        <v/>
      </c>
    </row>
    <row r="567" spans="1:31" s="353" customFormat="1" ht="22.5" customHeight="1">
      <c r="A567" s="351"/>
      <c r="B567" s="342" t="str">
        <f t="shared" si="314"/>
        <v/>
      </c>
      <c r="C567" s="619"/>
      <c r="D567" s="620"/>
      <c r="E567" s="628"/>
      <c r="F567" s="622"/>
      <c r="G567" s="623"/>
      <c r="H567" s="624"/>
      <c r="I567" s="625"/>
      <c r="J567" s="629"/>
      <c r="K567" s="627"/>
      <c r="L567" s="618"/>
      <c r="M567" s="555" t="str">
        <f t="shared" si="315"/>
        <v/>
      </c>
      <c r="N567" s="504" t="str">
        <f>IF(OR(I567="",M567=""),"",IF(I567="SI",ROUND(M567,3),0))</f>
        <v/>
      </c>
      <c r="O567" s="636"/>
      <c r="Q567" s="352" t="str">
        <f t="shared" si="316"/>
        <v/>
      </c>
      <c r="R567" s="636"/>
      <c r="S567" s="352" t="str">
        <f t="shared" si="317"/>
        <v/>
      </c>
      <c r="T567" s="656" t="str">
        <f t="shared" si="318"/>
        <v/>
      </c>
      <c r="U567" s="586"/>
      <c r="W567" s="599">
        <v>6</v>
      </c>
      <c r="X567" s="595" t="str">
        <f>IF(AND(W567&lt;=$T559,$T559&gt;1,$T559&lt;&gt;""),VLOOKUP(VALUE($F556&amp;","&amp;W567),INTEGRANTES!$D$19:$G$106,2,0),"")</f>
        <v/>
      </c>
      <c r="Y567" s="606" t="str">
        <f>IF(X567&lt;&gt;"",VLOOKUP(VALUE($F556&amp;","&amp;$W567),INTEGRANTES!$D$19:$G$106,3,0),"")</f>
        <v/>
      </c>
      <c r="Z567" s="607" t="str">
        <f>IF(X567="","",SUMIF($J562:$J567,$X567,$N562:$N567))</f>
        <v/>
      </c>
      <c r="AA567" s="608" t="str">
        <f>IF($Y567="","",IF(AND($Y567&gt;=20%,$Z567&gt;=$Z568),"CUMPLE","NO CUMPLE"))</f>
        <v/>
      </c>
      <c r="AB567" s="680"/>
      <c r="AC567" s="593" t="str">
        <f t="shared" si="312"/>
        <v/>
      </c>
      <c r="AD567" s="680"/>
      <c r="AE567" s="593" t="str">
        <f t="shared" si="313"/>
        <v/>
      </c>
    </row>
    <row r="568" spans="1:31" ht="5.0999999999999996" customHeight="1" thickBot="1">
      <c r="B568" s="354"/>
      <c r="C568" s="359"/>
      <c r="D568" s="355"/>
      <c r="E568" s="368"/>
      <c r="F568" s="355"/>
      <c r="G568" s="355"/>
      <c r="H568" s="355"/>
      <c r="I568" s="356"/>
      <c r="J568" s="357"/>
      <c r="K568" s="358"/>
      <c r="L568" s="355"/>
      <c r="M568" s="356"/>
      <c r="N568" s="360"/>
      <c r="O568" s="352" t="str">
        <f>IF(L568="","",IF(AND(L568&gt;=YEAR($M$15), J568="SI",L568&lt;=S562),"CUMPLE","NO CUMPLE"))</f>
        <v/>
      </c>
      <c r="Q568" s="352" t="str">
        <f>IF(N568="","",IF(AND(N568&gt;=YEAR($M$15), L568="SI",N568&lt;=V562),"CUMPLE","NO CUMPLE"))</f>
        <v/>
      </c>
      <c r="R568" s="352" t="str">
        <f>IF(P568="","",IF(AND(P568&gt;=YEAR($M$15), M568="SI",P568&lt;=W562),"CUMPLE","NO CUMPLE"))</f>
        <v/>
      </c>
      <c r="S568" s="352" t="str">
        <f>IF(P568="","",IF(AND(P568&gt;=YEAR($M$15), N568="SI",P568&lt;=X562),"CUMPLE","NO CUMPLE"))</f>
        <v/>
      </c>
      <c r="T568" s="564"/>
      <c r="U568" s="586"/>
      <c r="W568" s="600"/>
      <c r="X568" s="600"/>
      <c r="Y568" s="600"/>
      <c r="Z568" s="605">
        <f>MAX(Z562:Z567)</f>
        <v>59.720999999999997</v>
      </c>
      <c r="AA568" s="600"/>
      <c r="AB568" s="602"/>
      <c r="AC568" s="602"/>
      <c r="AD568" s="602"/>
      <c r="AE568" s="602"/>
    </row>
    <row r="569" spans="1:31" s="52" customFormat="1" ht="17.100000000000001" customHeight="1" thickTop="1" thickBot="1">
      <c r="A569" s="361">
        <f>F556</f>
        <v>31</v>
      </c>
      <c r="B569" s="364"/>
      <c r="C569" s="379"/>
      <c r="D569" s="664"/>
      <c r="E569" s="752"/>
      <c r="F569" s="752"/>
      <c r="G569" s="752"/>
      <c r="H569" s="752"/>
      <c r="I569" s="752"/>
      <c r="J569" s="752"/>
      <c r="K569" s="752"/>
      <c r="L569" s="753"/>
      <c r="M569" s="754"/>
      <c r="N569" s="365">
        <f>SUM(N562:N568)</f>
        <v>59.720999999999997</v>
      </c>
      <c r="O569" s="373"/>
      <c r="Q569" s="373" t="str">
        <f>IF(COUNTIF(Q562:Q565,"CUMPLE")&gt;0,"CUMPLE","NO CUMPLE")</f>
        <v>NO CUMPLE</v>
      </c>
      <c r="R569" s="374" t="str">
        <f>IF(COUNTIF(R562:R565,"COLOMBIA")&gt;0,"CUMPLE","NO CUMPLE")</f>
        <v>CUMPLE</v>
      </c>
      <c r="S569" s="373" t="str">
        <f>IF(COUNTIF(S562:S565,"CUMPLE")&gt;0,"CUMPLE","NO CUMPLE")</f>
        <v>CUMPLE</v>
      </c>
      <c r="T569" s="566"/>
      <c r="U569" s="587"/>
      <c r="AA569" s="589" t="str">
        <f>IF(COUNTIF(AA562:AA567,"CUMPLE")&gt;0,"CUMPLE","NO CUMPLE")</f>
        <v>CUMPLE</v>
      </c>
      <c r="AB569" s="735" t="str">
        <f>IF(COUNTIF(AC562:AC567,"CUMPLE")&gt;0,"CUMPLE","NO CUMPLE")</f>
        <v>CUMPLE</v>
      </c>
      <c r="AC569" s="736"/>
      <c r="AD569" s="735" t="str">
        <f>IF(COUNTIF(AE562:AE567,"CUMPLE")&gt;0,"CUMPLE","NO CUMPLE")</f>
        <v>CUMPLE</v>
      </c>
      <c r="AE569" s="736"/>
    </row>
    <row r="570" spans="1:31" ht="16.5" thickTop="1">
      <c r="B570" s="557"/>
      <c r="C570" s="558"/>
      <c r="D570" s="558"/>
      <c r="E570" s="558"/>
      <c r="F570" s="558"/>
      <c r="G570" s="558"/>
      <c r="H570" s="558"/>
      <c r="I570" s="558"/>
      <c r="J570" s="558"/>
      <c r="K570" s="558"/>
      <c r="L570" s="80"/>
      <c r="M570" s="362" t="s">
        <v>516</v>
      </c>
      <c r="N570" s="369">
        <f ca="1">VFrequerido!Y45</f>
        <v>537.11</v>
      </c>
      <c r="O570" s="568"/>
      <c r="Q570" s="570"/>
      <c r="R570" s="571"/>
      <c r="S570" s="572"/>
      <c r="T570" s="573"/>
      <c r="U570" s="80"/>
    </row>
    <row r="571" spans="1:31" ht="15.75" thickBot="1">
      <c r="A571" s="490" t="str">
        <f>"E"&amp;F556</f>
        <v>E31</v>
      </c>
      <c r="B571" s="559"/>
      <c r="C571" s="560"/>
      <c r="D571" s="560"/>
      <c r="E571" s="560"/>
      <c r="F571" s="560"/>
      <c r="G571" s="560"/>
      <c r="H571" s="560"/>
      <c r="I571" s="560"/>
      <c r="J571" s="560"/>
      <c r="K571" s="560"/>
      <c r="L571" s="363"/>
      <c r="M571" s="755" t="str">
        <f ca="1">IF(OR(N569=0,N569&lt;N570),"NO CUMPLE","CUMPLE")</f>
        <v>NO CUMPLE</v>
      </c>
      <c r="N571" s="756"/>
      <c r="O571" s="569"/>
      <c r="Q571" s="492"/>
      <c r="R571" s="493"/>
      <c r="S571" s="363"/>
      <c r="T571" s="574"/>
      <c r="U571" s="80"/>
    </row>
    <row r="572" spans="1:31" ht="13.5" thickTop="1"/>
    <row r="574" spans="1:31">
      <c r="F574" s="757">
        <f>F556+1</f>
        <v>32</v>
      </c>
      <c r="G574" s="758" t="str">
        <f>VLOOKUP(F574,PROPO,2,FALSE)</f>
        <v>CONSORCIO DP-SANTANDER 2019</v>
      </c>
      <c r="H574" s="758"/>
      <c r="I574" s="758"/>
      <c r="J574" s="758"/>
      <c r="K574" s="52"/>
      <c r="O574" s="52"/>
      <c r="Q574" s="52"/>
      <c r="R574" s="52"/>
    </row>
    <row r="575" spans="1:31">
      <c r="B575" s="328"/>
      <c r="C575" s="328"/>
      <c r="D575" s="328"/>
      <c r="E575" s="328"/>
      <c r="F575" s="757"/>
      <c r="G575" s="758"/>
      <c r="H575" s="758"/>
      <c r="I575" s="758"/>
      <c r="J575" s="758"/>
      <c r="K575" s="52"/>
      <c r="N575" s="567"/>
      <c r="O575" s="52"/>
      <c r="Q575" s="52"/>
      <c r="R575" s="52"/>
    </row>
    <row r="576" spans="1:31" ht="13.5" thickBot="1">
      <c r="B576" s="329"/>
      <c r="C576" s="329"/>
      <c r="D576" s="56"/>
      <c r="E576" s="56"/>
      <c r="F576" s="56"/>
      <c r="G576" s="56"/>
      <c r="H576" s="56"/>
      <c r="I576" s="56"/>
      <c r="J576" s="56"/>
      <c r="K576" s="330"/>
      <c r="L576" s="331"/>
      <c r="M576" s="331"/>
      <c r="N576" s="330"/>
      <c r="O576" s="330"/>
      <c r="Q576" s="330"/>
      <c r="R576" s="330"/>
    </row>
    <row r="577" spans="1:31" ht="50.1" customHeight="1" thickTop="1" thickBot="1">
      <c r="B577" s="332" t="s">
        <v>16</v>
      </c>
      <c r="C577" s="744" t="s">
        <v>121</v>
      </c>
      <c r="D577" s="333" t="s">
        <v>17</v>
      </c>
      <c r="E577" s="746" t="s">
        <v>18</v>
      </c>
      <c r="F577" s="747"/>
      <c r="G577" s="748" t="s">
        <v>117</v>
      </c>
      <c r="H577" s="749"/>
      <c r="I577" s="744" t="s">
        <v>39</v>
      </c>
      <c r="J577" s="744" t="s">
        <v>0</v>
      </c>
      <c r="K577" s="665" t="s">
        <v>19</v>
      </c>
      <c r="L577" s="750" t="s">
        <v>20</v>
      </c>
      <c r="M577" s="751"/>
      <c r="N577" s="68" t="s">
        <v>52</v>
      </c>
      <c r="O577" s="501" t="s">
        <v>151</v>
      </c>
      <c r="Q577" s="665" t="s">
        <v>127</v>
      </c>
      <c r="R577" s="665" t="s">
        <v>138</v>
      </c>
      <c r="S577" s="665" t="s">
        <v>163</v>
      </c>
      <c r="T577" s="565">
        <f>IF(VLOOKUP(F574,PROPONENTES!$C$19:$E$54,3,0)="","",VLOOKUP(F574,PROPONENTES!$C$19:$E$54,3,0))</f>
        <v>2</v>
      </c>
      <c r="U577" s="582"/>
      <c r="W577" s="737" t="s">
        <v>167</v>
      </c>
      <c r="X577" s="738"/>
      <c r="Y577" s="738"/>
      <c r="Z577" s="738"/>
      <c r="AA577" s="738"/>
      <c r="AB577" s="738"/>
      <c r="AC577" s="738"/>
      <c r="AD577" s="738"/>
      <c r="AE577" s="739"/>
    </row>
    <row r="578" spans="1:31" ht="50.1" customHeight="1" thickTop="1" thickBot="1">
      <c r="B578" s="334" t="s">
        <v>21</v>
      </c>
      <c r="C578" s="745"/>
      <c r="D578" s="335" t="s">
        <v>22</v>
      </c>
      <c r="E578" s="366" t="s">
        <v>23</v>
      </c>
      <c r="F578" s="336" t="s">
        <v>24</v>
      </c>
      <c r="G578" s="337" t="s">
        <v>118</v>
      </c>
      <c r="H578" s="338" t="s">
        <v>119</v>
      </c>
      <c r="I578" s="745"/>
      <c r="J578" s="745"/>
      <c r="K578" s="663" t="s">
        <v>120</v>
      </c>
      <c r="L578" s="339" t="s">
        <v>150</v>
      </c>
      <c r="M578" s="340" t="s">
        <v>14</v>
      </c>
      <c r="N578" s="341" t="s">
        <v>14</v>
      </c>
      <c r="O578" s="502" t="s">
        <v>152</v>
      </c>
      <c r="Q578" s="663" t="s">
        <v>128</v>
      </c>
      <c r="R578" s="663" t="s">
        <v>139</v>
      </c>
      <c r="S578" s="663" t="s">
        <v>164</v>
      </c>
      <c r="T578" s="575" t="s">
        <v>83</v>
      </c>
      <c r="U578" s="583"/>
      <c r="W578" s="740" t="s">
        <v>166</v>
      </c>
      <c r="X578" s="743"/>
      <c r="Y578" s="663" t="s">
        <v>168</v>
      </c>
      <c r="Z578" s="663" t="s">
        <v>169</v>
      </c>
      <c r="AA578" s="663" t="s">
        <v>174</v>
      </c>
      <c r="AB578" s="740" t="s">
        <v>524</v>
      </c>
      <c r="AC578" s="741"/>
      <c r="AD578" s="742" t="s">
        <v>522</v>
      </c>
      <c r="AE578" s="741"/>
    </row>
    <row r="579" spans="1:31" ht="14.25" hidden="1" customHeight="1">
      <c r="B579" s="342">
        <v>0</v>
      </c>
      <c r="C579" s="347"/>
      <c r="D579" s="343"/>
      <c r="E579" s="367"/>
      <c r="F579" s="344"/>
      <c r="G579" s="345"/>
      <c r="H579" s="346"/>
      <c r="I579" s="347"/>
      <c r="J579" s="347"/>
      <c r="K579" s="347"/>
      <c r="L579" s="348"/>
      <c r="M579" s="349"/>
      <c r="N579" s="350"/>
      <c r="O579" s="347"/>
      <c r="Q579" s="347"/>
      <c r="R579" s="347"/>
      <c r="S579" s="347"/>
      <c r="T579" s="563"/>
      <c r="U579" s="584"/>
      <c r="W579" s="502" t="s">
        <v>166</v>
      </c>
      <c r="X579" s="502"/>
      <c r="Y579" s="502" t="s">
        <v>168</v>
      </c>
      <c r="Z579" s="502" t="s">
        <v>169</v>
      </c>
      <c r="AA579" s="502" t="s">
        <v>170</v>
      </c>
      <c r="AB579" s="661" t="s">
        <v>170</v>
      </c>
      <c r="AC579" s="661" t="s">
        <v>170</v>
      </c>
      <c r="AD579" s="661" t="s">
        <v>170</v>
      </c>
      <c r="AE579" s="661" t="s">
        <v>170</v>
      </c>
    </row>
    <row r="580" spans="1:31" s="353" customFormat="1" ht="49.5" customHeight="1" thickTop="1">
      <c r="A580" s="351"/>
      <c r="B580" s="342">
        <f>IF(D580="","",B579+1)</f>
        <v>1</v>
      </c>
      <c r="C580" s="609">
        <v>34</v>
      </c>
      <c r="D580" s="610" t="s">
        <v>217</v>
      </c>
      <c r="E580" s="611" t="s">
        <v>508</v>
      </c>
      <c r="F580" s="612" t="s">
        <v>510</v>
      </c>
      <c r="G580" s="613" t="s">
        <v>172</v>
      </c>
      <c r="H580" s="614">
        <v>0.4</v>
      </c>
      <c r="I580" s="615" t="s">
        <v>173</v>
      </c>
      <c r="J580" s="616" t="s">
        <v>367</v>
      </c>
      <c r="K580" s="617">
        <v>43465</v>
      </c>
      <c r="L580" s="618">
        <v>341.39</v>
      </c>
      <c r="M580" s="494">
        <f>IF(OR(K580="",L580=""),"",IF(I580="SI",H580*L580,""))</f>
        <v>136.55600000000001</v>
      </c>
      <c r="N580" s="503">
        <f>IF(OR(I580="",M580=""),"",IF(I580="NO",0,IF(I580="SI",ROUND(M580,3),0)))</f>
        <v>136.55600000000001</v>
      </c>
      <c r="O580" s="636"/>
      <c r="Q580" s="352" t="str">
        <f t="shared" ref="Q580:Q581" si="319">IF(K580="","",IF(AND(YEAR(K580)&gt;=YEAR($M$15), I580="SI",K580&lt;=$N$15),"CUMPLE","NO CUMPLE"))</f>
        <v>CUMPLE</v>
      </c>
      <c r="R580" s="636" t="s">
        <v>140</v>
      </c>
      <c r="S580" s="352" t="str">
        <f t="shared" ref="S580:S581" si="320">IF(T580="","",IF(T580&gt;=20%,"CUMPLE","NO CUMPLE"))</f>
        <v>CUMPLE</v>
      </c>
      <c r="T580" s="656">
        <f t="shared" ref="T580:T581" si="321">IF(R580="","",VLOOKUP(J580,INTEGRAN,2,FALSE))</f>
        <v>0.4</v>
      </c>
      <c r="U580" s="585"/>
      <c r="W580" s="594">
        <v>1</v>
      </c>
      <c r="X580" s="595" t="str">
        <f>IF(AND(W580&lt;=$T577,$T577&gt;1,$T577&lt;&gt;""),VLOOKUP(VALUE($F574&amp;","&amp;W580),INTEGRANTES!$D$19:$G$106,2,0),"")</f>
        <v>CONSULTORIA Y CONSTRUCCIONES DARLEV S.A.S.</v>
      </c>
      <c r="Y580" s="596">
        <f>IF(X580&lt;&gt;"",VLOOKUP(VALUE($F574&amp;","&amp;$W580),INTEGRANTES!$D$19:$G$106,3,0),"")</f>
        <v>0.6</v>
      </c>
      <c r="Z580" s="597">
        <f>IF(X580="","",SUMIF($J580:$J585,$X580,$N580:$N585))</f>
        <v>228.816</v>
      </c>
      <c r="AA580" s="604" t="str">
        <f>IF($Y580="","",IF(AND($Y580&gt;=20%,$Z580&gt;=$Z586),"CUMPLE","NO CUMPLE"))</f>
        <v>CUMPLE</v>
      </c>
      <c r="AB580" s="684" t="s">
        <v>525</v>
      </c>
      <c r="AC580" s="592" t="str">
        <f t="shared" ref="AC580:AC585" si="322">IF(X580="","",IF(AND(Y580&gt;=40%,AB580="SI"),"CUMPLE","NO CUMPLE"))</f>
        <v>CUMPLE</v>
      </c>
      <c r="AD580" s="684" t="s">
        <v>525</v>
      </c>
      <c r="AE580" s="593" t="str">
        <f t="shared" ref="AE580:AE585" si="323">IF(X580="","",IF(AD580="SI","CUMPLE","NO CUMPLE"))</f>
        <v>CUMPLE</v>
      </c>
    </row>
    <row r="581" spans="1:31" s="353" customFormat="1" ht="59.25" customHeight="1">
      <c r="A581" s="351"/>
      <c r="B581" s="342">
        <f>IF(D581="","",B580+1)</f>
        <v>2</v>
      </c>
      <c r="C581" s="619">
        <v>3</v>
      </c>
      <c r="D581" s="610" t="s">
        <v>217</v>
      </c>
      <c r="E581" s="621" t="s">
        <v>509</v>
      </c>
      <c r="F581" s="622" t="s">
        <v>511</v>
      </c>
      <c r="G581" s="623" t="s">
        <v>172</v>
      </c>
      <c r="H581" s="624">
        <v>0.57999999999999996</v>
      </c>
      <c r="I581" s="625" t="s">
        <v>173</v>
      </c>
      <c r="J581" s="626" t="s">
        <v>366</v>
      </c>
      <c r="K581" s="627">
        <v>39634</v>
      </c>
      <c r="L581" s="618">
        <v>394.51</v>
      </c>
      <c r="M581" s="556">
        <f>IF(OR(K581="",L581=""),"",IF(I581="SI",H581*L581,""))</f>
        <v>228.8158</v>
      </c>
      <c r="N581" s="504">
        <f>IF(OR(I581="",M581=""),"",IF(I581="SI",ROUND(M581,3),0))</f>
        <v>228.816</v>
      </c>
      <c r="O581" s="636"/>
      <c r="Q581" s="352" t="str">
        <f t="shared" si="319"/>
        <v>NO CUMPLE</v>
      </c>
      <c r="R581" s="636" t="s">
        <v>140</v>
      </c>
      <c r="S581" s="352" t="str">
        <f t="shared" si="320"/>
        <v>CUMPLE</v>
      </c>
      <c r="T581" s="656">
        <f t="shared" si="321"/>
        <v>0.6</v>
      </c>
      <c r="U581" s="586"/>
      <c r="W581" s="594">
        <v>2</v>
      </c>
      <c r="X581" s="595" t="str">
        <f>IF(AND(W581&lt;=$T577,$T577&gt;1,$T577&lt;&gt;""),VLOOKUP(VALUE($F574&amp;","&amp;W581),INTEGRANTES!$D$19:$G$106,2,0),"")</f>
        <v>SAMUEL IGNACIO PUERTO GIL</v>
      </c>
      <c r="Y581" s="596">
        <f>IF(X581&lt;&gt;"",VLOOKUP(VALUE($F574&amp;","&amp;$W581),INTEGRANTES!$D$19:$G$106,3,0),"")</f>
        <v>0.4</v>
      </c>
      <c r="Z581" s="597">
        <f>IF(X581="","",SUMIF($J580:$J585,$X581,$N580:$N585))</f>
        <v>136.55600000000001</v>
      </c>
      <c r="AA581" s="604" t="str">
        <f>IF($Y581="","",IF(AND($Y581&gt;=20%,$Z581&gt;=$Z586),"CUMPLE","NO CUMPLE"))</f>
        <v>NO CUMPLE</v>
      </c>
      <c r="AB581" s="685"/>
      <c r="AC581" s="593" t="str">
        <f t="shared" si="322"/>
        <v>NO CUMPLE</v>
      </c>
      <c r="AD581" s="685"/>
      <c r="AE581" s="593" t="str">
        <f t="shared" si="323"/>
        <v>NO CUMPLE</v>
      </c>
    </row>
    <row r="582" spans="1:31" s="353" customFormat="1" ht="22.5" customHeight="1">
      <c r="A582" s="351"/>
      <c r="B582" s="342" t="str">
        <f t="shared" ref="B582:B585" si="324">IF(D582="","",B581+1)</f>
        <v/>
      </c>
      <c r="C582" s="619"/>
      <c r="D582" s="620"/>
      <c r="E582" s="628"/>
      <c r="F582" s="622"/>
      <c r="G582" s="623"/>
      <c r="H582" s="624"/>
      <c r="I582" s="625"/>
      <c r="J582" s="629"/>
      <c r="K582" s="627"/>
      <c r="L582" s="618"/>
      <c r="M582" s="556" t="str">
        <f t="shared" ref="M582:M585" si="325">IF(OR(K582="",L582=""),"",IF(I582="SI",H582*L582,""))</f>
        <v/>
      </c>
      <c r="N582" s="504" t="str">
        <f>IF(OR(I582="",M582=""),"",IF(I582="SI",ROUND(M582,3),0))</f>
        <v/>
      </c>
      <c r="O582" s="636"/>
      <c r="Q582" s="352" t="str">
        <f t="shared" ref="Q582:Q585" si="326">IF(K582="","",IF(AND(YEAR(K582)&gt;=YEAR($M$15), I582="SI",K582&lt;=$N$15),"CUMPLE","NO CUMPLE"))</f>
        <v/>
      </c>
      <c r="R582" s="636"/>
      <c r="S582" s="352" t="str">
        <f t="shared" ref="S582:S585" si="327">IF(T582="","",IF(T582&gt;=20%,"CUMPLE","NO CUMPLE"))</f>
        <v/>
      </c>
      <c r="T582" s="656" t="str">
        <f t="shared" ref="T582:T585" si="328">IF(R582="","",VLOOKUP(J582,INTEGRAN,2,FALSE))</f>
        <v/>
      </c>
      <c r="U582" s="586"/>
      <c r="W582" s="594">
        <v>3</v>
      </c>
      <c r="X582" s="595" t="str">
        <f>IF(AND(W582&lt;=$T577,$T577&gt;1,$T577&lt;&gt;""),VLOOKUP(VALUE($F574&amp;","&amp;W582),INTEGRANTES!$D$19:$G$106,2,0),"")</f>
        <v/>
      </c>
      <c r="Y582" s="596" t="str">
        <f>IF(X582&lt;&gt;"",VLOOKUP(VALUE($F574&amp;","&amp;$W582),INTEGRANTES!$D$19:$G$106,3,0),"")</f>
        <v/>
      </c>
      <c r="Z582" s="597" t="str">
        <f>IF(X582="","",SUMIF($J580:$J585,$X582,$N580:$N585))</f>
        <v/>
      </c>
      <c r="AA582" s="604" t="str">
        <f>IF($Y582="","",IF(AND($Y582&gt;=20%,$Z582&gt;=$Z586),"CUMPLE","NO CUMPLE"))</f>
        <v/>
      </c>
      <c r="AB582" s="685"/>
      <c r="AC582" s="593" t="str">
        <f t="shared" si="322"/>
        <v/>
      </c>
      <c r="AD582" s="685"/>
      <c r="AE582" s="593" t="str">
        <f t="shared" si="323"/>
        <v/>
      </c>
    </row>
    <row r="583" spans="1:31" s="353" customFormat="1" ht="22.5" customHeight="1">
      <c r="A583" s="351"/>
      <c r="B583" s="342" t="str">
        <f t="shared" si="324"/>
        <v/>
      </c>
      <c r="C583" s="619"/>
      <c r="D583" s="620"/>
      <c r="E583" s="628"/>
      <c r="F583" s="622"/>
      <c r="G583" s="623"/>
      <c r="H583" s="624"/>
      <c r="I583" s="625"/>
      <c r="J583" s="629"/>
      <c r="K583" s="627"/>
      <c r="L583" s="618"/>
      <c r="M583" s="555" t="str">
        <f t="shared" si="325"/>
        <v/>
      </c>
      <c r="N583" s="504" t="str">
        <f>IF(OR(I583="",M583=""),"",IF(I583="SI",ROUND(M583,3),0))</f>
        <v/>
      </c>
      <c r="O583" s="636"/>
      <c r="Q583" s="352" t="str">
        <f t="shared" si="326"/>
        <v/>
      </c>
      <c r="R583" s="636"/>
      <c r="S583" s="352" t="str">
        <f t="shared" si="327"/>
        <v/>
      </c>
      <c r="T583" s="656" t="str">
        <f t="shared" si="328"/>
        <v/>
      </c>
      <c r="U583" s="586"/>
      <c r="W583" s="594">
        <v>4</v>
      </c>
      <c r="X583" s="595" t="str">
        <f>IF(AND(W583&lt;=$T577,$T577&gt;1,$T577&lt;&gt;""),VLOOKUP(VALUE($F574&amp;","&amp;W583),INTEGRANTES!$D$19:$G$106,2,0),"")</f>
        <v/>
      </c>
      <c r="Y583" s="596" t="str">
        <f>IF(X583&lt;&gt;"",VLOOKUP(VALUE($F574&amp;","&amp;$W583),INTEGRANTES!$D$19:$G$106,3,0),"")</f>
        <v/>
      </c>
      <c r="Z583" s="597" t="str">
        <f>IF(X583="","",SUMIF($J580:$J585,$X583,$N580:$N585))</f>
        <v/>
      </c>
      <c r="AA583" s="604" t="str">
        <f>IF($Y583="","",IF(AND($Y583&gt;=20%,$Z583&gt;=$Z586),"CUMPLE","NO CUMPLE"))</f>
        <v/>
      </c>
      <c r="AB583" s="685"/>
      <c r="AC583" s="593" t="str">
        <f t="shared" si="322"/>
        <v/>
      </c>
      <c r="AD583" s="685"/>
      <c r="AE583" s="593" t="str">
        <f t="shared" si="323"/>
        <v/>
      </c>
    </row>
    <row r="584" spans="1:31" s="353" customFormat="1" ht="22.5" customHeight="1">
      <c r="A584" s="351"/>
      <c r="B584" s="342" t="str">
        <f t="shared" si="324"/>
        <v/>
      </c>
      <c r="C584" s="619"/>
      <c r="D584" s="620"/>
      <c r="E584" s="628"/>
      <c r="F584" s="622"/>
      <c r="G584" s="623"/>
      <c r="H584" s="624"/>
      <c r="I584" s="625"/>
      <c r="J584" s="629"/>
      <c r="K584" s="627"/>
      <c r="L584" s="618"/>
      <c r="M584" s="556" t="str">
        <f t="shared" si="325"/>
        <v/>
      </c>
      <c r="N584" s="504" t="str">
        <f>IF(OR(I584="",M584=""),"",IF(I584="SI",ROUND(M584,3),0))</f>
        <v/>
      </c>
      <c r="O584" s="636"/>
      <c r="Q584" s="352" t="str">
        <f t="shared" si="326"/>
        <v/>
      </c>
      <c r="R584" s="636"/>
      <c r="S584" s="352" t="str">
        <f t="shared" si="327"/>
        <v/>
      </c>
      <c r="T584" s="656" t="str">
        <f t="shared" si="328"/>
        <v/>
      </c>
      <c r="U584" s="586"/>
      <c r="W584" s="594">
        <v>5</v>
      </c>
      <c r="X584" s="595" t="str">
        <f>IF(AND(W584&lt;=$T577,$T577&gt;1,$T577&lt;&gt;""),VLOOKUP(VALUE($F574&amp;","&amp;W584),INTEGRANTES!$D$19:$G$106,2,0),"")</f>
        <v/>
      </c>
      <c r="Y584" s="596" t="str">
        <f>IF(X584&lt;&gt;"",VLOOKUP(VALUE($F574&amp;","&amp;$W584),INTEGRANTES!$D$19:$G$106,3,0),"")</f>
        <v/>
      </c>
      <c r="Z584" s="597" t="str">
        <f>IF(X584="","",SUMIF($J580:$J585,$X584,$N580:$N585))</f>
        <v/>
      </c>
      <c r="AA584" s="604" t="str">
        <f>IF($Y584="","",IF(AND($Y584&gt;=20%,$Z584&gt;=$Z586),"CUMPLE","NO CUMPLE"))</f>
        <v/>
      </c>
      <c r="AB584" s="685"/>
      <c r="AC584" s="593" t="str">
        <f t="shared" si="322"/>
        <v/>
      </c>
      <c r="AD584" s="685"/>
      <c r="AE584" s="593" t="str">
        <f t="shared" si="323"/>
        <v/>
      </c>
    </row>
    <row r="585" spans="1:31" s="353" customFormat="1" ht="22.5" customHeight="1">
      <c r="A585" s="351"/>
      <c r="B585" s="342" t="str">
        <f t="shared" si="324"/>
        <v/>
      </c>
      <c r="C585" s="619"/>
      <c r="D585" s="620"/>
      <c r="E585" s="628"/>
      <c r="F585" s="622"/>
      <c r="G585" s="623"/>
      <c r="H585" s="624"/>
      <c r="I585" s="625"/>
      <c r="J585" s="629"/>
      <c r="K585" s="627"/>
      <c r="L585" s="618"/>
      <c r="M585" s="555" t="str">
        <f t="shared" si="325"/>
        <v/>
      </c>
      <c r="N585" s="504" t="str">
        <f>IF(OR(I585="",M585=""),"",IF(I585="SI",ROUND(M585,3),0))</f>
        <v/>
      </c>
      <c r="O585" s="636"/>
      <c r="Q585" s="352" t="str">
        <f t="shared" si="326"/>
        <v/>
      </c>
      <c r="R585" s="636"/>
      <c r="S585" s="352" t="str">
        <f t="shared" si="327"/>
        <v/>
      </c>
      <c r="T585" s="656" t="str">
        <f t="shared" si="328"/>
        <v/>
      </c>
      <c r="U585" s="586"/>
      <c r="W585" s="599">
        <v>6</v>
      </c>
      <c r="X585" s="595" t="str">
        <f>IF(AND(W585&lt;=$T577,$T577&gt;1,$T577&lt;&gt;""),VLOOKUP(VALUE($F574&amp;","&amp;W585),INTEGRANTES!$D$19:$G$106,2,0),"")</f>
        <v/>
      </c>
      <c r="Y585" s="606" t="str">
        <f>IF(X585&lt;&gt;"",VLOOKUP(VALUE($F574&amp;","&amp;$W585),INTEGRANTES!$D$19:$G$106,3,0),"")</f>
        <v/>
      </c>
      <c r="Z585" s="607" t="str">
        <f>IF(X585="","",SUMIF($J580:$J585,$X585,$N580:$N585))</f>
        <v/>
      </c>
      <c r="AA585" s="608" t="str">
        <f>IF($Y585="","",IF(AND($Y585&gt;=20%,$Z585&gt;=$Z586),"CUMPLE","NO CUMPLE"))</f>
        <v/>
      </c>
      <c r="AB585" s="685"/>
      <c r="AC585" s="593" t="str">
        <f t="shared" si="322"/>
        <v/>
      </c>
      <c r="AD585" s="685"/>
      <c r="AE585" s="593" t="str">
        <f t="shared" si="323"/>
        <v/>
      </c>
    </row>
    <row r="586" spans="1:31" ht="5.0999999999999996" customHeight="1" thickBot="1">
      <c r="B586" s="354"/>
      <c r="C586" s="359"/>
      <c r="D586" s="355"/>
      <c r="E586" s="368"/>
      <c r="F586" s="355"/>
      <c r="G586" s="355"/>
      <c r="H586" s="355"/>
      <c r="I586" s="356"/>
      <c r="J586" s="357"/>
      <c r="K586" s="358"/>
      <c r="L586" s="355"/>
      <c r="M586" s="356"/>
      <c r="N586" s="360"/>
      <c r="O586" s="352" t="str">
        <f>IF(L586="","",IF(AND(L586&gt;=YEAR($M$15), J586="SI",L586&lt;=S580),"CUMPLE","NO CUMPLE"))</f>
        <v/>
      </c>
      <c r="Q586" s="352" t="str">
        <f>IF(N586="","",IF(AND(N586&gt;=YEAR($M$15), L586="SI",N586&lt;=V580),"CUMPLE","NO CUMPLE"))</f>
        <v/>
      </c>
      <c r="R586" s="352" t="str">
        <f>IF(P586="","",IF(AND(P586&gt;=YEAR($M$15), M586="SI",P586&lt;=W580),"CUMPLE","NO CUMPLE"))</f>
        <v/>
      </c>
      <c r="S586" s="352" t="str">
        <f>IF(P586="","",IF(AND(P586&gt;=YEAR($M$15), N586="SI",P586&lt;=X580),"CUMPLE","NO CUMPLE"))</f>
        <v/>
      </c>
      <c r="T586" s="564"/>
      <c r="U586" s="586"/>
      <c r="W586" s="600"/>
      <c r="X586" s="600"/>
      <c r="Y586" s="600"/>
      <c r="Z586" s="605">
        <f>MAX(Z580:Z585)</f>
        <v>228.816</v>
      </c>
      <c r="AA586" s="600"/>
      <c r="AB586" s="602"/>
      <c r="AC586" s="602"/>
      <c r="AD586" s="602"/>
      <c r="AE586" s="602"/>
    </row>
    <row r="587" spans="1:31" s="52" customFormat="1" ht="17.100000000000001" customHeight="1" thickTop="1" thickBot="1">
      <c r="A587" s="361">
        <f>F574</f>
        <v>32</v>
      </c>
      <c r="B587" s="364"/>
      <c r="C587" s="379"/>
      <c r="D587" s="664"/>
      <c r="E587" s="752"/>
      <c r="F587" s="752"/>
      <c r="G587" s="752"/>
      <c r="H587" s="752"/>
      <c r="I587" s="752"/>
      <c r="J587" s="752"/>
      <c r="K587" s="752"/>
      <c r="L587" s="753"/>
      <c r="M587" s="754"/>
      <c r="N587" s="365">
        <f>SUM(N580:N586)</f>
        <v>365.37200000000001</v>
      </c>
      <c r="O587" s="373"/>
      <c r="Q587" s="373" t="str">
        <f>IF(COUNTIF(Q580:Q583,"CUMPLE")&gt;0,"CUMPLE","NO CUMPLE")</f>
        <v>CUMPLE</v>
      </c>
      <c r="R587" s="374" t="str">
        <f>IF(COUNTIF(R580:R583,"COLOMBIA")&gt;0,"CUMPLE","NO CUMPLE")</f>
        <v>CUMPLE</v>
      </c>
      <c r="S587" s="373" t="str">
        <f>IF(COUNTIF(S580:S583,"CUMPLE")&gt;0,"CUMPLE","NO CUMPLE")</f>
        <v>CUMPLE</v>
      </c>
      <c r="T587" s="566"/>
      <c r="U587" s="587"/>
      <c r="AA587" s="589" t="str">
        <f>IF(COUNTIF(AA580:AA585,"CUMPLE")&gt;0,"CUMPLE","NO CUMPLE")</f>
        <v>CUMPLE</v>
      </c>
      <c r="AB587" s="735" t="str">
        <f>IF(COUNTIF(AC580:AC585,"CUMPLE")&gt;0,"CUMPLE","NO CUMPLE")</f>
        <v>CUMPLE</v>
      </c>
      <c r="AC587" s="736"/>
      <c r="AD587" s="735" t="str">
        <f>IF(COUNTIF(AE580:AE585,"CUMPLE")&gt;0,"CUMPLE","NO CUMPLE")</f>
        <v>CUMPLE</v>
      </c>
      <c r="AE587" s="736"/>
    </row>
    <row r="588" spans="1:31" ht="16.5" thickTop="1">
      <c r="B588" s="557"/>
      <c r="C588" s="558"/>
      <c r="D588" s="558"/>
      <c r="E588" s="558"/>
      <c r="F588" s="558"/>
      <c r="G588" s="558"/>
      <c r="H588" s="558"/>
      <c r="I588" s="558"/>
      <c r="J588" s="558"/>
      <c r="K588" s="558"/>
      <c r="L588" s="80"/>
      <c r="M588" s="362" t="s">
        <v>516</v>
      </c>
      <c r="N588" s="369">
        <f ca="1">VFrequerido!Y46</f>
        <v>342.54</v>
      </c>
      <c r="O588" s="568"/>
      <c r="Q588" s="570"/>
      <c r="R588" s="571"/>
      <c r="S588" s="572"/>
      <c r="T588" s="573"/>
      <c r="U588" s="80"/>
    </row>
    <row r="589" spans="1:31" ht="15.75" thickBot="1">
      <c r="A589" s="490" t="str">
        <f>"E"&amp;F574</f>
        <v>E32</v>
      </c>
      <c r="B589" s="559"/>
      <c r="C589" s="560"/>
      <c r="D589" s="560"/>
      <c r="E589" s="560"/>
      <c r="F589" s="560"/>
      <c r="G589" s="560"/>
      <c r="H589" s="560"/>
      <c r="I589" s="560"/>
      <c r="J589" s="560"/>
      <c r="K589" s="560"/>
      <c r="L589" s="363"/>
      <c r="M589" s="755" t="str">
        <f ca="1">IF(OR(N587=0,N587&lt;N588),"NO CUMPLE","CUMPLE")</f>
        <v>CUMPLE</v>
      </c>
      <c r="N589" s="756"/>
      <c r="O589" s="569"/>
      <c r="Q589" s="492"/>
      <c r="R589" s="493"/>
      <c r="S589" s="363"/>
      <c r="T589" s="574"/>
      <c r="U589" s="80"/>
    </row>
    <row r="590" spans="1:31" ht="13.5" thickTop="1"/>
    <row r="592" spans="1:31">
      <c r="F592" s="757">
        <f>F574+1</f>
        <v>33</v>
      </c>
      <c r="G592" s="758" t="str">
        <f>VLOOKUP(F592,PROPO,2,FALSE)</f>
        <v>CONSORCIO ADM SANTANDER</v>
      </c>
      <c r="H592" s="758"/>
      <c r="I592" s="758"/>
      <c r="J592" s="758"/>
      <c r="K592" s="52"/>
      <c r="O592" s="52"/>
      <c r="Q592" s="52"/>
      <c r="R592" s="52"/>
    </row>
    <row r="593" spans="1:31">
      <c r="B593" s="328"/>
      <c r="C593" s="328"/>
      <c r="D593" s="328"/>
      <c r="E593" s="328"/>
      <c r="F593" s="757"/>
      <c r="G593" s="758"/>
      <c r="H593" s="758"/>
      <c r="I593" s="758"/>
      <c r="J593" s="758"/>
      <c r="K593" s="52"/>
      <c r="N593" s="567"/>
      <c r="O593" s="52"/>
      <c r="Q593" s="52"/>
      <c r="R593" s="52"/>
    </row>
    <row r="594" spans="1:31" ht="13.5" thickBot="1">
      <c r="B594" s="329"/>
      <c r="C594" s="329"/>
      <c r="D594" s="56"/>
      <c r="E594" s="56"/>
      <c r="F594" s="56"/>
      <c r="G594" s="56"/>
      <c r="H594" s="56"/>
      <c r="I594" s="56"/>
      <c r="J594" s="56"/>
      <c r="K594" s="330"/>
      <c r="L594" s="331"/>
      <c r="M594" s="331"/>
      <c r="N594" s="330"/>
      <c r="O594" s="330"/>
      <c r="Q594" s="330"/>
      <c r="R594" s="330"/>
    </row>
    <row r="595" spans="1:31" ht="50.1" customHeight="1" thickTop="1" thickBot="1">
      <c r="B595" s="332" t="s">
        <v>16</v>
      </c>
      <c r="C595" s="744" t="s">
        <v>121</v>
      </c>
      <c r="D595" s="333" t="s">
        <v>17</v>
      </c>
      <c r="E595" s="746" t="s">
        <v>18</v>
      </c>
      <c r="F595" s="747"/>
      <c r="G595" s="748" t="s">
        <v>117</v>
      </c>
      <c r="H595" s="749"/>
      <c r="I595" s="744" t="s">
        <v>39</v>
      </c>
      <c r="J595" s="744" t="s">
        <v>0</v>
      </c>
      <c r="K595" s="665" t="s">
        <v>19</v>
      </c>
      <c r="L595" s="750" t="s">
        <v>20</v>
      </c>
      <c r="M595" s="751"/>
      <c r="N595" s="68" t="s">
        <v>52</v>
      </c>
      <c r="O595" s="501" t="s">
        <v>151</v>
      </c>
      <c r="Q595" s="665" t="s">
        <v>127</v>
      </c>
      <c r="R595" s="665" t="s">
        <v>138</v>
      </c>
      <c r="S595" s="665" t="s">
        <v>163</v>
      </c>
      <c r="T595" s="565">
        <f>IF(VLOOKUP(F592,PROPONENTES!$C$19:$E$54,3,0)="","",VLOOKUP(F592,PROPONENTES!$C$19:$E$54,3,0))</f>
        <v>2</v>
      </c>
      <c r="U595" s="582"/>
      <c r="W595" s="737" t="s">
        <v>167</v>
      </c>
      <c r="X595" s="738"/>
      <c r="Y595" s="738"/>
      <c r="Z595" s="738"/>
      <c r="AA595" s="738"/>
      <c r="AB595" s="738"/>
      <c r="AC595" s="738"/>
      <c r="AD595" s="738"/>
      <c r="AE595" s="739"/>
    </row>
    <row r="596" spans="1:31" ht="50.1" customHeight="1" thickTop="1" thickBot="1">
      <c r="B596" s="334" t="s">
        <v>21</v>
      </c>
      <c r="C596" s="745"/>
      <c r="D596" s="335" t="s">
        <v>22</v>
      </c>
      <c r="E596" s="366" t="s">
        <v>23</v>
      </c>
      <c r="F596" s="336" t="s">
        <v>24</v>
      </c>
      <c r="G596" s="337" t="s">
        <v>118</v>
      </c>
      <c r="H596" s="338" t="s">
        <v>119</v>
      </c>
      <c r="I596" s="745"/>
      <c r="J596" s="745"/>
      <c r="K596" s="663" t="s">
        <v>120</v>
      </c>
      <c r="L596" s="339" t="s">
        <v>150</v>
      </c>
      <c r="M596" s="340" t="s">
        <v>14</v>
      </c>
      <c r="N596" s="341" t="s">
        <v>14</v>
      </c>
      <c r="O596" s="502" t="s">
        <v>152</v>
      </c>
      <c r="Q596" s="663" t="s">
        <v>128</v>
      </c>
      <c r="R596" s="663" t="s">
        <v>139</v>
      </c>
      <c r="S596" s="663" t="s">
        <v>164</v>
      </c>
      <c r="T596" s="575" t="s">
        <v>83</v>
      </c>
      <c r="U596" s="583"/>
      <c r="W596" s="740" t="s">
        <v>166</v>
      </c>
      <c r="X596" s="743"/>
      <c r="Y596" s="663" t="s">
        <v>168</v>
      </c>
      <c r="Z596" s="663" t="s">
        <v>169</v>
      </c>
      <c r="AA596" s="663" t="s">
        <v>174</v>
      </c>
      <c r="AB596" s="740" t="s">
        <v>524</v>
      </c>
      <c r="AC596" s="741"/>
      <c r="AD596" s="742" t="s">
        <v>522</v>
      </c>
      <c r="AE596" s="741"/>
    </row>
    <row r="597" spans="1:31" ht="14.25" hidden="1" customHeight="1">
      <c r="B597" s="342">
        <v>0</v>
      </c>
      <c r="C597" s="347"/>
      <c r="D597" s="343"/>
      <c r="E597" s="367"/>
      <c r="F597" s="344"/>
      <c r="G597" s="345"/>
      <c r="H597" s="346"/>
      <c r="I597" s="347"/>
      <c r="J597" s="347"/>
      <c r="K597" s="347"/>
      <c r="L597" s="348"/>
      <c r="M597" s="349"/>
      <c r="N597" s="350"/>
      <c r="O597" s="347"/>
      <c r="Q597" s="347"/>
      <c r="R597" s="347"/>
      <c r="S597" s="347"/>
      <c r="T597" s="563"/>
      <c r="U597" s="584"/>
      <c r="W597" s="502" t="s">
        <v>166</v>
      </c>
      <c r="X597" s="502"/>
      <c r="Y597" s="502" t="s">
        <v>168</v>
      </c>
      <c r="Z597" s="502" t="s">
        <v>169</v>
      </c>
      <c r="AA597" s="502" t="s">
        <v>170</v>
      </c>
      <c r="AB597" s="661" t="s">
        <v>170</v>
      </c>
      <c r="AC597" s="661" t="s">
        <v>170</v>
      </c>
      <c r="AD597" s="661" t="s">
        <v>170</v>
      </c>
      <c r="AE597" s="661" t="s">
        <v>170</v>
      </c>
    </row>
    <row r="598" spans="1:31" s="353" customFormat="1" ht="22.5" customHeight="1" thickTop="1">
      <c r="A598" s="351"/>
      <c r="B598" s="342">
        <f>IF(D598="","",B597+1)</f>
        <v>1</v>
      </c>
      <c r="C598" s="609">
        <v>36</v>
      </c>
      <c r="D598" s="610" t="s">
        <v>368</v>
      </c>
      <c r="E598" s="611" t="s">
        <v>369</v>
      </c>
      <c r="F598" s="612" t="s">
        <v>370</v>
      </c>
      <c r="G598" s="613" t="s">
        <v>226</v>
      </c>
      <c r="H598" s="614">
        <v>1</v>
      </c>
      <c r="I598" s="615" t="s">
        <v>173</v>
      </c>
      <c r="J598" s="616" t="s">
        <v>383</v>
      </c>
      <c r="K598" s="617">
        <v>36881</v>
      </c>
      <c r="L598" s="618">
        <v>1128</v>
      </c>
      <c r="M598" s="494">
        <f>IF(OR(K598="",L598=""),"",IF(I598="SI",H598*L598,""))</f>
        <v>1128</v>
      </c>
      <c r="N598" s="503">
        <f>IF(OR(I598="",M598=""),"",IF(I598="NO",0,IF(I598="SI",ROUND(M598,3),0)))</f>
        <v>1128</v>
      </c>
      <c r="O598" s="636"/>
      <c r="Q598" s="352" t="str">
        <f t="shared" ref="Q598:Q603" si="329">IF(K598="","",IF(AND(YEAR(K598)&gt;=YEAR($M$15), I598="SI",K598&lt;=$N$15),"CUMPLE","NO CUMPLE"))</f>
        <v>NO CUMPLE</v>
      </c>
      <c r="R598" s="636"/>
      <c r="S598" s="352" t="str">
        <f>IF(T598="","",IF(T598&gt;=20%,"CUMPLE","NO CUMPLE"))</f>
        <v/>
      </c>
      <c r="T598" s="656" t="str">
        <f t="shared" ref="T598:T603" si="330">IF(R598="","",VLOOKUP(J598,INTEGRAN,2,FALSE))</f>
        <v/>
      </c>
      <c r="U598" s="585"/>
      <c r="W598" s="594">
        <v>1</v>
      </c>
      <c r="X598" s="595" t="s">
        <v>381</v>
      </c>
      <c r="Y598" s="596">
        <f>IF(X598&lt;&gt;"",VLOOKUP(VALUE($F592&amp;","&amp;$W598),INTEGRANTES!$D$19:$G$106,3,0),"")</f>
        <v>0.6</v>
      </c>
      <c r="Z598" s="597">
        <f>IF(X598="","",SUMIF($J598:$J603,$X598,$N598:$N603))</f>
        <v>0</v>
      </c>
      <c r="AA598" s="604" t="str">
        <f>IF($Y598="","",IF(AND($Y598&gt;=20%,$Z598&gt;=$Z604),"CUMPLE","NO CUMPLE"))</f>
        <v>NO CUMPLE</v>
      </c>
      <c r="AB598" s="684"/>
      <c r="AC598" s="592" t="str">
        <f t="shared" ref="AC598:AC603" si="331">IF(X598="","",IF(AND(Y598&gt;=40%,AB598="SI"),"CUMPLE","NO CUMPLE"))</f>
        <v>NO CUMPLE</v>
      </c>
      <c r="AD598" s="684"/>
      <c r="AE598" s="592" t="str">
        <f t="shared" ref="AE598:AE603" si="332">IF(X598="","",IF(AD598="SI","CUMPLE","NO CUMPLE"))</f>
        <v>NO CUMPLE</v>
      </c>
    </row>
    <row r="599" spans="1:31" s="353" customFormat="1" ht="22.5" customHeight="1">
      <c r="A599" s="351"/>
      <c r="B599" s="342">
        <f>IF(D599="","",B598+1)</f>
        <v>2</v>
      </c>
      <c r="C599" s="619">
        <v>18</v>
      </c>
      <c r="D599" s="620" t="s">
        <v>371</v>
      </c>
      <c r="E599" s="621" t="s">
        <v>372</v>
      </c>
      <c r="F599" s="622" t="s">
        <v>373</v>
      </c>
      <c r="G599" s="623" t="s">
        <v>374</v>
      </c>
      <c r="H599" s="624">
        <v>0.85</v>
      </c>
      <c r="I599" s="625" t="s">
        <v>173</v>
      </c>
      <c r="J599" s="626" t="s">
        <v>382</v>
      </c>
      <c r="K599" s="627">
        <v>36840</v>
      </c>
      <c r="L599" s="618">
        <v>1145</v>
      </c>
      <c r="M599" s="556">
        <f>IF(OR(K599="",L599=""),"",IF(I599="SI",H599*L599,""))</f>
        <v>973.25</v>
      </c>
      <c r="N599" s="504">
        <f>IF(OR(I599="",M599=""),"",IF(I599="SI",ROUND(M599,3),0))</f>
        <v>973.25</v>
      </c>
      <c r="O599" s="636"/>
      <c r="Q599" s="352" t="str">
        <f t="shared" si="329"/>
        <v>NO CUMPLE</v>
      </c>
      <c r="R599" s="636"/>
      <c r="S599" s="352" t="str">
        <f t="shared" ref="S599:S603" si="333">IF(T599="","",IF(T599&gt;=20%,"CUMPLE","NO CUMPLE"))</f>
        <v/>
      </c>
      <c r="T599" s="656" t="str">
        <f t="shared" si="330"/>
        <v/>
      </c>
      <c r="U599" s="586"/>
      <c r="W599" s="594">
        <v>2</v>
      </c>
      <c r="X599" s="595" t="s">
        <v>382</v>
      </c>
      <c r="Y599" s="596">
        <f>IF(X599&lt;&gt;"",VLOOKUP(VALUE($F592&amp;","&amp;$W599),INTEGRANTES!$D$19:$G$106,3,0),"")</f>
        <v>0.4</v>
      </c>
      <c r="Z599" s="597">
        <f>IF(X599="","",SUMIF($J598:$J603,$X599,$N598:$N603))</f>
        <v>973.25</v>
      </c>
      <c r="AA599" s="604" t="str">
        <f>IF($Y599="","",IF(AND($Y599&gt;=20%,$Z599&gt;=$Z604),"CUMPLE","NO CUMPLE"))</f>
        <v>CUMPLE</v>
      </c>
      <c r="AB599" s="685"/>
      <c r="AC599" s="593" t="str">
        <f t="shared" si="331"/>
        <v>NO CUMPLE</v>
      </c>
      <c r="AD599" s="685"/>
      <c r="AE599" s="593" t="str">
        <f t="shared" si="332"/>
        <v>NO CUMPLE</v>
      </c>
    </row>
    <row r="600" spans="1:31" s="353" customFormat="1" ht="22.5" customHeight="1">
      <c r="A600" s="351"/>
      <c r="B600" s="342">
        <f t="shared" ref="B600:B603" si="334">IF(D600="","",B599+1)</f>
        <v>3</v>
      </c>
      <c r="C600" s="619">
        <v>52</v>
      </c>
      <c r="D600" s="620" t="s">
        <v>375</v>
      </c>
      <c r="E600" s="628" t="s">
        <v>376</v>
      </c>
      <c r="F600" s="622" t="s">
        <v>377</v>
      </c>
      <c r="G600" s="623" t="s">
        <v>172</v>
      </c>
      <c r="H600" s="624">
        <v>0.3</v>
      </c>
      <c r="I600" s="625" t="s">
        <v>173</v>
      </c>
      <c r="J600" s="626" t="s">
        <v>383</v>
      </c>
      <c r="K600" s="627">
        <v>42668</v>
      </c>
      <c r="L600" s="618">
        <v>723.5</v>
      </c>
      <c r="M600" s="556">
        <f t="shared" ref="M600:M603" si="335">IF(OR(K600="",L600=""),"",IF(I600="SI",H600*L600,""))</f>
        <v>217.05</v>
      </c>
      <c r="N600" s="504">
        <f>IF(OR(I600="",M600=""),"",IF(I600="SI",ROUND(M600,3),0))</f>
        <v>217.05</v>
      </c>
      <c r="O600" s="636"/>
      <c r="Q600" s="352" t="str">
        <f t="shared" si="329"/>
        <v>CUMPLE</v>
      </c>
      <c r="R600" s="636" t="s">
        <v>140</v>
      </c>
      <c r="S600" s="352" t="str">
        <f t="shared" si="333"/>
        <v>CUMPLE</v>
      </c>
      <c r="T600" s="656">
        <f t="shared" si="330"/>
        <v>0.6</v>
      </c>
      <c r="U600" s="586"/>
      <c r="W600" s="594">
        <v>3</v>
      </c>
      <c r="X600" s="595" t="str">
        <f>IF(AND(W600&lt;=$T595,$T595&gt;1,$T595&lt;&gt;""),VLOOKUP(VALUE($F592&amp;","&amp;W600),INTEGRANTES!$D$19:$G$106,2,0),"")</f>
        <v/>
      </c>
      <c r="Y600" s="596" t="str">
        <f>IF(X600&lt;&gt;"",VLOOKUP(VALUE($F592&amp;","&amp;$W600),INTEGRANTES!$D$19:$G$106,3,0),"")</f>
        <v/>
      </c>
      <c r="Z600" s="597" t="str">
        <f>IF(X600="","",SUMIF($J598:$J603,$X600,$N598:$N603))</f>
        <v/>
      </c>
      <c r="AA600" s="604" t="str">
        <f>IF($Y600="","",IF(AND($Y600&gt;=20%,$Z600&gt;=$Z604),"CUMPLE","NO CUMPLE"))</f>
        <v/>
      </c>
      <c r="AB600" s="685"/>
      <c r="AC600" s="593" t="str">
        <f t="shared" si="331"/>
        <v/>
      </c>
      <c r="AD600" s="685"/>
      <c r="AE600" s="593" t="str">
        <f t="shared" si="332"/>
        <v/>
      </c>
    </row>
    <row r="601" spans="1:31" s="353" customFormat="1" ht="22.5" customHeight="1">
      <c r="A601" s="351"/>
      <c r="B601" s="342">
        <f t="shared" si="334"/>
        <v>4</v>
      </c>
      <c r="C601" s="619">
        <v>54</v>
      </c>
      <c r="D601" s="620" t="s">
        <v>378</v>
      </c>
      <c r="E601" s="628" t="s">
        <v>379</v>
      </c>
      <c r="F601" s="622" t="s">
        <v>380</v>
      </c>
      <c r="G601" s="623" t="s">
        <v>226</v>
      </c>
      <c r="H601" s="624">
        <v>1</v>
      </c>
      <c r="I601" s="625" t="s">
        <v>173</v>
      </c>
      <c r="J601" s="626" t="s">
        <v>383</v>
      </c>
      <c r="K601" s="627">
        <v>42927</v>
      </c>
      <c r="L601" s="618">
        <v>137.22999999999999</v>
      </c>
      <c r="M601" s="555">
        <f t="shared" si="335"/>
        <v>137.22999999999999</v>
      </c>
      <c r="N601" s="504">
        <f>IF(OR(I601="",M601=""),"",IF(I601="SI",ROUND(M601,3),0))</f>
        <v>137.22999999999999</v>
      </c>
      <c r="O601" s="636"/>
      <c r="Q601" s="352" t="str">
        <f t="shared" si="329"/>
        <v>CUMPLE</v>
      </c>
      <c r="R601" s="636"/>
      <c r="S601" s="352" t="str">
        <f t="shared" si="333"/>
        <v/>
      </c>
      <c r="T601" s="656" t="str">
        <f t="shared" si="330"/>
        <v/>
      </c>
      <c r="U601" s="586"/>
      <c r="W601" s="594">
        <v>4</v>
      </c>
      <c r="X601" s="595" t="str">
        <f>IF(AND(W601&lt;=$T595,$T595&gt;1,$T595&lt;&gt;""),VLOOKUP(VALUE($F592&amp;","&amp;W601),INTEGRANTES!$D$19:$G$106,2,0),"")</f>
        <v/>
      </c>
      <c r="Y601" s="596" t="str">
        <f>IF(X601&lt;&gt;"",VLOOKUP(VALUE($F592&amp;","&amp;$W601),INTEGRANTES!$D$19:$G$106,3,0),"")</f>
        <v/>
      </c>
      <c r="Z601" s="597" t="str">
        <f>IF(X601="","",SUMIF($J598:$J603,$X601,$N598:$N603))</f>
        <v/>
      </c>
      <c r="AA601" s="604" t="str">
        <f>IF($Y601="","",IF(AND($Y601&gt;=20%,$Z601&gt;=$Z604),"CUMPLE","NO CUMPLE"))</f>
        <v/>
      </c>
      <c r="AB601" s="685"/>
      <c r="AC601" s="593" t="str">
        <f t="shared" si="331"/>
        <v/>
      </c>
      <c r="AD601" s="685"/>
      <c r="AE601" s="593" t="str">
        <f t="shared" si="332"/>
        <v/>
      </c>
    </row>
    <row r="602" spans="1:31" s="353" customFormat="1" ht="22.5" customHeight="1">
      <c r="A602" s="351"/>
      <c r="B602" s="342" t="str">
        <f t="shared" si="334"/>
        <v/>
      </c>
      <c r="C602" s="619"/>
      <c r="D602" s="620"/>
      <c r="E602" s="628"/>
      <c r="F602" s="622"/>
      <c r="G602" s="623"/>
      <c r="H602" s="624"/>
      <c r="I602" s="625"/>
      <c r="J602" s="629"/>
      <c r="K602" s="627"/>
      <c r="L602" s="618"/>
      <c r="M602" s="556" t="str">
        <f t="shared" si="335"/>
        <v/>
      </c>
      <c r="N602" s="504" t="str">
        <f>IF(OR(I602="",M602=""),"",IF(I602="SI",ROUND(M602,3),0))</f>
        <v/>
      </c>
      <c r="O602" s="636"/>
      <c r="Q602" s="352" t="str">
        <f t="shared" si="329"/>
        <v/>
      </c>
      <c r="R602" s="636"/>
      <c r="S602" s="352" t="str">
        <f t="shared" si="333"/>
        <v/>
      </c>
      <c r="T602" s="656" t="str">
        <f t="shared" si="330"/>
        <v/>
      </c>
      <c r="U602" s="586"/>
      <c r="W602" s="594">
        <v>5</v>
      </c>
      <c r="X602" s="595" t="str">
        <f>IF(AND(W602&lt;=$T595,$T595&gt;1,$T595&lt;&gt;""),VLOOKUP(VALUE($F592&amp;","&amp;W602),INTEGRANTES!$D$19:$G$106,2,0),"")</f>
        <v/>
      </c>
      <c r="Y602" s="596" t="str">
        <f>IF(X602&lt;&gt;"",VLOOKUP(VALUE($F592&amp;","&amp;$W602),INTEGRANTES!$D$19:$G$106,3,0),"")</f>
        <v/>
      </c>
      <c r="Z602" s="597" t="str">
        <f>IF(X602="","",SUMIF($J598:$J603,$X602,$N598:$N603))</f>
        <v/>
      </c>
      <c r="AA602" s="604" t="str">
        <f>IF($Y602="","",IF(AND($Y602&gt;=20%,$Z602&gt;=$Z604),"CUMPLE","NO CUMPLE"))</f>
        <v/>
      </c>
      <c r="AB602" s="685"/>
      <c r="AC602" s="593" t="str">
        <f t="shared" si="331"/>
        <v/>
      </c>
      <c r="AD602" s="685"/>
      <c r="AE602" s="593" t="str">
        <f t="shared" si="332"/>
        <v/>
      </c>
    </row>
    <row r="603" spans="1:31" s="353" customFormat="1" ht="22.5" customHeight="1">
      <c r="A603" s="351"/>
      <c r="B603" s="342" t="str">
        <f t="shared" si="334"/>
        <v/>
      </c>
      <c r="C603" s="619"/>
      <c r="D603" s="620"/>
      <c r="E603" s="628"/>
      <c r="F603" s="622"/>
      <c r="G603" s="623"/>
      <c r="H603" s="624"/>
      <c r="I603" s="625"/>
      <c r="J603" s="629"/>
      <c r="K603" s="627"/>
      <c r="L603" s="618"/>
      <c r="M603" s="555" t="str">
        <f t="shared" si="335"/>
        <v/>
      </c>
      <c r="N603" s="504" t="str">
        <f>IF(OR(I603="",M603=""),"",IF(I603="SI",ROUND(M603,3),0))</f>
        <v/>
      </c>
      <c r="O603" s="636"/>
      <c r="Q603" s="352" t="str">
        <f t="shared" si="329"/>
        <v/>
      </c>
      <c r="R603" s="636"/>
      <c r="S603" s="352" t="str">
        <f t="shared" si="333"/>
        <v/>
      </c>
      <c r="T603" s="656" t="str">
        <f t="shared" si="330"/>
        <v/>
      </c>
      <c r="U603" s="586"/>
      <c r="W603" s="599">
        <v>6</v>
      </c>
      <c r="X603" s="595" t="str">
        <f>IF(AND(W603&lt;=$T595,$T595&gt;1,$T595&lt;&gt;""),VLOOKUP(VALUE($F592&amp;","&amp;W603),INTEGRANTES!$D$19:$G$106,2,0),"")</f>
        <v/>
      </c>
      <c r="Y603" s="606" t="str">
        <f>IF(X603&lt;&gt;"",VLOOKUP(VALUE($F592&amp;","&amp;$W603),INTEGRANTES!$D$19:$G$106,3,0),"")</f>
        <v/>
      </c>
      <c r="Z603" s="607" t="str">
        <f>IF(X603="","",SUMIF($J598:$J603,$X603,$N598:$N603))</f>
        <v/>
      </c>
      <c r="AA603" s="608" t="str">
        <f>IF($Y603="","",IF(AND($Y603&gt;=20%,$Z603&gt;=$Z604),"CUMPLE","NO CUMPLE"))</f>
        <v/>
      </c>
      <c r="AB603" s="685"/>
      <c r="AC603" s="593" t="str">
        <f t="shared" si="331"/>
        <v/>
      </c>
      <c r="AD603" s="685"/>
      <c r="AE603" s="593" t="str">
        <f t="shared" si="332"/>
        <v/>
      </c>
    </row>
    <row r="604" spans="1:31" ht="5.0999999999999996" customHeight="1" thickBot="1">
      <c r="B604" s="354"/>
      <c r="C604" s="359"/>
      <c r="D604" s="355"/>
      <c r="E604" s="368"/>
      <c r="F604" s="355"/>
      <c r="G604" s="355"/>
      <c r="H604" s="355"/>
      <c r="I604" s="356"/>
      <c r="J604" s="357"/>
      <c r="K604" s="358"/>
      <c r="L604" s="355"/>
      <c r="M604" s="356"/>
      <c r="N604" s="360"/>
      <c r="O604" s="352" t="str">
        <f>IF(L604="","",IF(AND(L604&gt;=YEAR($M$15), J604="SI",L604&lt;=S598),"CUMPLE","NO CUMPLE"))</f>
        <v/>
      </c>
      <c r="Q604" s="352" t="str">
        <f>IF(N604="","",IF(AND(N604&gt;=YEAR($M$15), L604="SI",N604&lt;=V598),"CUMPLE","NO CUMPLE"))</f>
        <v/>
      </c>
      <c r="R604" s="352" t="str">
        <f>IF(P604="","",IF(AND(P604&gt;=YEAR($M$15), M604="SI",P604&lt;=W598),"CUMPLE","NO CUMPLE"))</f>
        <v/>
      </c>
      <c r="S604" s="352" t="str">
        <f>IF(P604="","",IF(AND(P604&gt;=YEAR($M$15), N604="SI",P604&lt;=X598),"CUMPLE","NO CUMPLE"))</f>
        <v/>
      </c>
      <c r="T604" s="564"/>
      <c r="U604" s="586"/>
      <c r="W604" s="600"/>
      <c r="X604" s="600"/>
      <c r="Y604" s="600"/>
      <c r="Z604" s="605">
        <f>MAX(Z598:Z603)</f>
        <v>973.25</v>
      </c>
      <c r="AA604" s="600"/>
      <c r="AB604" s="602"/>
      <c r="AC604" s="602"/>
      <c r="AD604" s="602"/>
      <c r="AE604" s="602"/>
    </row>
    <row r="605" spans="1:31" s="52" customFormat="1" ht="17.100000000000001" customHeight="1" thickTop="1" thickBot="1">
      <c r="A605" s="361">
        <f>F592</f>
        <v>33</v>
      </c>
      <c r="B605" s="364"/>
      <c r="C605" s="379"/>
      <c r="D605" s="664"/>
      <c r="E605" s="752"/>
      <c r="F605" s="752"/>
      <c r="G605" s="752"/>
      <c r="H605" s="752"/>
      <c r="I605" s="752"/>
      <c r="J605" s="752"/>
      <c r="K605" s="752"/>
      <c r="L605" s="753"/>
      <c r="M605" s="754"/>
      <c r="N605" s="365">
        <f>SUM(N598:N604)</f>
        <v>2455.5300000000002</v>
      </c>
      <c r="O605" s="373"/>
      <c r="Q605" s="373" t="str">
        <f>IF(COUNTIF(Q598:Q601,"CUMPLE")&gt;0,"CUMPLE","NO CUMPLE")</f>
        <v>CUMPLE</v>
      </c>
      <c r="R605" s="374" t="str">
        <f>IF(COUNTIF(R598:R601,"COLOMBIA")&gt;0,"CUMPLE","NO CUMPLE")</f>
        <v>CUMPLE</v>
      </c>
      <c r="S605" s="373" t="str">
        <f>IF(COUNTIF(S598:S601,"CUMPLE")&gt;0,"CUMPLE","NO CUMPLE")</f>
        <v>CUMPLE</v>
      </c>
      <c r="T605" s="566"/>
      <c r="U605" s="587"/>
      <c r="AA605" s="589" t="str">
        <f>IF(COUNTIF(AA598:AA603,"CUMPLE")&gt;0,"CUMPLE","NO CUMPLE")</f>
        <v>CUMPLE</v>
      </c>
      <c r="AB605" s="735" t="str">
        <f>IF(COUNTIF(AC598:AC603,"CUMPLE")&gt;0,"CUMPLE","NO CUMPLE")</f>
        <v>NO CUMPLE</v>
      </c>
      <c r="AC605" s="736"/>
      <c r="AD605" s="735" t="str">
        <f>IF(COUNTIF(AE598:AE603,"CUMPLE")&gt;0,"CUMPLE","NO CUMPLE")</f>
        <v>NO CUMPLE</v>
      </c>
      <c r="AE605" s="736"/>
    </row>
    <row r="606" spans="1:31" ht="16.5" thickTop="1">
      <c r="B606" s="557"/>
      <c r="C606" s="558"/>
      <c r="D606" s="558"/>
      <c r="E606" s="558"/>
      <c r="F606" s="558"/>
      <c r="G606" s="558"/>
      <c r="H606" s="558"/>
      <c r="I606" s="558"/>
      <c r="J606" s="558"/>
      <c r="K606" s="558"/>
      <c r="L606" s="80"/>
      <c r="M606" s="362" t="s">
        <v>516</v>
      </c>
      <c r="N606" s="369">
        <f ca="1">VFrequerido!Y47</f>
        <v>254.25</v>
      </c>
      <c r="O606" s="568"/>
      <c r="Q606" s="570"/>
      <c r="R606" s="571"/>
      <c r="S606" s="572"/>
      <c r="T606" s="573"/>
      <c r="U606" s="80"/>
    </row>
    <row r="607" spans="1:31" ht="15.75" thickBot="1">
      <c r="A607" s="490" t="str">
        <f>"E"&amp;F592</f>
        <v>E33</v>
      </c>
      <c r="B607" s="559"/>
      <c r="C607" s="560"/>
      <c r="D607" s="560"/>
      <c r="E607" s="560"/>
      <c r="F607" s="560"/>
      <c r="G607" s="560"/>
      <c r="H607" s="560"/>
      <c r="I607" s="560"/>
      <c r="J607" s="560"/>
      <c r="K607" s="560"/>
      <c r="L607" s="363"/>
      <c r="M607" s="755" t="str">
        <f ca="1">IF(OR(N605=0,N605&lt;N606),"NO CUMPLE","CUMPLE")</f>
        <v>CUMPLE</v>
      </c>
      <c r="N607" s="756"/>
      <c r="O607" s="569"/>
      <c r="Q607" s="492"/>
      <c r="R607" s="493"/>
      <c r="S607" s="363"/>
      <c r="T607" s="574"/>
      <c r="U607" s="80"/>
    </row>
    <row r="608" spans="1:31" ht="13.5" thickTop="1"/>
    <row r="610" spans="1:31">
      <c r="F610" s="757">
        <f>F592+1</f>
        <v>34</v>
      </c>
      <c r="G610" s="758" t="str">
        <f>VLOOKUP(F610,PROPO,2,FALSE)</f>
        <v>ARQUITECTURA E INGENIERIA DE CONSULTA S.A.S.</v>
      </c>
      <c r="H610" s="758"/>
      <c r="I610" s="758"/>
      <c r="J610" s="758"/>
      <c r="K610" s="52"/>
      <c r="O610" s="52"/>
      <c r="Q610" s="52"/>
      <c r="R610" s="52"/>
    </row>
    <row r="611" spans="1:31">
      <c r="B611" s="328"/>
      <c r="C611" s="328"/>
      <c r="D611" s="328"/>
      <c r="E611" s="328"/>
      <c r="F611" s="757"/>
      <c r="G611" s="758"/>
      <c r="H611" s="758"/>
      <c r="I611" s="758"/>
      <c r="J611" s="758"/>
      <c r="K611" s="52"/>
      <c r="N611" s="567"/>
      <c r="O611" s="52"/>
      <c r="Q611" s="52"/>
      <c r="R611" s="52"/>
    </row>
    <row r="612" spans="1:31" ht="13.5" thickBot="1">
      <c r="B612" s="329"/>
      <c r="C612" s="329"/>
      <c r="D612" s="56"/>
      <c r="E612" s="56"/>
      <c r="F612" s="56"/>
      <c r="G612" s="56"/>
      <c r="H612" s="56"/>
      <c r="I612" s="56"/>
      <c r="J612" s="56"/>
      <c r="K612" s="330"/>
      <c r="L612" s="331"/>
      <c r="M612" s="331"/>
      <c r="N612" s="330"/>
      <c r="O612" s="330"/>
      <c r="Q612" s="330"/>
      <c r="R612" s="330"/>
    </row>
    <row r="613" spans="1:31" ht="50.1" customHeight="1" thickTop="1" thickBot="1">
      <c r="B613" s="332" t="s">
        <v>16</v>
      </c>
      <c r="C613" s="744" t="s">
        <v>121</v>
      </c>
      <c r="D613" s="333" t="s">
        <v>17</v>
      </c>
      <c r="E613" s="746" t="s">
        <v>18</v>
      </c>
      <c r="F613" s="747"/>
      <c r="G613" s="748" t="s">
        <v>117</v>
      </c>
      <c r="H613" s="749"/>
      <c r="I613" s="744" t="s">
        <v>39</v>
      </c>
      <c r="J613" s="744" t="s">
        <v>0</v>
      </c>
      <c r="K613" s="665" t="s">
        <v>19</v>
      </c>
      <c r="L613" s="750" t="s">
        <v>20</v>
      </c>
      <c r="M613" s="751"/>
      <c r="N613" s="68" t="s">
        <v>52</v>
      </c>
      <c r="O613" s="501" t="s">
        <v>151</v>
      </c>
      <c r="Q613" s="665" t="s">
        <v>127</v>
      </c>
      <c r="R613" s="665" t="s">
        <v>138</v>
      </c>
      <c r="S613" s="665" t="s">
        <v>163</v>
      </c>
      <c r="T613" s="565">
        <f>IF(VLOOKUP(F610,PROPONENTES!$C$19:$E$54,3,0)="","",VLOOKUP(F610,PROPONENTES!$C$19:$E$54,3,0))</f>
        <v>1</v>
      </c>
      <c r="U613" s="582"/>
      <c r="W613" s="737" t="s">
        <v>167</v>
      </c>
      <c r="X613" s="738"/>
      <c r="Y613" s="738"/>
      <c r="Z613" s="738"/>
      <c r="AA613" s="738"/>
      <c r="AB613" s="738"/>
      <c r="AC613" s="738"/>
      <c r="AD613" s="738"/>
      <c r="AE613" s="739"/>
    </row>
    <row r="614" spans="1:31" ht="50.1" customHeight="1" thickTop="1" thickBot="1">
      <c r="B614" s="334" t="s">
        <v>21</v>
      </c>
      <c r="C614" s="745"/>
      <c r="D614" s="335" t="s">
        <v>22</v>
      </c>
      <c r="E614" s="366" t="s">
        <v>23</v>
      </c>
      <c r="F614" s="336" t="s">
        <v>24</v>
      </c>
      <c r="G614" s="337" t="s">
        <v>118</v>
      </c>
      <c r="H614" s="338" t="s">
        <v>119</v>
      </c>
      <c r="I614" s="745"/>
      <c r="J614" s="745"/>
      <c r="K614" s="663" t="s">
        <v>120</v>
      </c>
      <c r="L614" s="339" t="s">
        <v>150</v>
      </c>
      <c r="M614" s="340" t="s">
        <v>14</v>
      </c>
      <c r="N614" s="341" t="s">
        <v>14</v>
      </c>
      <c r="O614" s="502" t="s">
        <v>152</v>
      </c>
      <c r="Q614" s="663" t="s">
        <v>128</v>
      </c>
      <c r="R614" s="663" t="s">
        <v>139</v>
      </c>
      <c r="S614" s="663" t="s">
        <v>164</v>
      </c>
      <c r="T614" s="575" t="s">
        <v>83</v>
      </c>
      <c r="U614" s="583"/>
      <c r="W614" s="740" t="s">
        <v>166</v>
      </c>
      <c r="X614" s="743"/>
      <c r="Y614" s="663" t="s">
        <v>168</v>
      </c>
      <c r="Z614" s="663" t="s">
        <v>169</v>
      </c>
      <c r="AA614" s="663" t="s">
        <v>174</v>
      </c>
      <c r="AB614" s="740" t="s">
        <v>524</v>
      </c>
      <c r="AC614" s="741"/>
      <c r="AD614" s="742" t="s">
        <v>522</v>
      </c>
      <c r="AE614" s="741"/>
    </row>
    <row r="615" spans="1:31" ht="14.25" hidden="1" customHeight="1">
      <c r="B615" s="342">
        <v>0</v>
      </c>
      <c r="C615" s="347"/>
      <c r="D615" s="343"/>
      <c r="E615" s="367"/>
      <c r="F615" s="344"/>
      <c r="G615" s="345"/>
      <c r="H615" s="346"/>
      <c r="I615" s="347"/>
      <c r="J615" s="347"/>
      <c r="K615" s="347"/>
      <c r="L615" s="348"/>
      <c r="M615" s="349"/>
      <c r="N615" s="350"/>
      <c r="O615" s="347"/>
      <c r="Q615" s="347"/>
      <c r="R615" s="347"/>
      <c r="S615" s="347"/>
      <c r="T615" s="563"/>
      <c r="U615" s="584"/>
      <c r="W615" s="502" t="s">
        <v>166</v>
      </c>
      <c r="X615" s="502"/>
      <c r="Y615" s="502" t="s">
        <v>168</v>
      </c>
      <c r="Z615" s="502" t="s">
        <v>169</v>
      </c>
      <c r="AA615" s="502" t="s">
        <v>170</v>
      </c>
      <c r="AB615" s="661" t="s">
        <v>170</v>
      </c>
      <c r="AC615" s="661" t="s">
        <v>170</v>
      </c>
      <c r="AD615" s="661" t="s">
        <v>170</v>
      </c>
      <c r="AE615" s="661" t="s">
        <v>170</v>
      </c>
    </row>
    <row r="616" spans="1:31" s="353" customFormat="1" ht="77.25" customHeight="1" thickTop="1">
      <c r="A616" s="351"/>
      <c r="B616" s="342">
        <f>IF(D616="","",B615+1)</f>
        <v>1</v>
      </c>
      <c r="C616" s="609">
        <v>39</v>
      </c>
      <c r="D616" s="610" t="s">
        <v>217</v>
      </c>
      <c r="E616" s="611" t="s">
        <v>512</v>
      </c>
      <c r="F616" s="612" t="s">
        <v>514</v>
      </c>
      <c r="G616" s="613" t="s">
        <v>226</v>
      </c>
      <c r="H616" s="614">
        <v>1</v>
      </c>
      <c r="I616" s="615" t="s">
        <v>173</v>
      </c>
      <c r="J616" s="616" t="s">
        <v>208</v>
      </c>
      <c r="K616" s="617">
        <v>39683</v>
      </c>
      <c r="L616" s="618">
        <v>317.16000000000003</v>
      </c>
      <c r="M616" s="494">
        <f>IF(OR(K616="",L616=""),"",IF(I616="SI",H616*L616,""))</f>
        <v>317.16000000000003</v>
      </c>
      <c r="N616" s="503">
        <f>IF(OR(I616="",M616=""),"",IF(I616="NO",0,IF(I616="SI",ROUND(M616,3),0)))</f>
        <v>317.16000000000003</v>
      </c>
      <c r="O616" s="636"/>
      <c r="Q616" s="352" t="str">
        <f t="shared" ref="Q616:Q617" si="336">IF(K616="","",IF(AND(YEAR(K616)&gt;=YEAR($M$15), I616="SI",K616&lt;=$N$15),"CUMPLE","NO CUMPLE"))</f>
        <v>NO CUMPLE</v>
      </c>
      <c r="R616" s="636" t="s">
        <v>140</v>
      </c>
      <c r="S616" s="352" t="str">
        <f t="shared" ref="S616:S617" si="337">IF(T616="","",IF(T616&gt;=20%,"CUMPLE","NO CUMPLE"))</f>
        <v>CUMPLE</v>
      </c>
      <c r="T616" s="656">
        <f t="shared" ref="T616:T617" si="338">IF(R616="","",VLOOKUP(J616,INTEGRAN,2,FALSE))</f>
        <v>1</v>
      </c>
      <c r="U616" s="585"/>
      <c r="W616" s="594">
        <v>1</v>
      </c>
      <c r="X616" s="595"/>
      <c r="Y616" s="596" t="str">
        <f>IF(X616&lt;&gt;"",VLOOKUP(VALUE($F610&amp;","&amp;$W616),INTEGRANTES!$D$19:$G$106,3,0),"")</f>
        <v/>
      </c>
      <c r="Z616" s="597" t="str">
        <f>IF(X616="","",SUMIF($J616:$J621,$X616,$N616:$N621))</f>
        <v/>
      </c>
      <c r="AA616" s="604" t="str">
        <f>IF($Y616="","",IF(AND($Y616&gt;=20%,$Z616&gt;=$Z622),"CUMPLE","NO CUMPLE"))</f>
        <v/>
      </c>
      <c r="AB616" s="679"/>
      <c r="AC616" s="592" t="str">
        <f t="shared" ref="AC616:AC621" si="339">IF(X616="","",IF(AND(Y616&gt;=40%,AB616="SI"),"CUMPLE","NO CUMPLE"))</f>
        <v/>
      </c>
      <c r="AD616" s="679"/>
      <c r="AE616" s="593" t="str">
        <f t="shared" ref="AE616:AE621" si="340">IF(X616="","",IF(AD616="SI","CUMPLE","NO CUMPLE"))</f>
        <v/>
      </c>
    </row>
    <row r="617" spans="1:31" s="353" customFormat="1" ht="22.5" customHeight="1">
      <c r="A617" s="351"/>
      <c r="B617" s="342">
        <f>IF(D617="","",B616+1)</f>
        <v>2</v>
      </c>
      <c r="C617" s="619">
        <v>20</v>
      </c>
      <c r="D617" s="610" t="s">
        <v>217</v>
      </c>
      <c r="E617" s="621" t="s">
        <v>513</v>
      </c>
      <c r="F617" s="622" t="s">
        <v>515</v>
      </c>
      <c r="G617" s="623" t="s">
        <v>172</v>
      </c>
      <c r="H617" s="624">
        <v>0.75</v>
      </c>
      <c r="I617" s="625" t="s">
        <v>173</v>
      </c>
      <c r="J617" s="629" t="s">
        <v>208</v>
      </c>
      <c r="K617" s="627">
        <v>38195</v>
      </c>
      <c r="L617" s="618">
        <v>294.85000000000002</v>
      </c>
      <c r="M617" s="556">
        <f>IF(OR(K617="",L617=""),"",IF(I617="SI",H617*L617,""))</f>
        <v>221.13749999999999</v>
      </c>
      <c r="N617" s="504">
        <f>IF(OR(I617="",M617=""),"",IF(I617="SI",ROUND(M617,3),0))</f>
        <v>221.13800000000001</v>
      </c>
      <c r="O617" s="636"/>
      <c r="Q617" s="352" t="str">
        <f t="shared" si="336"/>
        <v>NO CUMPLE</v>
      </c>
      <c r="R617" s="636" t="s">
        <v>140</v>
      </c>
      <c r="S617" s="352" t="str">
        <f t="shared" si="337"/>
        <v>CUMPLE</v>
      </c>
      <c r="T617" s="656">
        <f t="shared" si="338"/>
        <v>1</v>
      </c>
      <c r="U617" s="586"/>
      <c r="W617" s="594">
        <v>2</v>
      </c>
      <c r="X617" s="595"/>
      <c r="Y617" s="596" t="str">
        <f>IF(X617&lt;&gt;"",VLOOKUP(VALUE($F610&amp;","&amp;$W617),INTEGRANTES!$D$19:$G$106,3,0),"")</f>
        <v/>
      </c>
      <c r="Z617" s="597" t="str">
        <f>IF(X617="","",SUMIF($J616:$J621,$X617,$N616:$N621))</f>
        <v/>
      </c>
      <c r="AA617" s="604" t="str">
        <f>IF($Y617="","",IF(AND($Y617&gt;=20%,$Z617&gt;=$Z622),"CUMPLE","NO CUMPLE"))</f>
        <v/>
      </c>
      <c r="AB617" s="680"/>
      <c r="AC617" s="593" t="str">
        <f t="shared" si="339"/>
        <v/>
      </c>
      <c r="AD617" s="680"/>
      <c r="AE617" s="593" t="str">
        <f t="shared" si="340"/>
        <v/>
      </c>
    </row>
    <row r="618" spans="1:31" s="353" customFormat="1" ht="22.5" customHeight="1">
      <c r="A618" s="351"/>
      <c r="B618" s="342" t="str">
        <f t="shared" ref="B618:B621" si="341">IF(D618="","",B617+1)</f>
        <v/>
      </c>
      <c r="C618" s="619"/>
      <c r="D618" s="620"/>
      <c r="E618" s="628"/>
      <c r="F618" s="622"/>
      <c r="G618" s="623"/>
      <c r="H618" s="624"/>
      <c r="I618" s="625"/>
      <c r="J618" s="629"/>
      <c r="K618" s="627"/>
      <c r="L618" s="618"/>
      <c r="M618" s="556" t="str">
        <f t="shared" ref="M618:M621" si="342">IF(OR(K618="",L618=""),"",IF(I618="SI",H618*L618,""))</f>
        <v/>
      </c>
      <c r="N618" s="504" t="str">
        <f>IF(OR(I618="",M618=""),"",IF(I618="SI",ROUND(M618,3),0))</f>
        <v/>
      </c>
      <c r="O618" s="636"/>
      <c r="Q618" s="352" t="str">
        <f t="shared" ref="Q618:Q621" si="343">IF(K618="","",IF(AND(YEAR(K618)&gt;=YEAR($M$15), I618="SI",K618&lt;=$N$15),"CUMPLE","NO CUMPLE"))</f>
        <v/>
      </c>
      <c r="R618" s="636"/>
      <c r="S618" s="352" t="str">
        <f t="shared" ref="S618:S621" si="344">IF(T618="","",IF(T618&gt;=20%,"CUMPLE","NO CUMPLE"))</f>
        <v/>
      </c>
      <c r="T618" s="656" t="str">
        <f t="shared" ref="T618:T621" si="345">IF(R618="","",VLOOKUP(J618,INTEGRAN,2,FALSE))</f>
        <v/>
      </c>
      <c r="U618" s="586"/>
      <c r="W618" s="594">
        <v>3</v>
      </c>
      <c r="X618" s="595" t="str">
        <f>IF(AND(W618&lt;=$T613,$T613&gt;1,$T613&lt;&gt;""),VLOOKUP(VALUE($F610&amp;","&amp;W618),INTEGRANTES!$D$19:$G$106,2,0),"")</f>
        <v/>
      </c>
      <c r="Y618" s="596" t="str">
        <f>IF(X618&lt;&gt;"",VLOOKUP(VALUE($F610&amp;","&amp;$W618),INTEGRANTES!$D$19:$G$106,3,0),"")</f>
        <v/>
      </c>
      <c r="Z618" s="597" t="str">
        <f>IF(X618="","",SUMIF($J616:$J621,$X618,$N616:$N621))</f>
        <v/>
      </c>
      <c r="AA618" s="604" t="str">
        <f>IF($Y618="","",IF(AND($Y618&gt;=20%,$Z618&gt;=$Z622),"CUMPLE","NO CUMPLE"))</f>
        <v/>
      </c>
      <c r="AB618" s="680"/>
      <c r="AC618" s="593" t="str">
        <f t="shared" si="339"/>
        <v/>
      </c>
      <c r="AD618" s="680"/>
      <c r="AE618" s="593" t="str">
        <f t="shared" si="340"/>
        <v/>
      </c>
    </row>
    <row r="619" spans="1:31" s="353" customFormat="1" ht="22.5" customHeight="1">
      <c r="A619" s="351"/>
      <c r="B619" s="342" t="str">
        <f t="shared" si="341"/>
        <v/>
      </c>
      <c r="C619" s="619"/>
      <c r="D619" s="620"/>
      <c r="E619" s="628"/>
      <c r="F619" s="622"/>
      <c r="G619" s="623"/>
      <c r="H619" s="624"/>
      <c r="I619" s="625"/>
      <c r="J619" s="629"/>
      <c r="K619" s="627"/>
      <c r="L619" s="618"/>
      <c r="M619" s="555" t="str">
        <f t="shared" si="342"/>
        <v/>
      </c>
      <c r="N619" s="504" t="str">
        <f>IF(OR(I619="",M619=""),"",IF(I619="SI",ROUND(M619,3),0))</f>
        <v/>
      </c>
      <c r="O619" s="636"/>
      <c r="Q619" s="352" t="str">
        <f t="shared" si="343"/>
        <v/>
      </c>
      <c r="R619" s="636"/>
      <c r="S619" s="352" t="str">
        <f t="shared" si="344"/>
        <v/>
      </c>
      <c r="T619" s="656" t="str">
        <f t="shared" si="345"/>
        <v/>
      </c>
      <c r="U619" s="586"/>
      <c r="W619" s="594">
        <v>4</v>
      </c>
      <c r="X619" s="595" t="str">
        <f>IF(AND(W619&lt;=$T613,$T613&gt;1,$T613&lt;&gt;""),VLOOKUP(VALUE($F610&amp;","&amp;W619),INTEGRANTES!$D$19:$G$106,2,0),"")</f>
        <v/>
      </c>
      <c r="Y619" s="596" t="str">
        <f>IF(X619&lt;&gt;"",VLOOKUP(VALUE($F610&amp;","&amp;$W619),INTEGRANTES!$D$19:$G$106,3,0),"")</f>
        <v/>
      </c>
      <c r="Z619" s="597" t="str">
        <f>IF(X619="","",SUMIF($J616:$J621,$X619,$N616:$N621))</f>
        <v/>
      </c>
      <c r="AA619" s="604" t="str">
        <f>IF($Y619="","",IF(AND($Y619&gt;=20%,$Z619&gt;=$Z622),"CUMPLE","NO CUMPLE"))</f>
        <v/>
      </c>
      <c r="AB619" s="680"/>
      <c r="AC619" s="593" t="str">
        <f t="shared" si="339"/>
        <v/>
      </c>
      <c r="AD619" s="680"/>
      <c r="AE619" s="593" t="str">
        <f t="shared" si="340"/>
        <v/>
      </c>
    </row>
    <row r="620" spans="1:31" s="353" customFormat="1" ht="22.5" customHeight="1">
      <c r="A620" s="351"/>
      <c r="B620" s="342" t="str">
        <f t="shared" si="341"/>
        <v/>
      </c>
      <c r="C620" s="619"/>
      <c r="D620" s="620"/>
      <c r="E620" s="628"/>
      <c r="F620" s="622"/>
      <c r="G620" s="623"/>
      <c r="H620" s="624"/>
      <c r="I620" s="625"/>
      <c r="J620" s="629"/>
      <c r="K620" s="627"/>
      <c r="L620" s="618"/>
      <c r="M620" s="556" t="str">
        <f t="shared" si="342"/>
        <v/>
      </c>
      <c r="N620" s="504" t="str">
        <f>IF(OR(I620="",M620=""),"",IF(I620="SI",ROUND(M620,3),0))</f>
        <v/>
      </c>
      <c r="O620" s="636"/>
      <c r="Q620" s="352" t="str">
        <f t="shared" si="343"/>
        <v/>
      </c>
      <c r="R620" s="636"/>
      <c r="S620" s="352" t="str">
        <f t="shared" si="344"/>
        <v/>
      </c>
      <c r="T620" s="656" t="str">
        <f t="shared" si="345"/>
        <v/>
      </c>
      <c r="U620" s="586"/>
      <c r="W620" s="594">
        <v>5</v>
      </c>
      <c r="X620" s="595" t="str">
        <f>IF(AND(W620&lt;=$T613,$T613&gt;1,$T613&lt;&gt;""),VLOOKUP(VALUE($F610&amp;","&amp;W620),INTEGRANTES!$D$19:$G$106,2,0),"")</f>
        <v/>
      </c>
      <c r="Y620" s="596" t="str">
        <f>IF(X620&lt;&gt;"",VLOOKUP(VALUE($F610&amp;","&amp;$W620),INTEGRANTES!$D$19:$G$106,3,0),"")</f>
        <v/>
      </c>
      <c r="Z620" s="597" t="str">
        <f>IF(X620="","",SUMIF($J616:$J621,$X620,$N616:$N621))</f>
        <v/>
      </c>
      <c r="AA620" s="604" t="str">
        <f>IF($Y620="","",IF(AND($Y620&gt;=20%,$Z620&gt;=$Z622),"CUMPLE","NO CUMPLE"))</f>
        <v/>
      </c>
      <c r="AB620" s="680"/>
      <c r="AC620" s="593" t="str">
        <f t="shared" si="339"/>
        <v/>
      </c>
      <c r="AD620" s="680"/>
      <c r="AE620" s="593" t="str">
        <f t="shared" si="340"/>
        <v/>
      </c>
    </row>
    <row r="621" spans="1:31" s="353" customFormat="1" ht="22.5" customHeight="1">
      <c r="A621" s="351"/>
      <c r="B621" s="342" t="str">
        <f t="shared" si="341"/>
        <v/>
      </c>
      <c r="C621" s="619"/>
      <c r="D621" s="620"/>
      <c r="E621" s="628"/>
      <c r="F621" s="622"/>
      <c r="G621" s="623"/>
      <c r="H621" s="624"/>
      <c r="I621" s="625"/>
      <c r="J621" s="629"/>
      <c r="K621" s="627"/>
      <c r="L621" s="618"/>
      <c r="M621" s="555" t="str">
        <f t="shared" si="342"/>
        <v/>
      </c>
      <c r="N621" s="504" t="str">
        <f>IF(OR(I621="",M621=""),"",IF(I621="SI",ROUND(M621,3),0))</f>
        <v/>
      </c>
      <c r="O621" s="636"/>
      <c r="Q621" s="352" t="str">
        <f t="shared" si="343"/>
        <v/>
      </c>
      <c r="R621" s="636"/>
      <c r="S621" s="352" t="str">
        <f t="shared" si="344"/>
        <v/>
      </c>
      <c r="T621" s="656" t="str">
        <f t="shared" si="345"/>
        <v/>
      </c>
      <c r="U621" s="586"/>
      <c r="W621" s="599">
        <v>6</v>
      </c>
      <c r="X621" s="595" t="str">
        <f>IF(AND(W621&lt;=$T613,$T613&gt;1,$T613&lt;&gt;""),VLOOKUP(VALUE($F610&amp;","&amp;W621),INTEGRANTES!$D$19:$G$106,2,0),"")</f>
        <v/>
      </c>
      <c r="Y621" s="606" t="str">
        <f>IF(X621&lt;&gt;"",VLOOKUP(VALUE($F610&amp;","&amp;$W621),INTEGRANTES!$D$19:$G$106,3,0),"")</f>
        <v/>
      </c>
      <c r="Z621" s="607" t="str">
        <f>IF(X621="","",SUMIF($J616:$J621,$X621,$N616:$N621))</f>
        <v/>
      </c>
      <c r="AA621" s="608" t="str">
        <f>IF($Y621="","",IF(AND($Y621&gt;=20%,$Z621&gt;=$Z622),"CUMPLE","NO CUMPLE"))</f>
        <v/>
      </c>
      <c r="AB621" s="680"/>
      <c r="AC621" s="593" t="str">
        <f t="shared" si="339"/>
        <v/>
      </c>
      <c r="AD621" s="680"/>
      <c r="AE621" s="593" t="str">
        <f t="shared" si="340"/>
        <v/>
      </c>
    </row>
    <row r="622" spans="1:31" ht="5.0999999999999996" customHeight="1" thickBot="1">
      <c r="B622" s="354"/>
      <c r="C622" s="359"/>
      <c r="D622" s="355"/>
      <c r="E622" s="368"/>
      <c r="F622" s="355"/>
      <c r="G622" s="355"/>
      <c r="H622" s="355"/>
      <c r="I622" s="356"/>
      <c r="J622" s="357"/>
      <c r="K622" s="358"/>
      <c r="L622" s="355"/>
      <c r="M622" s="356"/>
      <c r="N622" s="360"/>
      <c r="O622" s="352" t="str">
        <f>IF(L622="","",IF(AND(L622&gt;=YEAR($M$15), J622="SI",L622&lt;=S616),"CUMPLE","NO CUMPLE"))</f>
        <v/>
      </c>
      <c r="Q622" s="352" t="str">
        <f>IF(N622="","",IF(AND(N622&gt;=YEAR($M$15), L622="SI",N622&lt;=V616),"CUMPLE","NO CUMPLE"))</f>
        <v/>
      </c>
      <c r="R622" s="352" t="str">
        <f>IF(P622="","",IF(AND(P622&gt;=YEAR($M$15), M622="SI",P622&lt;=W616),"CUMPLE","NO CUMPLE"))</f>
        <v/>
      </c>
      <c r="S622" s="352" t="str">
        <f>IF(P622="","",IF(AND(P622&gt;=YEAR($M$15), N622="SI",P622&lt;=X616),"CUMPLE","NO CUMPLE"))</f>
        <v/>
      </c>
      <c r="T622" s="564"/>
      <c r="U622" s="586"/>
      <c r="W622" s="600"/>
      <c r="X622" s="600"/>
      <c r="Y622" s="600"/>
      <c r="Z622" s="605">
        <f>MAX(Z616:Z621)</f>
        <v>0</v>
      </c>
      <c r="AA622" s="600"/>
      <c r="AB622" s="602"/>
      <c r="AC622" s="602"/>
      <c r="AD622" s="602"/>
      <c r="AE622" s="602"/>
    </row>
    <row r="623" spans="1:31" s="52" customFormat="1" ht="17.100000000000001" customHeight="1" thickTop="1" thickBot="1">
      <c r="A623" s="361">
        <f>F610</f>
        <v>34</v>
      </c>
      <c r="B623" s="364"/>
      <c r="C623" s="379"/>
      <c r="D623" s="664"/>
      <c r="E623" s="752"/>
      <c r="F623" s="752"/>
      <c r="G623" s="752"/>
      <c r="H623" s="752"/>
      <c r="I623" s="752"/>
      <c r="J623" s="752"/>
      <c r="K623" s="752"/>
      <c r="L623" s="753"/>
      <c r="M623" s="754"/>
      <c r="N623" s="365">
        <f>SUM(N616:N622)</f>
        <v>538.298</v>
      </c>
      <c r="O623" s="373"/>
      <c r="Q623" s="373" t="str">
        <f>IF(COUNTIF(Q616:Q619,"CUMPLE")&gt;0,"CUMPLE","NO CUMPLE")</f>
        <v>NO CUMPLE</v>
      </c>
      <c r="R623" s="374" t="str">
        <f>IF(COUNTIF(R616:R619,"COLOMBIA")&gt;0,"CUMPLE","NO CUMPLE")</f>
        <v>CUMPLE</v>
      </c>
      <c r="S623" s="373" t="str">
        <f>IF(COUNTIF(S616:S619,"CUMPLE")&gt;0,"CUMPLE","NO CUMPLE")</f>
        <v>CUMPLE</v>
      </c>
      <c r="T623" s="566"/>
      <c r="U623" s="587"/>
      <c r="AA623" s="589" t="str">
        <f>IF(T613=1,"CUMPLE",IF(COUNTIF(AA616:AA621,"CUMPLE")&gt;0,"CUMPLE","NO CUMPLE"))</f>
        <v>CUMPLE</v>
      </c>
      <c r="AB623" s="735" t="str">
        <f>IF(COUNTIF(AC616:AC621,"CUMPLE")&gt;0,"CUMPLE","NO CUMPLE")</f>
        <v>NO CUMPLE</v>
      </c>
      <c r="AC623" s="736"/>
      <c r="AD623" s="735" t="str">
        <f>IF(COUNTIF(AE616:AE621,"CUMPLE")&gt;0,"CUMPLE","NO CUMPLE")</f>
        <v>NO CUMPLE</v>
      </c>
      <c r="AE623" s="736"/>
    </row>
    <row r="624" spans="1:31" ht="16.5" thickTop="1">
      <c r="B624" s="557"/>
      <c r="C624" s="558"/>
      <c r="D624" s="558"/>
      <c r="E624" s="558"/>
      <c r="F624" s="558"/>
      <c r="G624" s="558"/>
      <c r="H624" s="558"/>
      <c r="I624" s="558"/>
      <c r="J624" s="558"/>
      <c r="K624" s="558"/>
      <c r="L624" s="80"/>
      <c r="M624" s="362" t="s">
        <v>516</v>
      </c>
      <c r="N624" s="369">
        <f ca="1">VFrequerido!Y48</f>
        <v>537.11</v>
      </c>
      <c r="O624" s="568"/>
      <c r="Q624" s="570"/>
      <c r="R624" s="571"/>
      <c r="S624" s="572"/>
      <c r="T624" s="573"/>
      <c r="U624" s="80"/>
    </row>
    <row r="625" spans="1:31" ht="15.75" thickBot="1">
      <c r="A625" s="490" t="str">
        <f>"E"&amp;F610</f>
        <v>E34</v>
      </c>
      <c r="B625" s="559"/>
      <c r="C625" s="560"/>
      <c r="D625" s="560"/>
      <c r="E625" s="560"/>
      <c r="F625" s="560"/>
      <c r="G625" s="560"/>
      <c r="H625" s="560"/>
      <c r="I625" s="560"/>
      <c r="J625" s="560"/>
      <c r="K625" s="560"/>
      <c r="L625" s="363"/>
      <c r="M625" s="755" t="str">
        <f ca="1">IF(OR(N623=0,N623&lt;N624),"NO CUMPLE","CUMPLE")</f>
        <v>CUMPLE</v>
      </c>
      <c r="N625" s="756"/>
      <c r="O625" s="569"/>
      <c r="Q625" s="492"/>
      <c r="R625" s="493"/>
      <c r="S625" s="363"/>
      <c r="T625" s="574"/>
      <c r="U625" s="80"/>
    </row>
    <row r="626" spans="1:31" ht="13.5" thickTop="1"/>
    <row r="628" spans="1:31">
      <c r="F628" s="757">
        <f>F610+1</f>
        <v>35</v>
      </c>
      <c r="G628" s="758" t="str">
        <f>VLOOKUP(F628,PROPO,2,FALSE)</f>
        <v>CONSTRUCCIONES INTERVENTORIAS ISAZA INGENIERIA SAS</v>
      </c>
      <c r="H628" s="758"/>
      <c r="I628" s="758"/>
      <c r="J628" s="758"/>
      <c r="K628" s="52"/>
      <c r="O628" s="52"/>
      <c r="Q628" s="52"/>
      <c r="R628" s="52"/>
    </row>
    <row r="629" spans="1:31">
      <c r="B629" s="328"/>
      <c r="C629" s="328"/>
      <c r="D629" s="328"/>
      <c r="E629" s="328"/>
      <c r="F629" s="757"/>
      <c r="G629" s="758"/>
      <c r="H629" s="758"/>
      <c r="I629" s="758"/>
      <c r="J629" s="758"/>
      <c r="K629" s="52"/>
      <c r="N629" s="567"/>
      <c r="O629" s="52"/>
      <c r="Q629" s="52"/>
      <c r="R629" s="52"/>
    </row>
    <row r="630" spans="1:31" ht="13.5" thickBot="1">
      <c r="B630" s="329"/>
      <c r="C630" s="329"/>
      <c r="D630" s="56"/>
      <c r="E630" s="56"/>
      <c r="F630" s="56"/>
      <c r="G630" s="56"/>
      <c r="H630" s="56"/>
      <c r="I630" s="56"/>
      <c r="J630" s="56"/>
      <c r="K630" s="330"/>
      <c r="L630" s="331"/>
      <c r="M630" s="331"/>
      <c r="N630" s="330"/>
      <c r="O630" s="330"/>
      <c r="Q630" s="330"/>
      <c r="R630" s="330"/>
    </row>
    <row r="631" spans="1:31" ht="50.1" customHeight="1" thickTop="1" thickBot="1">
      <c r="B631" s="332" t="s">
        <v>16</v>
      </c>
      <c r="C631" s="744" t="s">
        <v>121</v>
      </c>
      <c r="D631" s="333" t="s">
        <v>17</v>
      </c>
      <c r="E631" s="746" t="s">
        <v>18</v>
      </c>
      <c r="F631" s="747"/>
      <c r="G631" s="748" t="s">
        <v>117</v>
      </c>
      <c r="H631" s="749"/>
      <c r="I631" s="744" t="s">
        <v>39</v>
      </c>
      <c r="J631" s="744" t="s">
        <v>0</v>
      </c>
      <c r="K631" s="665" t="s">
        <v>19</v>
      </c>
      <c r="L631" s="750" t="s">
        <v>20</v>
      </c>
      <c r="M631" s="751"/>
      <c r="N631" s="68" t="s">
        <v>52</v>
      </c>
      <c r="O631" s="501" t="s">
        <v>151</v>
      </c>
      <c r="Q631" s="665" t="s">
        <v>127</v>
      </c>
      <c r="R631" s="665" t="s">
        <v>138</v>
      </c>
      <c r="S631" s="665" t="s">
        <v>163</v>
      </c>
      <c r="T631" s="565">
        <f>IF(VLOOKUP(F628,PROPONENTES!$C$19:$E$54,3,0)="","",VLOOKUP(F628,PROPONENTES!$C$19:$E$54,3,0))</f>
        <v>1</v>
      </c>
      <c r="U631" s="582"/>
      <c r="W631" s="737" t="s">
        <v>167</v>
      </c>
      <c r="X631" s="738"/>
      <c r="Y631" s="738"/>
      <c r="Z631" s="738"/>
      <c r="AA631" s="738"/>
      <c r="AB631" s="738"/>
      <c r="AC631" s="738"/>
      <c r="AD631" s="738"/>
      <c r="AE631" s="739"/>
    </row>
    <row r="632" spans="1:31" ht="50.1" customHeight="1" thickTop="1" thickBot="1">
      <c r="B632" s="334" t="s">
        <v>21</v>
      </c>
      <c r="C632" s="745"/>
      <c r="D632" s="335" t="s">
        <v>22</v>
      </c>
      <c r="E632" s="366" t="s">
        <v>23</v>
      </c>
      <c r="F632" s="336" t="s">
        <v>24</v>
      </c>
      <c r="G632" s="337" t="s">
        <v>118</v>
      </c>
      <c r="H632" s="338" t="s">
        <v>119</v>
      </c>
      <c r="I632" s="745"/>
      <c r="J632" s="745"/>
      <c r="K632" s="663" t="s">
        <v>120</v>
      </c>
      <c r="L632" s="339" t="s">
        <v>150</v>
      </c>
      <c r="M632" s="340" t="s">
        <v>14</v>
      </c>
      <c r="N632" s="341" t="s">
        <v>14</v>
      </c>
      <c r="O632" s="502" t="s">
        <v>152</v>
      </c>
      <c r="Q632" s="663" t="s">
        <v>128</v>
      </c>
      <c r="R632" s="663" t="s">
        <v>139</v>
      </c>
      <c r="S632" s="663" t="s">
        <v>164</v>
      </c>
      <c r="T632" s="575" t="s">
        <v>83</v>
      </c>
      <c r="U632" s="583"/>
      <c r="W632" s="740" t="s">
        <v>166</v>
      </c>
      <c r="X632" s="743"/>
      <c r="Y632" s="663" t="s">
        <v>168</v>
      </c>
      <c r="Z632" s="663" t="s">
        <v>169</v>
      </c>
      <c r="AA632" s="663" t="s">
        <v>174</v>
      </c>
      <c r="AB632" s="740" t="s">
        <v>524</v>
      </c>
      <c r="AC632" s="741"/>
      <c r="AD632" s="742" t="s">
        <v>522</v>
      </c>
      <c r="AE632" s="741"/>
    </row>
    <row r="633" spans="1:31" ht="14.25" hidden="1" customHeight="1">
      <c r="B633" s="342">
        <v>0</v>
      </c>
      <c r="C633" s="347"/>
      <c r="D633" s="343"/>
      <c r="E633" s="367"/>
      <c r="F633" s="344"/>
      <c r="G633" s="345"/>
      <c r="H633" s="346"/>
      <c r="I633" s="347"/>
      <c r="J633" s="347"/>
      <c r="K633" s="347"/>
      <c r="L633" s="348"/>
      <c r="M633" s="349"/>
      <c r="N633" s="350"/>
      <c r="O633" s="347"/>
      <c r="Q633" s="347"/>
      <c r="R633" s="347"/>
      <c r="S633" s="347"/>
      <c r="T633" s="563"/>
      <c r="U633" s="584"/>
      <c r="W633" s="502" t="s">
        <v>166</v>
      </c>
      <c r="X633" s="502"/>
      <c r="Y633" s="502" t="s">
        <v>168</v>
      </c>
      <c r="Z633" s="502" t="s">
        <v>169</v>
      </c>
      <c r="AA633" s="502" t="s">
        <v>170</v>
      </c>
      <c r="AB633" s="661" t="s">
        <v>170</v>
      </c>
      <c r="AC633" s="661" t="s">
        <v>170</v>
      </c>
      <c r="AD633" s="661" t="s">
        <v>170</v>
      </c>
      <c r="AE633" s="661" t="s">
        <v>170</v>
      </c>
    </row>
    <row r="634" spans="1:31" s="353" customFormat="1" ht="22.5" customHeight="1" thickTop="1">
      <c r="A634" s="351"/>
      <c r="B634" s="342">
        <f>IF(D634="","",B633+1)</f>
        <v>1</v>
      </c>
      <c r="C634" s="609">
        <v>44</v>
      </c>
      <c r="D634" s="610" t="s">
        <v>384</v>
      </c>
      <c r="E634" s="611" t="s">
        <v>385</v>
      </c>
      <c r="F634" s="612" t="s">
        <v>386</v>
      </c>
      <c r="G634" s="613" t="s">
        <v>172</v>
      </c>
      <c r="H634" s="614">
        <v>0.5</v>
      </c>
      <c r="I634" s="615" t="s">
        <v>173</v>
      </c>
      <c r="J634" s="616" t="s">
        <v>209</v>
      </c>
      <c r="K634" s="617">
        <v>42825</v>
      </c>
      <c r="L634" s="618">
        <v>731.5</v>
      </c>
      <c r="M634" s="494">
        <f>IF(OR(K634="",L634=""),"",IF(I634="SI",H634*L634,""))</f>
        <v>365.75</v>
      </c>
      <c r="N634" s="503">
        <f>IF(OR(I634="",M634=""),"",IF(I634="NO",0,IF(I634="SI",ROUND(M634,3),0)))</f>
        <v>365.75</v>
      </c>
      <c r="O634" s="636"/>
      <c r="Q634" s="352" t="str">
        <f t="shared" ref="Q634:Q639" si="346">IF(K634="","",IF(AND(YEAR(K634)&gt;=YEAR($M$15), I634="SI",K634&lt;=$N$15),"CUMPLE","NO CUMPLE"))</f>
        <v>CUMPLE</v>
      </c>
      <c r="R634" s="636" t="s">
        <v>140</v>
      </c>
      <c r="S634" s="352" t="str">
        <f>IF(T634="","",IF(T634&gt;=20%,"CUMPLE","NO CUMPLE"))</f>
        <v>CUMPLE</v>
      </c>
      <c r="T634" s="656">
        <f t="shared" ref="T634:T639" si="347">IF(R634="","",VLOOKUP(J634,INTEGRAN,2,FALSE))</f>
        <v>1</v>
      </c>
      <c r="U634" s="585"/>
      <c r="W634" s="594">
        <v>1</v>
      </c>
      <c r="X634" s="595" t="str">
        <f>IF(AND(W634&lt;=$T631,$T631&gt;1,$T631&lt;&gt;""),VLOOKUP(VALUE($F628&amp;","&amp;W634),INTEGRANTES!$D$19:$G$106,2,0),"")</f>
        <v/>
      </c>
      <c r="Y634" s="596" t="str">
        <f>IF(X634&lt;&gt;"",VLOOKUP(VALUE($F628&amp;","&amp;$W634),INTEGRANTES!$D$19:$G$106,3,0),"")</f>
        <v/>
      </c>
      <c r="Z634" s="597" t="str">
        <f>IF(X634="","",SUMIF($J634:$J639,$X634,$N634:$N639))</f>
        <v/>
      </c>
      <c r="AA634" s="604" t="str">
        <f>IF($Y634="","",IF(AND($Y634&gt;=20%,$Z634&gt;=$Z640),"CUMPLE","NO CUMPLE"))</f>
        <v/>
      </c>
      <c r="AB634" s="679" t="s">
        <v>173</v>
      </c>
      <c r="AC634" s="592" t="str">
        <f t="shared" ref="AC634:AC639" si="348">IF(X634="","",IF(AND(Y634&gt;=40%,AB634="SI"),"CUMPLE","NO CUMPLE"))</f>
        <v/>
      </c>
      <c r="AD634" s="679" t="s">
        <v>173</v>
      </c>
      <c r="AE634" s="593" t="str">
        <f t="shared" ref="AE634:AE639" si="349">IF(X634="","",IF(AD634="SI","CUMPLE","NO CUMPLE"))</f>
        <v/>
      </c>
    </row>
    <row r="635" spans="1:31" s="353" customFormat="1" ht="22.5" customHeight="1">
      <c r="A635" s="351"/>
      <c r="B635" s="342">
        <f>IF(D635="","",B634+1)</f>
        <v>2</v>
      </c>
      <c r="C635" s="619">
        <v>51</v>
      </c>
      <c r="D635" s="620" t="s">
        <v>217</v>
      </c>
      <c r="E635" s="621" t="s">
        <v>387</v>
      </c>
      <c r="F635" s="622" t="s">
        <v>388</v>
      </c>
      <c r="G635" s="623" t="s">
        <v>226</v>
      </c>
      <c r="H635" s="624">
        <v>1</v>
      </c>
      <c r="I635" s="625" t="s">
        <v>404</v>
      </c>
      <c r="J635" s="629" t="s">
        <v>209</v>
      </c>
      <c r="K635" s="627">
        <v>37255</v>
      </c>
      <c r="L635" s="618">
        <v>172.32</v>
      </c>
      <c r="M635" s="556" t="str">
        <f>IF(OR(K635="",L635=""),"",IF(I635="SI",H635*L635,""))</f>
        <v/>
      </c>
      <c r="N635" s="504" t="str">
        <f>IF(OR(I635="",M635=""),"",IF(I635="SI",ROUND(M635,3),0))</f>
        <v/>
      </c>
      <c r="O635" s="636"/>
      <c r="Q635" s="352" t="str">
        <f t="shared" si="346"/>
        <v>NO CUMPLE</v>
      </c>
      <c r="R635" s="636" t="s">
        <v>140</v>
      </c>
      <c r="S635" s="352" t="str">
        <f t="shared" ref="S635:S639" si="350">IF(T635="","",IF(T635&gt;=20%,"CUMPLE","NO CUMPLE"))</f>
        <v>CUMPLE</v>
      </c>
      <c r="T635" s="656">
        <f t="shared" si="347"/>
        <v>1</v>
      </c>
      <c r="U635" s="586"/>
      <c r="W635" s="594">
        <v>2</v>
      </c>
      <c r="X635" s="595" t="str">
        <f>IF(AND(W635&lt;=$T631,$T631&gt;1,$T631&lt;&gt;""),VLOOKUP(VALUE($F628&amp;","&amp;W635),INTEGRANTES!$D$19:$G$106,2,0),"")</f>
        <v/>
      </c>
      <c r="Y635" s="596" t="str">
        <f>IF(X635&lt;&gt;"",VLOOKUP(VALUE($F628&amp;","&amp;$W635),INTEGRANTES!$D$19:$G$106,3,0),"")</f>
        <v/>
      </c>
      <c r="Z635" s="597" t="str">
        <f>IF(X635="","",SUMIF($J634:$J639,$X635,$N634:$N639))</f>
        <v/>
      </c>
      <c r="AA635" s="604" t="str">
        <f>IF($Y635="","",IF(AND($Y635&gt;=20%,$Z635&gt;=$Z640),"CUMPLE","NO CUMPLE"))</f>
        <v/>
      </c>
      <c r="AB635" s="680"/>
      <c r="AC635" s="593" t="str">
        <f t="shared" si="348"/>
        <v/>
      </c>
      <c r="AD635" s="680"/>
      <c r="AE635" s="593" t="str">
        <f t="shared" si="349"/>
        <v/>
      </c>
    </row>
    <row r="636" spans="1:31" s="353" customFormat="1" ht="22.5" customHeight="1">
      <c r="A636" s="351"/>
      <c r="B636" s="342">
        <f t="shared" ref="B636:B639" si="351">IF(D636="","",B635+1)</f>
        <v>3</v>
      </c>
      <c r="C636" s="619">
        <v>23</v>
      </c>
      <c r="D636" s="620" t="s">
        <v>389</v>
      </c>
      <c r="E636" s="628" t="s">
        <v>390</v>
      </c>
      <c r="F636" s="622" t="s">
        <v>391</v>
      </c>
      <c r="G636" s="623" t="s">
        <v>226</v>
      </c>
      <c r="H636" s="624">
        <v>1</v>
      </c>
      <c r="I636" s="625" t="s">
        <v>173</v>
      </c>
      <c r="J636" s="629" t="s">
        <v>209</v>
      </c>
      <c r="K636" s="627">
        <v>41901</v>
      </c>
      <c r="L636" s="618">
        <v>200.84</v>
      </c>
      <c r="M636" s="556">
        <f t="shared" ref="M636:M639" si="352">IF(OR(K636="",L636=""),"",IF(I636="SI",H636*L636,""))</f>
        <v>200.84</v>
      </c>
      <c r="N636" s="504">
        <f>IF(OR(I636="",M636=""),"",IF(I636="SI",ROUND(M636,3),0))</f>
        <v>200.84</v>
      </c>
      <c r="O636" s="636"/>
      <c r="Q636" s="352" t="str">
        <f t="shared" si="346"/>
        <v>CUMPLE</v>
      </c>
      <c r="R636" s="636" t="s">
        <v>140</v>
      </c>
      <c r="S636" s="352" t="str">
        <f t="shared" si="350"/>
        <v>CUMPLE</v>
      </c>
      <c r="T636" s="656">
        <f t="shared" si="347"/>
        <v>1</v>
      </c>
      <c r="U636" s="586"/>
      <c r="W636" s="594">
        <v>3</v>
      </c>
      <c r="X636" s="595" t="str">
        <f>IF(AND(W636&lt;=$T631,$T631&gt;1,$T631&lt;&gt;""),VLOOKUP(VALUE($F628&amp;","&amp;W636),INTEGRANTES!$D$19:$G$106,2,0),"")</f>
        <v/>
      </c>
      <c r="Y636" s="596" t="str">
        <f>IF(X636&lt;&gt;"",VLOOKUP(VALUE($F628&amp;","&amp;$W636),INTEGRANTES!$D$19:$G$106,3,0),"")</f>
        <v/>
      </c>
      <c r="Z636" s="597" t="str">
        <f>IF(X636="","",SUMIF($J634:$J639,$X636,$N634:$N639))</f>
        <v/>
      </c>
      <c r="AA636" s="604" t="str">
        <f>IF($Y636="","",IF(AND($Y636&gt;=20%,$Z636&gt;=$Z640),"CUMPLE","NO CUMPLE"))</f>
        <v/>
      </c>
      <c r="AB636" s="680"/>
      <c r="AC636" s="593" t="str">
        <f t="shared" si="348"/>
        <v/>
      </c>
      <c r="AD636" s="680"/>
      <c r="AE636" s="593" t="str">
        <f t="shared" si="349"/>
        <v/>
      </c>
    </row>
    <row r="637" spans="1:31" s="353" customFormat="1" ht="22.5" customHeight="1">
      <c r="A637" s="351"/>
      <c r="B637" s="342" t="str">
        <f t="shared" si="351"/>
        <v/>
      </c>
      <c r="C637" s="619"/>
      <c r="D637" s="620"/>
      <c r="E637" s="628"/>
      <c r="F637" s="622"/>
      <c r="G637" s="623"/>
      <c r="H637" s="624"/>
      <c r="I637" s="625"/>
      <c r="J637" s="629"/>
      <c r="K637" s="627"/>
      <c r="L637" s="618"/>
      <c r="M637" s="555" t="str">
        <f t="shared" si="352"/>
        <v/>
      </c>
      <c r="N637" s="504" t="str">
        <f>IF(OR(I637="",M637=""),"",IF(I637="SI",ROUND(M637,3),0))</f>
        <v/>
      </c>
      <c r="O637" s="636"/>
      <c r="Q637" s="352" t="str">
        <f t="shared" si="346"/>
        <v/>
      </c>
      <c r="R637" s="636"/>
      <c r="S637" s="352" t="str">
        <f t="shared" si="350"/>
        <v/>
      </c>
      <c r="T637" s="656" t="str">
        <f t="shared" si="347"/>
        <v/>
      </c>
      <c r="U637" s="586"/>
      <c r="W637" s="594">
        <v>4</v>
      </c>
      <c r="X637" s="595" t="str">
        <f>IF(AND(W637&lt;=$T631,$T631&gt;1,$T631&lt;&gt;""),VLOOKUP(VALUE($F628&amp;","&amp;W637),INTEGRANTES!$D$19:$G$106,2,0),"")</f>
        <v/>
      </c>
      <c r="Y637" s="596" t="str">
        <f>IF(X637&lt;&gt;"",VLOOKUP(VALUE($F628&amp;","&amp;$W637),INTEGRANTES!$D$19:$G$106,3,0),"")</f>
        <v/>
      </c>
      <c r="Z637" s="597" t="str">
        <f>IF(X637="","",SUMIF($J634:$J639,$X637,$N634:$N639))</f>
        <v/>
      </c>
      <c r="AA637" s="604" t="str">
        <f>IF($Y637="","",IF(AND($Y637&gt;=20%,$Z637&gt;=$Z640),"CUMPLE","NO CUMPLE"))</f>
        <v/>
      </c>
      <c r="AB637" s="680"/>
      <c r="AC637" s="593" t="str">
        <f t="shared" si="348"/>
        <v/>
      </c>
      <c r="AD637" s="680"/>
      <c r="AE637" s="593" t="str">
        <f t="shared" si="349"/>
        <v/>
      </c>
    </row>
    <row r="638" spans="1:31" s="353" customFormat="1" ht="22.5" customHeight="1">
      <c r="A638" s="351"/>
      <c r="B638" s="342" t="str">
        <f t="shared" si="351"/>
        <v/>
      </c>
      <c r="C638" s="619"/>
      <c r="D638" s="620"/>
      <c r="E638" s="628"/>
      <c r="F638" s="622"/>
      <c r="G638" s="623"/>
      <c r="H638" s="624"/>
      <c r="I638" s="625"/>
      <c r="J638" s="629"/>
      <c r="K638" s="627"/>
      <c r="L638" s="618"/>
      <c r="M638" s="556" t="str">
        <f t="shared" si="352"/>
        <v/>
      </c>
      <c r="N638" s="504" t="str">
        <f>IF(OR(I638="",M638=""),"",IF(I638="SI",ROUND(M638,3),0))</f>
        <v/>
      </c>
      <c r="O638" s="636"/>
      <c r="Q638" s="352" t="str">
        <f t="shared" si="346"/>
        <v/>
      </c>
      <c r="R638" s="636"/>
      <c r="S638" s="352" t="str">
        <f t="shared" si="350"/>
        <v/>
      </c>
      <c r="T638" s="656" t="str">
        <f t="shared" si="347"/>
        <v/>
      </c>
      <c r="U638" s="586"/>
      <c r="W638" s="594">
        <v>5</v>
      </c>
      <c r="X638" s="595" t="str">
        <f>IF(AND(W638&lt;=$T631,$T631&gt;1,$T631&lt;&gt;""),VLOOKUP(VALUE($F628&amp;","&amp;W638),INTEGRANTES!$D$19:$G$106,2,0),"")</f>
        <v/>
      </c>
      <c r="Y638" s="596" t="str">
        <f>IF(X638&lt;&gt;"",VLOOKUP(VALUE($F628&amp;","&amp;$W638),INTEGRANTES!$D$19:$G$106,3,0),"")</f>
        <v/>
      </c>
      <c r="Z638" s="597" t="str">
        <f>IF(X638="","",SUMIF($J634:$J639,$X638,$N634:$N639))</f>
        <v/>
      </c>
      <c r="AA638" s="604" t="str">
        <f>IF($Y638="","",IF(AND($Y638&gt;=20%,$Z638&gt;=$Z640),"CUMPLE","NO CUMPLE"))</f>
        <v/>
      </c>
      <c r="AB638" s="680"/>
      <c r="AC638" s="593" t="str">
        <f t="shared" si="348"/>
        <v/>
      </c>
      <c r="AD638" s="680"/>
      <c r="AE638" s="593" t="str">
        <f t="shared" si="349"/>
        <v/>
      </c>
    </row>
    <row r="639" spans="1:31" s="353" customFormat="1" ht="22.5" customHeight="1">
      <c r="A639" s="351"/>
      <c r="B639" s="342" t="str">
        <f t="shared" si="351"/>
        <v/>
      </c>
      <c r="C639" s="619"/>
      <c r="D639" s="620"/>
      <c r="E639" s="628"/>
      <c r="F639" s="622"/>
      <c r="G639" s="623"/>
      <c r="H639" s="624"/>
      <c r="I639" s="625"/>
      <c r="J639" s="629"/>
      <c r="K639" s="627"/>
      <c r="L639" s="618"/>
      <c r="M639" s="555" t="str">
        <f t="shared" si="352"/>
        <v/>
      </c>
      <c r="N639" s="504" t="str">
        <f>IF(OR(I639="",M639=""),"",IF(I639="SI",ROUND(M639,3),0))</f>
        <v/>
      </c>
      <c r="O639" s="636"/>
      <c r="Q639" s="352" t="str">
        <f t="shared" si="346"/>
        <v/>
      </c>
      <c r="R639" s="636"/>
      <c r="S639" s="352" t="str">
        <f t="shared" si="350"/>
        <v/>
      </c>
      <c r="T639" s="656" t="str">
        <f t="shared" si="347"/>
        <v/>
      </c>
      <c r="U639" s="586"/>
      <c r="W639" s="599">
        <v>6</v>
      </c>
      <c r="X639" s="595" t="str">
        <f>IF(AND(W639&lt;=$T631,$T631&gt;1,$T631&lt;&gt;""),VLOOKUP(VALUE($F628&amp;","&amp;W639),INTEGRANTES!$D$19:$G$106,2,0),"")</f>
        <v/>
      </c>
      <c r="Y639" s="606" t="str">
        <f>IF(X639&lt;&gt;"",VLOOKUP(VALUE($F628&amp;","&amp;$W639),INTEGRANTES!$D$19:$G$106,3,0),"")</f>
        <v/>
      </c>
      <c r="Z639" s="607" t="str">
        <f>IF(X639="","",SUMIF($J634:$J639,$X639,$N634:$N639))</f>
        <v/>
      </c>
      <c r="AA639" s="608" t="str">
        <f>IF($Y639="","",IF(AND($Y639&gt;=20%,$Z639&gt;=$Z640),"CUMPLE","NO CUMPLE"))</f>
        <v/>
      </c>
      <c r="AB639" s="680"/>
      <c r="AC639" s="593" t="str">
        <f t="shared" si="348"/>
        <v/>
      </c>
      <c r="AD639" s="680"/>
      <c r="AE639" s="593" t="str">
        <f t="shared" si="349"/>
        <v/>
      </c>
    </row>
    <row r="640" spans="1:31" ht="5.0999999999999996" customHeight="1" thickBot="1">
      <c r="B640" s="354"/>
      <c r="C640" s="359"/>
      <c r="D640" s="355"/>
      <c r="E640" s="368"/>
      <c r="F640" s="355"/>
      <c r="G640" s="355"/>
      <c r="H640" s="355"/>
      <c r="I640" s="356"/>
      <c r="J640" s="357"/>
      <c r="K640" s="358"/>
      <c r="L640" s="355"/>
      <c r="M640" s="356"/>
      <c r="N640" s="360"/>
      <c r="O640" s="352" t="str">
        <f>IF(L640="","",IF(AND(L640&gt;=YEAR($M$15), J640="SI",L640&lt;=S634),"CUMPLE","NO CUMPLE"))</f>
        <v/>
      </c>
      <c r="Q640" s="352" t="str">
        <f>IF(N640="","",IF(AND(N640&gt;=YEAR($M$15), L640="SI",N640&lt;=V634),"CUMPLE","NO CUMPLE"))</f>
        <v/>
      </c>
      <c r="R640" s="352" t="str">
        <f>IF(P640="","",IF(AND(P640&gt;=YEAR($M$15), M640="SI",P640&lt;=W634),"CUMPLE","NO CUMPLE"))</f>
        <v/>
      </c>
      <c r="S640" s="352" t="str">
        <f>IF(P640="","",IF(AND(P640&gt;=YEAR($M$15), N640="SI",P640&lt;=X634),"CUMPLE","NO CUMPLE"))</f>
        <v/>
      </c>
      <c r="T640" s="564"/>
      <c r="U640" s="586"/>
      <c r="W640" s="600"/>
      <c r="X640" s="600"/>
      <c r="Y640" s="600"/>
      <c r="Z640" s="605">
        <f>MAX(Z634:Z639)</f>
        <v>0</v>
      </c>
      <c r="AA640" s="600"/>
      <c r="AB640" s="602"/>
      <c r="AC640" s="602"/>
      <c r="AD640" s="602"/>
      <c r="AE640" s="602"/>
    </row>
    <row r="641" spans="1:31" s="52" customFormat="1" ht="17.100000000000001" customHeight="1" thickTop="1" thickBot="1">
      <c r="A641" s="361">
        <f>F628</f>
        <v>35</v>
      </c>
      <c r="B641" s="364"/>
      <c r="C641" s="379"/>
      <c r="D641" s="664"/>
      <c r="E641" s="752"/>
      <c r="F641" s="752"/>
      <c r="G641" s="752"/>
      <c r="H641" s="752"/>
      <c r="I641" s="752"/>
      <c r="J641" s="752"/>
      <c r="K641" s="752"/>
      <c r="L641" s="753"/>
      <c r="M641" s="754"/>
      <c r="N641" s="365">
        <f>SUM(N634:N640)</f>
        <v>566.59</v>
      </c>
      <c r="O641" s="373"/>
      <c r="Q641" s="373" t="str">
        <f>IF(COUNTIF(Q634:Q637,"CUMPLE")&gt;0,"CUMPLE","NO CUMPLE")</f>
        <v>CUMPLE</v>
      </c>
      <c r="R641" s="374" t="str">
        <f>IF(COUNTIF(R634:R637,"COLOMBIA")&gt;0,"CUMPLE","NO CUMPLE")</f>
        <v>CUMPLE</v>
      </c>
      <c r="S641" s="373" t="str">
        <f>IF(COUNTIF(S634:S637,"CUMPLE")&gt;0,"CUMPLE","NO CUMPLE")</f>
        <v>CUMPLE</v>
      </c>
      <c r="T641" s="566"/>
      <c r="U641" s="587"/>
      <c r="AA641" s="589" t="str">
        <f>IF(T631=1,"CUMPLE",IF(COUNTIF(AA634:AA639,"CUMPLE")&gt;0,"CUMPLE","NO CUMPLE"))</f>
        <v>CUMPLE</v>
      </c>
      <c r="AB641" s="735" t="str">
        <f>IF(COUNTIF(AC634:AC639,"CUMPLE")&gt;0,"CUMPLE","NO CUMPLE")</f>
        <v>NO CUMPLE</v>
      </c>
      <c r="AC641" s="736"/>
      <c r="AD641" s="735" t="str">
        <f>IF(COUNTIF(AE634:AE639,"CUMPLE")&gt;0,"CUMPLE","NO CUMPLE")</f>
        <v>NO CUMPLE</v>
      </c>
      <c r="AE641" s="736"/>
    </row>
    <row r="642" spans="1:31" ht="16.5" thickTop="1">
      <c r="B642" s="557"/>
      <c r="C642" s="558"/>
      <c r="D642" s="558"/>
      <c r="E642" s="558"/>
      <c r="F642" s="558"/>
      <c r="G642" s="558"/>
      <c r="H642" s="558"/>
      <c r="I642" s="558"/>
      <c r="J642" s="558"/>
      <c r="K642" s="558"/>
      <c r="L642" s="80"/>
      <c r="M642" s="362" t="s">
        <v>516</v>
      </c>
      <c r="N642" s="369">
        <f ca="1">VFrequerido!Y49</f>
        <v>537.11</v>
      </c>
      <c r="O642" s="568"/>
      <c r="Q642" s="570"/>
      <c r="R642" s="571"/>
      <c r="S642" s="572"/>
      <c r="T642" s="573"/>
      <c r="U642" s="80"/>
    </row>
    <row r="643" spans="1:31" ht="15.75" thickBot="1">
      <c r="A643" s="490" t="str">
        <f>"E"&amp;F628</f>
        <v>E35</v>
      </c>
      <c r="B643" s="559"/>
      <c r="C643" s="560"/>
      <c r="D643" s="560"/>
      <c r="E643" s="560"/>
      <c r="F643" s="560"/>
      <c r="G643" s="560"/>
      <c r="H643" s="560"/>
      <c r="I643" s="560"/>
      <c r="J643" s="560"/>
      <c r="K643" s="560"/>
      <c r="L643" s="363"/>
      <c r="M643" s="755" t="str">
        <f ca="1">IF(OR(N641=0,N641&lt;N642),"NO CUMPLE","CUMPLE")</f>
        <v>CUMPLE</v>
      </c>
      <c r="N643" s="756"/>
      <c r="O643" s="569"/>
      <c r="Q643" s="492"/>
      <c r="R643" s="493"/>
      <c r="S643" s="363"/>
      <c r="T643" s="574"/>
      <c r="U643" s="80"/>
    </row>
    <row r="644" spans="1:31" ht="13.5" thickTop="1"/>
    <row r="646" spans="1:31">
      <c r="F646" s="757">
        <f>F628+1</f>
        <v>36</v>
      </c>
      <c r="G646" s="758" t="str">
        <f>VLOOKUP(F646,PROPO,2,FALSE)</f>
        <v>CONSORCIO ADMINISTRADOR HS</v>
      </c>
      <c r="H646" s="758"/>
      <c r="I646" s="758"/>
      <c r="J646" s="758"/>
      <c r="K646" s="52"/>
      <c r="O646" s="52"/>
      <c r="Q646" s="52"/>
      <c r="R646" s="52"/>
    </row>
    <row r="647" spans="1:31">
      <c r="B647" s="328"/>
      <c r="C647" s="328"/>
      <c r="D647" s="328"/>
      <c r="E647" s="328"/>
      <c r="F647" s="757"/>
      <c r="G647" s="758"/>
      <c r="H647" s="758"/>
      <c r="I647" s="758"/>
      <c r="J647" s="758"/>
      <c r="K647" s="52"/>
      <c r="N647" s="567"/>
      <c r="O647" s="52"/>
      <c r="Q647" s="52"/>
      <c r="R647" s="52"/>
    </row>
    <row r="648" spans="1:31" ht="13.5" thickBot="1">
      <c r="B648" s="329"/>
      <c r="C648" s="329"/>
      <c r="D648" s="56"/>
      <c r="E648" s="56"/>
      <c r="F648" s="56"/>
      <c r="G648" s="56"/>
      <c r="H648" s="56"/>
      <c r="I648" s="56"/>
      <c r="J648" s="56"/>
      <c r="K648" s="330"/>
      <c r="L648" s="331"/>
      <c r="M648" s="331"/>
      <c r="N648" s="330"/>
      <c r="O648" s="330"/>
      <c r="Q648" s="330"/>
      <c r="R648" s="330"/>
    </row>
    <row r="649" spans="1:31" ht="50.1" customHeight="1" thickTop="1" thickBot="1">
      <c r="B649" s="332" t="s">
        <v>16</v>
      </c>
      <c r="C649" s="744" t="s">
        <v>121</v>
      </c>
      <c r="D649" s="333" t="s">
        <v>17</v>
      </c>
      <c r="E649" s="746" t="s">
        <v>18</v>
      </c>
      <c r="F649" s="747"/>
      <c r="G649" s="748" t="s">
        <v>117</v>
      </c>
      <c r="H649" s="749"/>
      <c r="I649" s="744" t="s">
        <v>39</v>
      </c>
      <c r="J649" s="744" t="s">
        <v>0</v>
      </c>
      <c r="K649" s="665" t="s">
        <v>19</v>
      </c>
      <c r="L649" s="750" t="s">
        <v>20</v>
      </c>
      <c r="M649" s="751"/>
      <c r="N649" s="68" t="s">
        <v>52</v>
      </c>
      <c r="O649" s="501" t="s">
        <v>151</v>
      </c>
      <c r="Q649" s="665" t="s">
        <v>127</v>
      </c>
      <c r="R649" s="665" t="s">
        <v>138</v>
      </c>
      <c r="S649" s="665" t="s">
        <v>163</v>
      </c>
      <c r="T649" s="565">
        <f>IF(VLOOKUP(F646,PROPONENTES!$C$19:$E$54,3,0)="","",VLOOKUP(F646,PROPONENTES!$C$19:$E$54,3,0))</f>
        <v>2</v>
      </c>
      <c r="U649" s="582"/>
      <c r="W649" s="737" t="s">
        <v>167</v>
      </c>
      <c r="X649" s="738"/>
      <c r="Y649" s="738"/>
      <c r="Z649" s="738"/>
      <c r="AA649" s="738"/>
      <c r="AB649" s="738"/>
      <c r="AC649" s="738"/>
      <c r="AD649" s="738"/>
      <c r="AE649" s="739"/>
    </row>
    <row r="650" spans="1:31" ht="50.1" customHeight="1" thickTop="1" thickBot="1">
      <c r="B650" s="334" t="s">
        <v>21</v>
      </c>
      <c r="C650" s="745"/>
      <c r="D650" s="335" t="s">
        <v>22</v>
      </c>
      <c r="E650" s="366" t="s">
        <v>23</v>
      </c>
      <c r="F650" s="336" t="s">
        <v>24</v>
      </c>
      <c r="G650" s="337" t="s">
        <v>118</v>
      </c>
      <c r="H650" s="338" t="s">
        <v>119</v>
      </c>
      <c r="I650" s="745"/>
      <c r="J650" s="745"/>
      <c r="K650" s="663" t="s">
        <v>120</v>
      </c>
      <c r="L650" s="339" t="s">
        <v>150</v>
      </c>
      <c r="M650" s="340" t="s">
        <v>14</v>
      </c>
      <c r="N650" s="341" t="s">
        <v>14</v>
      </c>
      <c r="O650" s="502" t="s">
        <v>152</v>
      </c>
      <c r="Q650" s="663" t="s">
        <v>128</v>
      </c>
      <c r="R650" s="663" t="s">
        <v>139</v>
      </c>
      <c r="S650" s="663" t="s">
        <v>164</v>
      </c>
      <c r="T650" s="575" t="s">
        <v>83</v>
      </c>
      <c r="U650" s="583"/>
      <c r="W650" s="740" t="s">
        <v>166</v>
      </c>
      <c r="X650" s="743"/>
      <c r="Y650" s="663" t="s">
        <v>168</v>
      </c>
      <c r="Z650" s="663" t="s">
        <v>169</v>
      </c>
      <c r="AA650" s="663" t="s">
        <v>174</v>
      </c>
      <c r="AB650" s="740" t="s">
        <v>524</v>
      </c>
      <c r="AC650" s="741"/>
      <c r="AD650" s="742" t="s">
        <v>522</v>
      </c>
      <c r="AE650" s="741"/>
    </row>
    <row r="651" spans="1:31" ht="14.25" hidden="1" customHeight="1">
      <c r="B651" s="342">
        <v>0</v>
      </c>
      <c r="C651" s="347"/>
      <c r="D651" s="343"/>
      <c r="E651" s="367"/>
      <c r="F651" s="344"/>
      <c r="G651" s="345"/>
      <c r="H651" s="346"/>
      <c r="I651" s="347"/>
      <c r="J651" s="347"/>
      <c r="K651" s="347"/>
      <c r="L651" s="348"/>
      <c r="M651" s="349"/>
      <c r="N651" s="350"/>
      <c r="O651" s="347"/>
      <c r="Q651" s="347"/>
      <c r="R651" s="347"/>
      <c r="S651" s="347"/>
      <c r="T651" s="563"/>
      <c r="U651" s="584"/>
      <c r="W651" s="502" t="s">
        <v>166</v>
      </c>
      <c r="X651" s="502"/>
      <c r="Y651" s="502" t="s">
        <v>168</v>
      </c>
      <c r="Z651" s="502" t="s">
        <v>169</v>
      </c>
      <c r="AA651" s="502" t="s">
        <v>170</v>
      </c>
      <c r="AB651" s="661" t="s">
        <v>170</v>
      </c>
      <c r="AC651" s="661" t="s">
        <v>170</v>
      </c>
      <c r="AD651" s="661" t="s">
        <v>170</v>
      </c>
      <c r="AE651" s="661" t="s">
        <v>170</v>
      </c>
    </row>
    <row r="652" spans="1:31" s="353" customFormat="1" ht="22.5" customHeight="1" thickTop="1">
      <c r="A652" s="351"/>
      <c r="B652" s="342">
        <f>IF(D652="","",B651+1)</f>
        <v>1</v>
      </c>
      <c r="C652" s="609">
        <v>18</v>
      </c>
      <c r="D652" s="610" t="s">
        <v>337</v>
      </c>
      <c r="E652" s="611" t="s">
        <v>394</v>
      </c>
      <c r="F652" s="612" t="s">
        <v>395</v>
      </c>
      <c r="G652" s="613" t="s">
        <v>172</v>
      </c>
      <c r="H652" s="614">
        <v>0.4</v>
      </c>
      <c r="I652" s="615" t="s">
        <v>173</v>
      </c>
      <c r="J652" s="616" t="s">
        <v>402</v>
      </c>
      <c r="K652" s="617">
        <v>37849</v>
      </c>
      <c r="L652" s="618">
        <v>444.08</v>
      </c>
      <c r="M652" s="494">
        <f>IF(OR(K652="",L652=""),"",IF(I652="SI",H652*L652,""))</f>
        <v>177.63200000000001</v>
      </c>
      <c r="N652" s="503">
        <f>IF(OR(I652="",M652=""),"",IF(I652="NO",0,IF(I652="SI",ROUND(M652,3),0)))</f>
        <v>177.63200000000001</v>
      </c>
      <c r="O652" s="636"/>
      <c r="Q652" s="352" t="str">
        <f t="shared" ref="Q652:Q657" si="353">IF(K652="","",IF(AND(YEAR(K652)&gt;=YEAR($M$15), I652="SI",K652&lt;=$N$15),"CUMPLE","NO CUMPLE"))</f>
        <v>NO CUMPLE</v>
      </c>
      <c r="R652" s="636"/>
      <c r="S652" s="352" t="str">
        <f>IF(T652="","",IF(T652&gt;=20%,"CUMPLE","NO CUMPLE"))</f>
        <v/>
      </c>
      <c r="T652" s="656" t="str">
        <f t="shared" ref="T652:T657" si="354">IF(R652="","",VLOOKUP(J652,INTEGRAN,2,FALSE))</f>
        <v/>
      </c>
      <c r="U652" s="585"/>
      <c r="W652" s="594">
        <v>1</v>
      </c>
      <c r="X652" s="595" t="s">
        <v>402</v>
      </c>
      <c r="Y652" s="596">
        <f>IF(X652&lt;&gt;"",VLOOKUP(VALUE($F646&amp;","&amp;$W652),INTEGRANTES!$D$19:$G$108,3,0),"")</f>
        <v>0.6</v>
      </c>
      <c r="Z652" s="597">
        <f>IF(X652="","",SUMIF($J652:$J657,$X652,$N652:$N657))</f>
        <v>177.63200000000001</v>
      </c>
      <c r="AA652" s="604" t="str">
        <f>IF($Y652="","",IF(AND($Y652&gt;=20%,$Z652&gt;=$Z658),"CUMPLE","NO CUMPLE"))</f>
        <v>CUMPLE</v>
      </c>
      <c r="AB652" s="679"/>
      <c r="AC652" s="592" t="str">
        <f t="shared" ref="AC652:AC657" si="355">IF(X652="","",IF(AND(Y652&gt;=40%,AB652="SI"),"CUMPLE","NO CUMPLE"))</f>
        <v>NO CUMPLE</v>
      </c>
      <c r="AD652" s="679"/>
      <c r="AE652" s="593" t="str">
        <f t="shared" ref="AE652:AE657" si="356">IF(X652="","",IF(AD652="SI","CUMPLE","NO CUMPLE"))</f>
        <v>NO CUMPLE</v>
      </c>
    </row>
    <row r="653" spans="1:31" s="353" customFormat="1" ht="22.5" customHeight="1">
      <c r="A653" s="351"/>
      <c r="B653" s="342">
        <f>IF(D653="","",B652+1)</f>
        <v>2</v>
      </c>
      <c r="C653" s="619">
        <v>4</v>
      </c>
      <c r="D653" s="620" t="s">
        <v>396</v>
      </c>
      <c r="E653" s="621" t="s">
        <v>397</v>
      </c>
      <c r="F653" s="622" t="s">
        <v>398</v>
      </c>
      <c r="G653" s="623" t="s">
        <v>226</v>
      </c>
      <c r="H653" s="624">
        <v>1</v>
      </c>
      <c r="I653" s="625" t="s">
        <v>173</v>
      </c>
      <c r="J653" s="626" t="s">
        <v>393</v>
      </c>
      <c r="K653" s="627">
        <v>41524</v>
      </c>
      <c r="L653" s="618">
        <v>22.45</v>
      </c>
      <c r="M653" s="556">
        <f>IF(OR(K653="",L653=""),"",IF(I653="SI",H653*L653,""))</f>
        <v>22.45</v>
      </c>
      <c r="N653" s="504">
        <f>IF(OR(I653="",M653=""),"",IF(I653="SI",ROUND(M653,3),0))</f>
        <v>22.45</v>
      </c>
      <c r="O653" s="636"/>
      <c r="Q653" s="352" t="str">
        <f t="shared" si="353"/>
        <v>NO CUMPLE</v>
      </c>
      <c r="R653" s="636"/>
      <c r="S653" s="352" t="str">
        <f t="shared" ref="S653:S657" si="357">IF(T653="","",IF(T653&gt;=20%,"CUMPLE","NO CUMPLE"))</f>
        <v/>
      </c>
      <c r="T653" s="656" t="str">
        <f t="shared" si="354"/>
        <v/>
      </c>
      <c r="U653" s="586"/>
      <c r="W653" s="594">
        <v>2</v>
      </c>
      <c r="X653" s="595" t="s">
        <v>403</v>
      </c>
      <c r="Y653" s="596">
        <f>IF(X653&lt;&gt;"",VLOOKUP(VALUE($F646&amp;","&amp;$W653),INTEGRANTES!$D$19:$G$109,3,0),"")</f>
        <v>0.4</v>
      </c>
      <c r="Z653" s="597">
        <f>IF(X653="","",SUMIF($J652:$J657,$X653,$N652:$N657))</f>
        <v>0</v>
      </c>
      <c r="AA653" s="604" t="str">
        <f>IF($Y653="","",IF(AND($Y653&gt;=20%,$Z653&gt;=$Z658),"CUMPLE","NO CUMPLE"))</f>
        <v>NO CUMPLE</v>
      </c>
      <c r="AB653" s="680"/>
      <c r="AC653" s="593" t="str">
        <f t="shared" si="355"/>
        <v>NO CUMPLE</v>
      </c>
      <c r="AD653" s="680"/>
      <c r="AE653" s="593" t="str">
        <f t="shared" si="356"/>
        <v>NO CUMPLE</v>
      </c>
    </row>
    <row r="654" spans="1:31" s="353" customFormat="1" ht="22.5" customHeight="1">
      <c r="A654" s="351"/>
      <c r="B654" s="342">
        <f t="shared" ref="B654:B657" si="358">IF(D654="","",B653+1)</f>
        <v>3</v>
      </c>
      <c r="C654" s="619">
        <v>24</v>
      </c>
      <c r="D654" s="620" t="s">
        <v>399</v>
      </c>
      <c r="E654" s="628" t="s">
        <v>400</v>
      </c>
      <c r="F654" s="622" t="s">
        <v>401</v>
      </c>
      <c r="G654" s="623" t="s">
        <v>226</v>
      </c>
      <c r="H654" s="624">
        <v>1</v>
      </c>
      <c r="I654" s="625" t="s">
        <v>173</v>
      </c>
      <c r="J654" s="626" t="s">
        <v>393</v>
      </c>
      <c r="K654" s="627">
        <v>42207</v>
      </c>
      <c r="L654" s="618">
        <v>30.46</v>
      </c>
      <c r="M654" s="556">
        <f t="shared" ref="M654:M657" si="359">IF(OR(K654="",L654=""),"",IF(I654="SI",H654*L654,""))</f>
        <v>30.46</v>
      </c>
      <c r="N654" s="504">
        <f>IF(OR(I654="",M654=""),"",IF(I654="SI",ROUND(M654,3),0))</f>
        <v>30.46</v>
      </c>
      <c r="O654" s="636"/>
      <c r="Q654" s="352" t="str">
        <f t="shared" si="353"/>
        <v>CUMPLE</v>
      </c>
      <c r="R654" s="636" t="s">
        <v>140</v>
      </c>
      <c r="S654" s="352" t="str">
        <f t="shared" si="357"/>
        <v>CUMPLE</v>
      </c>
      <c r="T654" s="656">
        <f>IF(R654="","",VLOOKUP(J654,INTEGRAN,2,FALSE))</f>
        <v>0.4</v>
      </c>
      <c r="U654" s="586"/>
      <c r="W654" s="594">
        <v>3</v>
      </c>
      <c r="X654" s="595" t="str">
        <f>IF(AND(W654&lt;=$T649,$T649&gt;1,$T649&lt;&gt;""),VLOOKUP(VALUE($F646&amp;","&amp;W654),INTEGRANTES!$D$19:$G$106,2,0),"")</f>
        <v/>
      </c>
      <c r="Y654" s="596" t="str">
        <f>IF(X654&lt;&gt;"",VLOOKUP(VALUE($F646&amp;","&amp;$W654),INTEGRANTES!$D$19:$G$106,3,0),"")</f>
        <v/>
      </c>
      <c r="Z654" s="597" t="str">
        <f>IF(X654="","",SUMIF($J652:$J657,$X654,$N652:$N657))</f>
        <v/>
      </c>
      <c r="AA654" s="604" t="str">
        <f>IF($Y654="","",IF(AND($Y654&gt;=20%,$Z654&gt;=$Z658),"CUMPLE","NO CUMPLE"))</f>
        <v/>
      </c>
      <c r="AB654" s="680"/>
      <c r="AC654" s="593" t="str">
        <f t="shared" si="355"/>
        <v/>
      </c>
      <c r="AD654" s="680"/>
      <c r="AE654" s="593" t="str">
        <f t="shared" si="356"/>
        <v/>
      </c>
    </row>
    <row r="655" spans="1:31" s="353" customFormat="1" ht="22.5" customHeight="1">
      <c r="A655" s="351"/>
      <c r="B655" s="342" t="str">
        <f t="shared" si="358"/>
        <v/>
      </c>
      <c r="C655" s="619"/>
      <c r="D655" s="620"/>
      <c r="E655" s="628"/>
      <c r="F655" s="622"/>
      <c r="G655" s="623"/>
      <c r="H655" s="624"/>
      <c r="I655" s="625"/>
      <c r="J655" s="629"/>
      <c r="K655" s="627"/>
      <c r="L655" s="618"/>
      <c r="M655" s="555" t="str">
        <f t="shared" si="359"/>
        <v/>
      </c>
      <c r="N655" s="504" t="str">
        <f>IF(OR(I655="",M655=""),"",IF(I655="SI",ROUND(M655,3),0))</f>
        <v/>
      </c>
      <c r="O655" s="636"/>
      <c r="Q655" s="352" t="str">
        <f t="shared" si="353"/>
        <v/>
      </c>
      <c r="R655" s="636"/>
      <c r="S655" s="352" t="str">
        <f t="shared" si="357"/>
        <v/>
      </c>
      <c r="T655" s="656" t="str">
        <f t="shared" si="354"/>
        <v/>
      </c>
      <c r="U655" s="586"/>
      <c r="W655" s="594">
        <v>4</v>
      </c>
      <c r="X655" s="595" t="str">
        <f>IF(AND(W655&lt;=$T649,$T649&gt;1,$T649&lt;&gt;""),VLOOKUP(VALUE($F646&amp;","&amp;W655),INTEGRANTES!$D$19:$G$106,2,0),"")</f>
        <v/>
      </c>
      <c r="Y655" s="596" t="str">
        <f>IF(X655&lt;&gt;"",VLOOKUP(VALUE($F646&amp;","&amp;$W655),INTEGRANTES!$D$19:$G$106,3,0),"")</f>
        <v/>
      </c>
      <c r="Z655" s="597" t="str">
        <f>IF(X655="","",SUMIF($J652:$J657,$X655,$N652:$N657))</f>
        <v/>
      </c>
      <c r="AA655" s="604" t="str">
        <f>IF($Y655="","",IF(AND($Y655&gt;=20%,$Z655&gt;=$Z658),"CUMPLE","NO CUMPLE"))</f>
        <v/>
      </c>
      <c r="AB655" s="680"/>
      <c r="AC655" s="593" t="str">
        <f t="shared" si="355"/>
        <v/>
      </c>
      <c r="AD655" s="680"/>
      <c r="AE655" s="593" t="str">
        <f t="shared" si="356"/>
        <v/>
      </c>
    </row>
    <row r="656" spans="1:31" s="353" customFormat="1" ht="22.5" customHeight="1">
      <c r="A656" s="351"/>
      <c r="B656" s="342" t="str">
        <f t="shared" si="358"/>
        <v/>
      </c>
      <c r="C656" s="619"/>
      <c r="D656" s="620"/>
      <c r="E656" s="628"/>
      <c r="F656" s="622"/>
      <c r="G656" s="623"/>
      <c r="H656" s="624"/>
      <c r="I656" s="625"/>
      <c r="J656" s="629"/>
      <c r="K656" s="627"/>
      <c r="L656" s="618"/>
      <c r="M656" s="556" t="str">
        <f t="shared" si="359"/>
        <v/>
      </c>
      <c r="N656" s="504" t="str">
        <f>IF(OR(I656="",M656=""),"",IF(I656="SI",ROUND(M656,3),0))</f>
        <v/>
      </c>
      <c r="O656" s="636"/>
      <c r="Q656" s="352" t="str">
        <f t="shared" si="353"/>
        <v/>
      </c>
      <c r="R656" s="636"/>
      <c r="S656" s="352" t="str">
        <f t="shared" si="357"/>
        <v/>
      </c>
      <c r="T656" s="656" t="str">
        <f t="shared" si="354"/>
        <v/>
      </c>
      <c r="U656" s="586"/>
      <c r="W656" s="594">
        <v>5</v>
      </c>
      <c r="X656" s="595" t="str">
        <f>IF(AND(W656&lt;=$T649,$T649&gt;1,$T649&lt;&gt;""),VLOOKUP(VALUE($F646&amp;","&amp;W656),INTEGRANTES!$D$19:$G$106,2,0),"")</f>
        <v/>
      </c>
      <c r="Y656" s="596" t="str">
        <f>IF(X656&lt;&gt;"",VLOOKUP(VALUE($F646&amp;","&amp;$W656),INTEGRANTES!$D$19:$G$106,3,0),"")</f>
        <v/>
      </c>
      <c r="Z656" s="597" t="str">
        <f>IF(X656="","",SUMIF($J652:$J657,$X656,$N652:$N657))</f>
        <v/>
      </c>
      <c r="AA656" s="604" t="str">
        <f>IF($Y656="","",IF(AND($Y656&gt;=20%,$Z656&gt;=$Z658),"CUMPLE","NO CUMPLE"))</f>
        <v/>
      </c>
      <c r="AB656" s="680"/>
      <c r="AC656" s="593" t="str">
        <f t="shared" si="355"/>
        <v/>
      </c>
      <c r="AD656" s="680"/>
      <c r="AE656" s="593" t="str">
        <f t="shared" si="356"/>
        <v/>
      </c>
    </row>
    <row r="657" spans="1:31" s="353" customFormat="1" ht="22.5" customHeight="1">
      <c r="A657" s="351"/>
      <c r="B657" s="342" t="str">
        <f t="shared" si="358"/>
        <v/>
      </c>
      <c r="C657" s="619"/>
      <c r="D657" s="620"/>
      <c r="E657" s="628"/>
      <c r="F657" s="622"/>
      <c r="G657" s="623"/>
      <c r="H657" s="624"/>
      <c r="I657" s="625"/>
      <c r="J657" s="629"/>
      <c r="K657" s="627"/>
      <c r="L657" s="618"/>
      <c r="M657" s="555" t="str">
        <f t="shared" si="359"/>
        <v/>
      </c>
      <c r="N657" s="504" t="str">
        <f>IF(OR(I657="",M657=""),"",IF(I657="SI",ROUND(M657,3),0))</f>
        <v/>
      </c>
      <c r="O657" s="636"/>
      <c r="Q657" s="352" t="str">
        <f t="shared" si="353"/>
        <v/>
      </c>
      <c r="R657" s="636"/>
      <c r="S657" s="352" t="str">
        <f t="shared" si="357"/>
        <v/>
      </c>
      <c r="T657" s="656" t="str">
        <f t="shared" si="354"/>
        <v/>
      </c>
      <c r="U657" s="586"/>
      <c r="W657" s="599">
        <v>6</v>
      </c>
      <c r="X657" s="595" t="str">
        <f>IF(AND(W657&lt;=$T649,$T649&gt;1,$T649&lt;&gt;""),VLOOKUP(VALUE($F646&amp;","&amp;W657),INTEGRANTES!$D$19:$G$106,2,0),"")</f>
        <v/>
      </c>
      <c r="Y657" s="606" t="str">
        <f>IF(X657&lt;&gt;"",VLOOKUP(VALUE($F646&amp;","&amp;$W657),INTEGRANTES!$D$19:$G$106,3,0),"")</f>
        <v/>
      </c>
      <c r="Z657" s="607" t="str">
        <f>IF(X657="","",SUMIF($J652:$J657,$X657,$N652:$N657))</f>
        <v/>
      </c>
      <c r="AA657" s="608" t="str">
        <f>IF($Y657="","",IF(AND($Y657&gt;=20%,$Z657&gt;=$Z658),"CUMPLE","NO CUMPLE"))</f>
        <v/>
      </c>
      <c r="AB657" s="680"/>
      <c r="AC657" s="593" t="str">
        <f t="shared" si="355"/>
        <v/>
      </c>
      <c r="AD657" s="680"/>
      <c r="AE657" s="593" t="str">
        <f t="shared" si="356"/>
        <v/>
      </c>
    </row>
    <row r="658" spans="1:31" ht="5.0999999999999996" customHeight="1" thickBot="1">
      <c r="B658" s="354"/>
      <c r="C658" s="359"/>
      <c r="D658" s="355"/>
      <c r="E658" s="368"/>
      <c r="F658" s="355"/>
      <c r="G658" s="355"/>
      <c r="H658" s="355"/>
      <c r="I658" s="356"/>
      <c r="J658" s="357"/>
      <c r="K658" s="358"/>
      <c r="L658" s="355"/>
      <c r="M658" s="356"/>
      <c r="N658" s="360"/>
      <c r="O658" s="352" t="str">
        <f>IF(L658="","",IF(AND(L658&gt;=YEAR($M$15), J658="SI",L658&lt;=S652),"CUMPLE","NO CUMPLE"))</f>
        <v/>
      </c>
      <c r="Q658" s="352" t="str">
        <f>IF(N658="","",IF(AND(N658&gt;=YEAR($M$15), L658="SI",N658&lt;=V652),"CUMPLE","NO CUMPLE"))</f>
        <v/>
      </c>
      <c r="R658" s="352" t="str">
        <f>IF(P658="","",IF(AND(P658&gt;=YEAR($M$15), M658="SI",P658&lt;=W652),"CUMPLE","NO CUMPLE"))</f>
        <v/>
      </c>
      <c r="S658" s="352" t="str">
        <f>IF(P658="","",IF(AND(P658&gt;=YEAR($M$15), N658="SI",P658&lt;=X652),"CUMPLE","NO CUMPLE"))</f>
        <v/>
      </c>
      <c r="T658" s="564"/>
      <c r="U658" s="586"/>
      <c r="W658" s="600"/>
      <c r="X658" s="600"/>
      <c r="Y658" s="600"/>
      <c r="Z658" s="605">
        <f>MAX(Z652:Z657)</f>
        <v>177.63200000000001</v>
      </c>
      <c r="AA658" s="600"/>
      <c r="AB658" s="602"/>
      <c r="AC658" s="602"/>
      <c r="AD658" s="602"/>
      <c r="AE658" s="602"/>
    </row>
    <row r="659" spans="1:31" s="52" customFormat="1" ht="17.100000000000001" customHeight="1" thickTop="1" thickBot="1">
      <c r="A659" s="361">
        <f>F646</f>
        <v>36</v>
      </c>
      <c r="B659" s="364"/>
      <c r="C659" s="379"/>
      <c r="D659" s="664"/>
      <c r="E659" s="752"/>
      <c r="F659" s="752"/>
      <c r="G659" s="752"/>
      <c r="H659" s="752"/>
      <c r="I659" s="752"/>
      <c r="J659" s="752"/>
      <c r="K659" s="752"/>
      <c r="L659" s="753"/>
      <c r="M659" s="754"/>
      <c r="N659" s="365">
        <f>SUM(N652:N658)</f>
        <v>230.542</v>
      </c>
      <c r="O659" s="373"/>
      <c r="Q659" s="373" t="str">
        <f>IF(COUNTIF(Q652:Q655,"CUMPLE")&gt;0,"CUMPLE","NO CUMPLE")</f>
        <v>CUMPLE</v>
      </c>
      <c r="R659" s="374" t="str">
        <f>IF(COUNTIF(R652:R655,"COLOMBIA")&gt;0,"CUMPLE","NO CUMPLE")</f>
        <v>CUMPLE</v>
      </c>
      <c r="S659" s="373" t="str">
        <f>IF(COUNTIF(S652:S655,"CUMPLE")&gt;0,"CUMPLE","NO CUMPLE")</f>
        <v>CUMPLE</v>
      </c>
      <c r="T659" s="566"/>
      <c r="U659" s="587"/>
      <c r="AA659" s="589" t="str">
        <f>IF(COUNTIF(AA652:AA657,"CUMPLE")&gt;0,"CUMPLE","NO CUMPLE")</f>
        <v>CUMPLE</v>
      </c>
      <c r="AB659" s="735" t="str">
        <f>IF(COUNTIF(AC652:AC657,"CUMPLE")&gt;0,"CUMPLE","NO CUMPLE")</f>
        <v>NO CUMPLE</v>
      </c>
      <c r="AC659" s="736"/>
      <c r="AD659" s="735" t="str">
        <f>IF(COUNTIF(AE652:AE657,"CUMPLE")&gt;0,"CUMPLE","NO CUMPLE")</f>
        <v>NO CUMPLE</v>
      </c>
      <c r="AE659" s="736"/>
    </row>
    <row r="660" spans="1:31" ht="16.5" thickTop="1">
      <c r="B660" s="557"/>
      <c r="C660" s="558"/>
      <c r="D660" s="558"/>
      <c r="E660" s="558"/>
      <c r="F660" s="558"/>
      <c r="G660" s="558"/>
      <c r="H660" s="558"/>
      <c r="I660" s="558"/>
      <c r="J660" s="558"/>
      <c r="K660" s="558"/>
      <c r="L660" s="80"/>
      <c r="M660" s="362" t="s">
        <v>516</v>
      </c>
      <c r="N660" s="369">
        <f ca="1">VFrequerido!Y50</f>
        <v>537.11</v>
      </c>
      <c r="O660" s="568"/>
      <c r="Q660" s="570"/>
      <c r="R660" s="571"/>
      <c r="S660" s="572"/>
      <c r="T660" s="573"/>
      <c r="U660" s="80"/>
    </row>
    <row r="661" spans="1:31" ht="15.75" thickBot="1">
      <c r="A661" s="490" t="str">
        <f>"E"&amp;F646</f>
        <v>E36</v>
      </c>
      <c r="B661" s="559"/>
      <c r="C661" s="560"/>
      <c r="D661" s="560"/>
      <c r="E661" s="560"/>
      <c r="F661" s="560"/>
      <c r="G661" s="560"/>
      <c r="H661" s="560"/>
      <c r="I661" s="560"/>
      <c r="J661" s="560"/>
      <c r="K661" s="560"/>
      <c r="L661" s="363"/>
      <c r="M661" s="755" t="str">
        <f ca="1">IF(OR(N659=0,N659&lt;N660),"NO CUMPLE","CUMPLE")</f>
        <v>NO CUMPLE</v>
      </c>
      <c r="N661" s="756"/>
      <c r="O661" s="569"/>
      <c r="Q661" s="492"/>
      <c r="R661" s="493"/>
      <c r="S661" s="363"/>
      <c r="T661" s="574"/>
      <c r="U661" s="80"/>
    </row>
    <row r="662" spans="1:31" ht="13.5" thickTop="1"/>
    <row r="668" spans="1:31" ht="15.75" customHeight="1"/>
  </sheetData>
  <sheetProtection algorithmName="SHA-512" hashValue="9BoSH94aQAjvB5Xu1rKtDDIYxGYNnwt50PqdN9DdUuRRxUD6nBAb9XJFdHj2RyxjtFEvwjYY970kU9UmKpqmXw==" saltValue="csRPYsvTRmGGSlzVXZuSdQ==" spinCount="100000" sheet="1" selectLockedCells="1"/>
  <customSheetViews>
    <customSheetView guid="{4FD7B380-97FE-41A2-99C1-9E1A481B7C5B}" scale="85" showPageBreaks="1" printArea="1" showRuler="0" topLeftCell="A1196">
      <selection activeCell="H616" sqref="H616"/>
      <rowBreaks count="41" manualBreakCount="41">
        <brk id="63" max="18" man="1"/>
        <brk id="84" max="23" man="1"/>
        <brk id="118" max="23" man="1"/>
        <brk id="152" max="23" man="1"/>
        <brk id="186" max="23" man="1"/>
        <brk id="220" max="23" man="1"/>
        <brk id="253" max="23" man="1"/>
        <brk id="300" max="18" man="1"/>
        <brk id="320" max="23" man="1"/>
        <brk id="354" max="23" man="1"/>
        <brk id="371" max="23" man="1"/>
        <brk id="405" max="23" man="1"/>
        <brk id="421" max="23" man="1"/>
        <brk id="455" max="23" man="1"/>
        <brk id="488" max="23" man="1"/>
        <brk id="524" max="23" man="1"/>
        <brk id="542" max="23" man="1"/>
        <brk id="558" max="23" man="1"/>
        <brk id="590" max="23" man="1"/>
        <brk id="625" max="23" man="1"/>
        <brk id="641" max="23" man="1"/>
        <brk id="658" max="23" man="1"/>
        <brk id="690" max="23" man="1"/>
        <brk id="724" max="23" man="1"/>
        <brk id="758" max="23" man="1"/>
        <brk id="775" max="23" man="1"/>
        <brk id="825" max="23" man="1"/>
        <brk id="859" max="23" man="1"/>
        <brk id="876" max="23" man="1"/>
        <brk id="893" max="23" man="1"/>
        <brk id="926" max="23" man="1"/>
        <brk id="959" max="23" man="1"/>
        <brk id="991" max="23" man="1"/>
        <brk id="1025" max="23" man="1"/>
        <brk id="1057" max="23" man="1"/>
        <brk id="1090" max="23" man="1"/>
        <brk id="1123" max="23" man="1"/>
        <brk id="1156" max="23" man="1"/>
        <brk id="1190" max="23" man="1"/>
        <brk id="1225" max="23" man="1"/>
        <brk id="1258" max="23" man="1"/>
      </rowBreaks>
      <pageMargins left="0.21" right="0.2" top="0.18" bottom="0.17" header="0.17" footer="0.17"/>
      <printOptions horizontalCentered="1" verticalCentered="1"/>
      <pageSetup paperSize="5" scale="56" orientation="landscape" blackAndWhite="1" horizontalDpi="1200" verticalDpi="1200" r:id="rId1"/>
      <headerFooter alignWithMargins="0"/>
    </customSheetView>
    <customSheetView guid="{DDA08836-FFF7-4F47-B058-4616FC9BD320}" scale="85" showPageBreaks="1" printArea="1" showRuler="0" topLeftCell="A297">
      <selection activeCell="I405" sqref="I405"/>
      <rowBreaks count="11" manualBreakCount="11">
        <brk id="63" max="18" man="1"/>
        <brk id="84" max="23" man="1"/>
        <brk id="118" max="23" man="1"/>
        <brk id="152" max="23" man="1"/>
        <brk id="186" max="23" man="1"/>
        <brk id="220" max="23" man="1"/>
        <brk id="253" max="23" man="1"/>
        <brk id="300" max="18" man="1"/>
        <brk id="320" max="23" man="1"/>
        <brk id="354" max="23" man="1"/>
        <brk id="371" max="23" man="1"/>
      </rowBreaks>
      <pageMargins left="0.21" right="0.2" top="0.18" bottom="0.17" header="0.17" footer="0.17"/>
      <printOptions horizontalCentered="1" verticalCentered="1"/>
      <pageSetup paperSize="5" scale="56" orientation="landscape" blackAndWhite="1" horizontalDpi="1200" verticalDpi="1200" r:id="rId2"/>
      <headerFooter alignWithMargins="0"/>
    </customSheetView>
  </customSheetViews>
  <mergeCells count="612">
    <mergeCell ref="W344:X344"/>
    <mergeCell ref="W182:X182"/>
    <mergeCell ref="W200:X200"/>
    <mergeCell ref="W218:X218"/>
    <mergeCell ref="W236:X236"/>
    <mergeCell ref="W254:X254"/>
    <mergeCell ref="W272:X272"/>
    <mergeCell ref="W290:X290"/>
    <mergeCell ref="W308:X308"/>
    <mergeCell ref="W326:X326"/>
    <mergeCell ref="W56:X56"/>
    <mergeCell ref="W74:X74"/>
    <mergeCell ref="W20:X20"/>
    <mergeCell ref="W38:X38"/>
    <mergeCell ref="W92:X92"/>
    <mergeCell ref="W110:X110"/>
    <mergeCell ref="W128:X128"/>
    <mergeCell ref="W146:X146"/>
    <mergeCell ref="W164:X164"/>
    <mergeCell ref="F592:F593"/>
    <mergeCell ref="G592:J593"/>
    <mergeCell ref="E551:K551"/>
    <mergeCell ref="L551:M551"/>
    <mergeCell ref="M553:N553"/>
    <mergeCell ref="E577:F577"/>
    <mergeCell ref="E587:K587"/>
    <mergeCell ref="L587:M587"/>
    <mergeCell ref="M589:N589"/>
    <mergeCell ref="G556:J557"/>
    <mergeCell ref="G577:H577"/>
    <mergeCell ref="I577:I578"/>
    <mergeCell ref="J577:J578"/>
    <mergeCell ref="F574:F575"/>
    <mergeCell ref="G574:J575"/>
    <mergeCell ref="J523:J524"/>
    <mergeCell ref="L523:M523"/>
    <mergeCell ref="L379:M379"/>
    <mergeCell ref="L235:M235"/>
    <mergeCell ref="G217:H217"/>
    <mergeCell ref="I217:I218"/>
    <mergeCell ref="E659:K659"/>
    <mergeCell ref="L659:M659"/>
    <mergeCell ref="M661:N661"/>
    <mergeCell ref="E641:K641"/>
    <mergeCell ref="L641:M641"/>
    <mergeCell ref="M643:N643"/>
    <mergeCell ref="F646:F647"/>
    <mergeCell ref="G646:J647"/>
    <mergeCell ref="F610:F611"/>
    <mergeCell ref="G610:J611"/>
    <mergeCell ref="F628:F629"/>
    <mergeCell ref="G628:J629"/>
    <mergeCell ref="G523:H523"/>
    <mergeCell ref="I523:I524"/>
    <mergeCell ref="F556:F557"/>
    <mergeCell ref="L479:M479"/>
    <mergeCell ref="L397:M397"/>
    <mergeCell ref="E245:K245"/>
    <mergeCell ref="C649:C650"/>
    <mergeCell ref="E649:F649"/>
    <mergeCell ref="G649:H649"/>
    <mergeCell ref="I649:I650"/>
    <mergeCell ref="J649:J650"/>
    <mergeCell ref="L649:M649"/>
    <mergeCell ref="C631:C632"/>
    <mergeCell ref="E631:F631"/>
    <mergeCell ref="G631:H631"/>
    <mergeCell ref="I631:I632"/>
    <mergeCell ref="J631:J632"/>
    <mergeCell ref="L631:M631"/>
    <mergeCell ref="C613:C614"/>
    <mergeCell ref="E613:F613"/>
    <mergeCell ref="G613:H613"/>
    <mergeCell ref="I613:I614"/>
    <mergeCell ref="J613:J614"/>
    <mergeCell ref="L613:M613"/>
    <mergeCell ref="E623:K623"/>
    <mergeCell ref="L623:M623"/>
    <mergeCell ref="M625:N625"/>
    <mergeCell ref="C595:C596"/>
    <mergeCell ref="E595:F595"/>
    <mergeCell ref="G595:H595"/>
    <mergeCell ref="I595:I596"/>
    <mergeCell ref="J595:J596"/>
    <mergeCell ref="L595:M595"/>
    <mergeCell ref="E605:K605"/>
    <mergeCell ref="L605:M605"/>
    <mergeCell ref="M607:N607"/>
    <mergeCell ref="C559:C560"/>
    <mergeCell ref="E559:F559"/>
    <mergeCell ref="G559:H559"/>
    <mergeCell ref="I559:I560"/>
    <mergeCell ref="J559:J560"/>
    <mergeCell ref="L559:M559"/>
    <mergeCell ref="E569:K569"/>
    <mergeCell ref="L569:M569"/>
    <mergeCell ref="M571:N571"/>
    <mergeCell ref="M517:N517"/>
    <mergeCell ref="E497:K497"/>
    <mergeCell ref="L497:M497"/>
    <mergeCell ref="M499:N499"/>
    <mergeCell ref="F502:F503"/>
    <mergeCell ref="G502:J503"/>
    <mergeCell ref="C505:C506"/>
    <mergeCell ref="E505:F505"/>
    <mergeCell ref="G505:H505"/>
    <mergeCell ref="I505:I506"/>
    <mergeCell ref="J505:J506"/>
    <mergeCell ref="L505:M505"/>
    <mergeCell ref="L515:M515"/>
    <mergeCell ref="C487:C488"/>
    <mergeCell ref="E487:F487"/>
    <mergeCell ref="G487:H487"/>
    <mergeCell ref="I487:I488"/>
    <mergeCell ref="J487:J488"/>
    <mergeCell ref="L487:M487"/>
    <mergeCell ref="C307:C308"/>
    <mergeCell ref="C289:C290"/>
    <mergeCell ref="C271:C272"/>
    <mergeCell ref="C379:C380"/>
    <mergeCell ref="L461:M461"/>
    <mergeCell ref="M463:N463"/>
    <mergeCell ref="C325:C326"/>
    <mergeCell ref="E325:F325"/>
    <mergeCell ref="G325:H325"/>
    <mergeCell ref="I325:I326"/>
    <mergeCell ref="J325:J326"/>
    <mergeCell ref="E317:K317"/>
    <mergeCell ref="E281:K281"/>
    <mergeCell ref="L415:M415"/>
    <mergeCell ref="F412:F413"/>
    <mergeCell ref="G412:J413"/>
    <mergeCell ref="M481:N481"/>
    <mergeCell ref="F484:F485"/>
    <mergeCell ref="C235:C236"/>
    <mergeCell ref="C361:C362"/>
    <mergeCell ref="E361:F361"/>
    <mergeCell ref="G361:H361"/>
    <mergeCell ref="I361:I362"/>
    <mergeCell ref="J361:J362"/>
    <mergeCell ref="L361:M361"/>
    <mergeCell ref="F376:F377"/>
    <mergeCell ref="G376:J377"/>
    <mergeCell ref="E263:K263"/>
    <mergeCell ref="L263:M263"/>
    <mergeCell ref="M265:N265"/>
    <mergeCell ref="F268:F269"/>
    <mergeCell ref="G268:J269"/>
    <mergeCell ref="G235:H235"/>
    <mergeCell ref="I235:I236"/>
    <mergeCell ref="J235:J236"/>
    <mergeCell ref="C127:C128"/>
    <mergeCell ref="E127:F127"/>
    <mergeCell ref="G127:H127"/>
    <mergeCell ref="I127:I128"/>
    <mergeCell ref="J127:J128"/>
    <mergeCell ref="L127:M127"/>
    <mergeCell ref="M121:N121"/>
    <mergeCell ref="L29:M29"/>
    <mergeCell ref="L19:M19"/>
    <mergeCell ref="M31:N31"/>
    <mergeCell ref="J73:J74"/>
    <mergeCell ref="L73:M73"/>
    <mergeCell ref="G106:J107"/>
    <mergeCell ref="C109:C110"/>
    <mergeCell ref="E119:K119"/>
    <mergeCell ref="L119:M119"/>
    <mergeCell ref="I109:I110"/>
    <mergeCell ref="C91:C92"/>
    <mergeCell ref="M49:N49"/>
    <mergeCell ref="L55:M55"/>
    <mergeCell ref="L65:M65"/>
    <mergeCell ref="L83:M83"/>
    <mergeCell ref="M85:N85"/>
    <mergeCell ref="M67:N67"/>
    <mergeCell ref="C19:C20"/>
    <mergeCell ref="J109:J110"/>
    <mergeCell ref="L109:M109"/>
    <mergeCell ref="F124:F125"/>
    <mergeCell ref="G124:J125"/>
    <mergeCell ref="M427:N427"/>
    <mergeCell ref="E461:K461"/>
    <mergeCell ref="G16:J17"/>
    <mergeCell ref="F16:F17"/>
    <mergeCell ref="E83:K83"/>
    <mergeCell ref="F88:F89"/>
    <mergeCell ref="G88:J89"/>
    <mergeCell ref="E19:F19"/>
    <mergeCell ref="G19:H19"/>
    <mergeCell ref="J19:J20"/>
    <mergeCell ref="I19:I20"/>
    <mergeCell ref="E29:K29"/>
    <mergeCell ref="F34:F35"/>
    <mergeCell ref="G34:J35"/>
    <mergeCell ref="L91:M91"/>
    <mergeCell ref="E101:K101"/>
    <mergeCell ref="L101:M101"/>
    <mergeCell ref="M103:N103"/>
    <mergeCell ref="G91:H91"/>
    <mergeCell ref="E55:F55"/>
    <mergeCell ref="L371:M371"/>
    <mergeCell ref="M373:N373"/>
    <mergeCell ref="F358:F359"/>
    <mergeCell ref="L37:M37"/>
    <mergeCell ref="E47:K47"/>
    <mergeCell ref="L47:M47"/>
    <mergeCell ref="J199:J200"/>
    <mergeCell ref="L199:M199"/>
    <mergeCell ref="L209:M209"/>
    <mergeCell ref="E227:K227"/>
    <mergeCell ref="E217:F217"/>
    <mergeCell ref="L307:M307"/>
    <mergeCell ref="L289:M289"/>
    <mergeCell ref="E271:F271"/>
    <mergeCell ref="G271:H271"/>
    <mergeCell ref="L281:M281"/>
    <mergeCell ref="E307:F307"/>
    <mergeCell ref="M247:N247"/>
    <mergeCell ref="E235:F235"/>
    <mergeCell ref="G484:J485"/>
    <mergeCell ref="F430:F431"/>
    <mergeCell ref="G430:J431"/>
    <mergeCell ref="E451:F451"/>
    <mergeCell ref="G451:H451"/>
    <mergeCell ref="I451:I452"/>
    <mergeCell ref="J451:J452"/>
    <mergeCell ref="L451:M451"/>
    <mergeCell ref="E443:K443"/>
    <mergeCell ref="L443:M443"/>
    <mergeCell ref="F448:F449"/>
    <mergeCell ref="G448:J449"/>
    <mergeCell ref="M445:N445"/>
    <mergeCell ref="J469:J470"/>
    <mergeCell ref="L469:M469"/>
    <mergeCell ref="L433:M433"/>
    <mergeCell ref="C433:C434"/>
    <mergeCell ref="E433:F433"/>
    <mergeCell ref="G433:H433"/>
    <mergeCell ref="I433:I434"/>
    <mergeCell ref="J433:J434"/>
    <mergeCell ref="E335:K335"/>
    <mergeCell ref="F322:F323"/>
    <mergeCell ref="G322:J323"/>
    <mergeCell ref="E371:K371"/>
    <mergeCell ref="E425:K425"/>
    <mergeCell ref="F340:F341"/>
    <mergeCell ref="G340:J341"/>
    <mergeCell ref="E353:K353"/>
    <mergeCell ref="E389:K389"/>
    <mergeCell ref="F394:F395"/>
    <mergeCell ref="C343:C344"/>
    <mergeCell ref="E343:F343"/>
    <mergeCell ref="C415:C416"/>
    <mergeCell ref="E415:F415"/>
    <mergeCell ref="G415:H415"/>
    <mergeCell ref="I415:I416"/>
    <mergeCell ref="J415:J416"/>
    <mergeCell ref="E379:F379"/>
    <mergeCell ref="G379:H379"/>
    <mergeCell ref="C37:C38"/>
    <mergeCell ref="E37:F37"/>
    <mergeCell ref="G37:H37"/>
    <mergeCell ref="I37:I38"/>
    <mergeCell ref="J37:J38"/>
    <mergeCell ref="E109:F109"/>
    <mergeCell ref="G109:H109"/>
    <mergeCell ref="C55:C56"/>
    <mergeCell ref="C73:C74"/>
    <mergeCell ref="E65:K65"/>
    <mergeCell ref="F106:F107"/>
    <mergeCell ref="F70:F71"/>
    <mergeCell ref="G70:J71"/>
    <mergeCell ref="E91:F91"/>
    <mergeCell ref="G55:H55"/>
    <mergeCell ref="I55:I56"/>
    <mergeCell ref="J55:J56"/>
    <mergeCell ref="E73:F73"/>
    <mergeCell ref="G73:H73"/>
    <mergeCell ref="I73:I74"/>
    <mergeCell ref="I91:I92"/>
    <mergeCell ref="J91:J92"/>
    <mergeCell ref="F52:F53"/>
    <mergeCell ref="G52:J53"/>
    <mergeCell ref="F466:F467"/>
    <mergeCell ref="G466:J467"/>
    <mergeCell ref="G307:H307"/>
    <mergeCell ref="I307:I308"/>
    <mergeCell ref="J307:J308"/>
    <mergeCell ref="G343:H343"/>
    <mergeCell ref="I343:I344"/>
    <mergeCell ref="J343:J344"/>
    <mergeCell ref="E209:K209"/>
    <mergeCell ref="G394:J395"/>
    <mergeCell ref="F142:F143"/>
    <mergeCell ref="G142:J143"/>
    <mergeCell ref="E137:K137"/>
    <mergeCell ref="F250:F251"/>
    <mergeCell ref="G250:J251"/>
    <mergeCell ref="E191:K191"/>
    <mergeCell ref="E289:F289"/>
    <mergeCell ref="G289:H289"/>
    <mergeCell ref="F178:F179"/>
    <mergeCell ref="G178:J179"/>
    <mergeCell ref="E181:F181"/>
    <mergeCell ref="G181:H181"/>
    <mergeCell ref="J217:J218"/>
    <mergeCell ref="L217:M217"/>
    <mergeCell ref="G358:J359"/>
    <mergeCell ref="I289:I290"/>
    <mergeCell ref="J289:J290"/>
    <mergeCell ref="F286:F287"/>
    <mergeCell ref="G286:J287"/>
    <mergeCell ref="L317:M317"/>
    <mergeCell ref="I271:I272"/>
    <mergeCell ref="J271:J272"/>
    <mergeCell ref="L245:M245"/>
    <mergeCell ref="L335:M335"/>
    <mergeCell ref="M337:N337"/>
    <mergeCell ref="M319:N319"/>
    <mergeCell ref="L137:M137"/>
    <mergeCell ref="M139:N139"/>
    <mergeCell ref="G232:J233"/>
    <mergeCell ref="M211:N211"/>
    <mergeCell ref="F214:F215"/>
    <mergeCell ref="G214:J215"/>
    <mergeCell ref="F160:F161"/>
    <mergeCell ref="G160:J161"/>
    <mergeCell ref="C145:C146"/>
    <mergeCell ref="E145:F145"/>
    <mergeCell ref="G145:H145"/>
    <mergeCell ref="I145:I146"/>
    <mergeCell ref="J145:J146"/>
    <mergeCell ref="L145:M145"/>
    <mergeCell ref="E155:K155"/>
    <mergeCell ref="L155:M155"/>
    <mergeCell ref="L227:M227"/>
    <mergeCell ref="C163:C164"/>
    <mergeCell ref="E163:F163"/>
    <mergeCell ref="G163:H163"/>
    <mergeCell ref="I163:I164"/>
    <mergeCell ref="J163:J164"/>
    <mergeCell ref="L163:M163"/>
    <mergeCell ref="C217:C218"/>
    <mergeCell ref="M157:N157"/>
    <mergeCell ref="E173:K173"/>
    <mergeCell ref="L173:M173"/>
    <mergeCell ref="C253:C254"/>
    <mergeCell ref="E253:F253"/>
    <mergeCell ref="G253:H253"/>
    <mergeCell ref="I253:I254"/>
    <mergeCell ref="J253:J254"/>
    <mergeCell ref="L253:M253"/>
    <mergeCell ref="L191:M191"/>
    <mergeCell ref="M193:N193"/>
    <mergeCell ref="F196:F197"/>
    <mergeCell ref="G196:J197"/>
    <mergeCell ref="C199:C200"/>
    <mergeCell ref="E199:F199"/>
    <mergeCell ref="G199:H199"/>
    <mergeCell ref="I199:I200"/>
    <mergeCell ref="M229:N229"/>
    <mergeCell ref="F232:F233"/>
    <mergeCell ref="M175:N175"/>
    <mergeCell ref="C181:C182"/>
    <mergeCell ref="I181:I182"/>
    <mergeCell ref="J181:J182"/>
    <mergeCell ref="L181:M181"/>
    <mergeCell ref="I379:I380"/>
    <mergeCell ref="J379:J380"/>
    <mergeCell ref="E479:K479"/>
    <mergeCell ref="L541:M541"/>
    <mergeCell ref="L271:M271"/>
    <mergeCell ref="M283:N283"/>
    <mergeCell ref="E299:K299"/>
    <mergeCell ref="L299:M299"/>
    <mergeCell ref="M301:N301"/>
    <mergeCell ref="F304:F305"/>
    <mergeCell ref="G304:J305"/>
    <mergeCell ref="L425:M425"/>
    <mergeCell ref="L343:M343"/>
    <mergeCell ref="L353:M353"/>
    <mergeCell ref="M355:N355"/>
    <mergeCell ref="L389:M389"/>
    <mergeCell ref="M391:N391"/>
    <mergeCell ref="E407:K407"/>
    <mergeCell ref="L407:M407"/>
    <mergeCell ref="M409:N409"/>
    <mergeCell ref="G541:H541"/>
    <mergeCell ref="L325:M325"/>
    <mergeCell ref="F520:F521"/>
    <mergeCell ref="G520:J521"/>
    <mergeCell ref="C577:C578"/>
    <mergeCell ref="C397:C398"/>
    <mergeCell ref="E397:F397"/>
    <mergeCell ref="G397:H397"/>
    <mergeCell ref="I397:I398"/>
    <mergeCell ref="J397:J398"/>
    <mergeCell ref="C523:C524"/>
    <mergeCell ref="E523:F523"/>
    <mergeCell ref="L577:M577"/>
    <mergeCell ref="E533:K533"/>
    <mergeCell ref="L533:M533"/>
    <mergeCell ref="M535:N535"/>
    <mergeCell ref="F538:F539"/>
    <mergeCell ref="G538:J539"/>
    <mergeCell ref="C541:C542"/>
    <mergeCell ref="E541:F541"/>
    <mergeCell ref="C451:C452"/>
    <mergeCell ref="E515:K515"/>
    <mergeCell ref="C469:C470"/>
    <mergeCell ref="I541:I542"/>
    <mergeCell ref="J541:J542"/>
    <mergeCell ref="E469:F469"/>
    <mergeCell ref="G469:H469"/>
    <mergeCell ref="I469:I470"/>
    <mergeCell ref="AB20:AC20"/>
    <mergeCell ref="AD20:AE20"/>
    <mergeCell ref="AB29:AC29"/>
    <mergeCell ref="AD29:AE29"/>
    <mergeCell ref="W19:AE19"/>
    <mergeCell ref="W37:AE37"/>
    <mergeCell ref="AD38:AE38"/>
    <mergeCell ref="AD56:AE56"/>
    <mergeCell ref="W632:X632"/>
    <mergeCell ref="W560:X560"/>
    <mergeCell ref="W578:X578"/>
    <mergeCell ref="W596:X596"/>
    <mergeCell ref="W614:X614"/>
    <mergeCell ref="W470:X470"/>
    <mergeCell ref="W488:X488"/>
    <mergeCell ref="W506:X506"/>
    <mergeCell ref="W524:X524"/>
    <mergeCell ref="W542:X542"/>
    <mergeCell ref="W523:AE523"/>
    <mergeCell ref="W613:AE613"/>
    <mergeCell ref="W362:X362"/>
    <mergeCell ref="W380:X380"/>
    <mergeCell ref="W398:X398"/>
    <mergeCell ref="W416:X416"/>
    <mergeCell ref="AB38:AC38"/>
    <mergeCell ref="AB56:AC56"/>
    <mergeCell ref="AB74:AC74"/>
    <mergeCell ref="AD74:AE74"/>
    <mergeCell ref="AB92:AC92"/>
    <mergeCell ref="AB110:AC110"/>
    <mergeCell ref="AD110:AE110"/>
    <mergeCell ref="AB128:AC128"/>
    <mergeCell ref="AD128:AE128"/>
    <mergeCell ref="AB146:AC146"/>
    <mergeCell ref="AD146:AE146"/>
    <mergeCell ref="AB137:AC137"/>
    <mergeCell ref="AD137:AE137"/>
    <mergeCell ref="AB119:AC119"/>
    <mergeCell ref="AD119:AE119"/>
    <mergeCell ref="AB47:AC47"/>
    <mergeCell ref="AD47:AE47"/>
    <mergeCell ref="AB65:AC65"/>
    <mergeCell ref="AD65:AE65"/>
    <mergeCell ref="AB83:AC83"/>
    <mergeCell ref="AD83:AE83"/>
    <mergeCell ref="AB101:AC101"/>
    <mergeCell ref="AD101:AE101"/>
    <mergeCell ref="AD92:AE92"/>
    <mergeCell ref="AB164:AC164"/>
    <mergeCell ref="AD164:AE164"/>
    <mergeCell ref="AB173:AC173"/>
    <mergeCell ref="AD173:AE173"/>
    <mergeCell ref="AB182:AC182"/>
    <mergeCell ref="AD182:AE182"/>
    <mergeCell ref="AB191:AC191"/>
    <mergeCell ref="AD191:AE191"/>
    <mergeCell ref="AB200:AC200"/>
    <mergeCell ref="AD200:AE200"/>
    <mergeCell ref="AB209:AC209"/>
    <mergeCell ref="AD209:AE209"/>
    <mergeCell ref="AB218:AC218"/>
    <mergeCell ref="AD218:AE218"/>
    <mergeCell ref="AB227:AC227"/>
    <mergeCell ref="AD227:AE227"/>
    <mergeCell ref="AB236:AC236"/>
    <mergeCell ref="AD236:AE236"/>
    <mergeCell ref="AB245:AC245"/>
    <mergeCell ref="AD245:AE245"/>
    <mergeCell ref="AB254:AC254"/>
    <mergeCell ref="AD254:AE254"/>
    <mergeCell ref="AB263:AC263"/>
    <mergeCell ref="AD263:AE263"/>
    <mergeCell ref="AB272:AC272"/>
    <mergeCell ref="AD272:AE272"/>
    <mergeCell ref="AB281:AC281"/>
    <mergeCell ref="AD281:AE281"/>
    <mergeCell ref="AB290:AC290"/>
    <mergeCell ref="AD290:AE290"/>
    <mergeCell ref="AB299:AC299"/>
    <mergeCell ref="AD299:AE299"/>
    <mergeCell ref="AB308:AC308"/>
    <mergeCell ref="AD308:AE308"/>
    <mergeCell ref="AB317:AC317"/>
    <mergeCell ref="AD317:AE317"/>
    <mergeCell ref="AB326:AC326"/>
    <mergeCell ref="AD326:AE326"/>
    <mergeCell ref="AB335:AC335"/>
    <mergeCell ref="AD335:AE335"/>
    <mergeCell ref="AB344:AC344"/>
    <mergeCell ref="AD344:AE344"/>
    <mergeCell ref="AB353:AC353"/>
    <mergeCell ref="AD353:AE353"/>
    <mergeCell ref="AB362:AC362"/>
    <mergeCell ref="AD362:AE362"/>
    <mergeCell ref="AB371:AC371"/>
    <mergeCell ref="AD371:AE371"/>
    <mergeCell ref="AB380:AC380"/>
    <mergeCell ref="AD380:AE380"/>
    <mergeCell ref="AB389:AC389"/>
    <mergeCell ref="AD389:AE389"/>
    <mergeCell ref="AB398:AC398"/>
    <mergeCell ref="AD398:AE398"/>
    <mergeCell ref="AB407:AC407"/>
    <mergeCell ref="AD407:AE407"/>
    <mergeCell ref="AB416:AC416"/>
    <mergeCell ref="AD416:AE416"/>
    <mergeCell ref="AB425:AC425"/>
    <mergeCell ref="AD425:AE425"/>
    <mergeCell ref="W415:AE415"/>
    <mergeCell ref="AB434:AC434"/>
    <mergeCell ref="AD434:AE434"/>
    <mergeCell ref="AB443:AC443"/>
    <mergeCell ref="AD443:AE443"/>
    <mergeCell ref="AB452:AC452"/>
    <mergeCell ref="AD452:AE452"/>
    <mergeCell ref="AB461:AC461"/>
    <mergeCell ref="AD461:AE461"/>
    <mergeCell ref="AB470:AC470"/>
    <mergeCell ref="AD470:AE470"/>
    <mergeCell ref="W451:AE451"/>
    <mergeCell ref="W469:AE469"/>
    <mergeCell ref="W434:X434"/>
    <mergeCell ref="W452:X452"/>
    <mergeCell ref="AD488:AE488"/>
    <mergeCell ref="AB497:AC497"/>
    <mergeCell ref="AD497:AE497"/>
    <mergeCell ref="AB506:AC506"/>
    <mergeCell ref="AD506:AE506"/>
    <mergeCell ref="AB515:AC515"/>
    <mergeCell ref="AD515:AE515"/>
    <mergeCell ref="W487:AE487"/>
    <mergeCell ref="W505:AE505"/>
    <mergeCell ref="AB650:AC650"/>
    <mergeCell ref="AD650:AE650"/>
    <mergeCell ref="W631:AE631"/>
    <mergeCell ref="W649:AE649"/>
    <mergeCell ref="AB569:AC569"/>
    <mergeCell ref="AD569:AE569"/>
    <mergeCell ref="AB578:AC578"/>
    <mergeCell ref="AD578:AE578"/>
    <mergeCell ref="AB587:AC587"/>
    <mergeCell ref="AD587:AE587"/>
    <mergeCell ref="AB596:AC596"/>
    <mergeCell ref="AD596:AE596"/>
    <mergeCell ref="AB605:AC605"/>
    <mergeCell ref="AD605:AE605"/>
    <mergeCell ref="W577:AE577"/>
    <mergeCell ref="W595:AE595"/>
    <mergeCell ref="W650:X650"/>
    <mergeCell ref="W433:AE433"/>
    <mergeCell ref="AB614:AC614"/>
    <mergeCell ref="AD614:AE614"/>
    <mergeCell ref="AB623:AC623"/>
    <mergeCell ref="AD623:AE623"/>
    <mergeCell ref="AB632:AC632"/>
    <mergeCell ref="AD632:AE632"/>
    <mergeCell ref="AB641:AC641"/>
    <mergeCell ref="AD641:AE641"/>
    <mergeCell ref="AB524:AC524"/>
    <mergeCell ref="AD524:AE524"/>
    <mergeCell ref="AB533:AC533"/>
    <mergeCell ref="AD533:AE533"/>
    <mergeCell ref="AB542:AC542"/>
    <mergeCell ref="AD542:AE542"/>
    <mergeCell ref="AB551:AC551"/>
    <mergeCell ref="AD551:AE551"/>
    <mergeCell ref="AB560:AC560"/>
    <mergeCell ref="AD560:AE560"/>
    <mergeCell ref="W541:AE541"/>
    <mergeCell ref="W559:AE559"/>
    <mergeCell ref="AB479:AC479"/>
    <mergeCell ref="AD479:AE479"/>
    <mergeCell ref="AB488:AC488"/>
    <mergeCell ref="AB155:AC155"/>
    <mergeCell ref="AD155:AE155"/>
    <mergeCell ref="AB659:AC659"/>
    <mergeCell ref="AD659:AE659"/>
    <mergeCell ref="W55:AE55"/>
    <mergeCell ref="W73:AE73"/>
    <mergeCell ref="W91:AE91"/>
    <mergeCell ref="W109:AE109"/>
    <mergeCell ref="W127:AE127"/>
    <mergeCell ref="W145:AE145"/>
    <mergeCell ref="W163:AE163"/>
    <mergeCell ref="W181:AE181"/>
    <mergeCell ref="W199:AE199"/>
    <mergeCell ref="W217:AE217"/>
    <mergeCell ref="W235:AE235"/>
    <mergeCell ref="W253:AE253"/>
    <mergeCell ref="W271:AE271"/>
    <mergeCell ref="W289:AE289"/>
    <mergeCell ref="W307:AE307"/>
    <mergeCell ref="W325:AE325"/>
    <mergeCell ref="W343:AE343"/>
    <mergeCell ref="W361:AE361"/>
    <mergeCell ref="W379:AE379"/>
    <mergeCell ref="W397:AE397"/>
  </mergeCells>
  <phoneticPr fontId="5" type="noConversion"/>
  <conditionalFormatting sqref="M31:N31">
    <cfRule type="cellIs" dxfId="2935" priority="7256" stopIfTrue="1" operator="equal">
      <formula>"NO CUMPLE"</formula>
    </cfRule>
    <cfRule type="cellIs" dxfId="2934" priority="7257" stopIfTrue="1" operator="equal">
      <formula>"CUMPLE"</formula>
    </cfRule>
  </conditionalFormatting>
  <conditionalFormatting sqref="L15:N15 C22:L25 B28:N28 B21:B25">
    <cfRule type="cellIs" dxfId="2933" priority="7258" stopIfTrue="1" operator="greaterThan">
      <formula>0</formula>
    </cfRule>
  </conditionalFormatting>
  <conditionalFormatting sqref="M22:N25">
    <cfRule type="cellIs" dxfId="2932" priority="7259" stopIfTrue="1" operator="greaterThan">
      <formula>0</formula>
    </cfRule>
  </conditionalFormatting>
  <conditionalFormatting sqref="B19:B20 H20:K21 D19:F21 C21:N21 D20:N20 C19:N19 L19:N21 P19:R21 W21:AA21 Y20:AA20 AF20:AF21">
    <cfRule type="cellIs" dxfId="2931" priority="7260" stopIfTrue="1" operator="greaterThan">
      <formula>0</formula>
    </cfRule>
  </conditionalFormatting>
  <conditionalFormatting sqref="L14:N14">
    <cfRule type="cellIs" dxfId="2930" priority="7261" stopIfTrue="1" operator="greaterThan">
      <formula>0</formula>
    </cfRule>
  </conditionalFormatting>
  <conditionalFormatting sqref="G19:G21">
    <cfRule type="cellIs" dxfId="2929" priority="7255" stopIfTrue="1" operator="greaterThan">
      <formula>0</formula>
    </cfRule>
  </conditionalFormatting>
  <conditionalFormatting sqref="N22:N25">
    <cfRule type="cellIs" dxfId="2928" priority="7253" operator="equal">
      <formula>0</formula>
    </cfRule>
  </conditionalFormatting>
  <conditionalFormatting sqref="R28:R29 R22">
    <cfRule type="cellIs" dxfId="2927" priority="4819" stopIfTrue="1" operator="greaterThan">
      <formula>0</formula>
    </cfRule>
  </conditionalFormatting>
  <conditionalFormatting sqref="R19:R21">
    <cfRule type="cellIs" dxfId="2926" priority="4820" stopIfTrue="1" operator="greaterThan">
      <formula>0</formula>
    </cfRule>
  </conditionalFormatting>
  <conditionalFormatting sqref="R28:R29">
    <cfRule type="cellIs" dxfId="2925" priority="4817" operator="equal">
      <formula>"CUMPLE"</formula>
    </cfRule>
    <cfRule type="cellIs" dxfId="2924" priority="4818" operator="equal">
      <formula>"NO CUMPLE"</formula>
    </cfRule>
  </conditionalFormatting>
  <conditionalFormatting sqref="Q19:Q21">
    <cfRule type="cellIs" dxfId="2923" priority="4764" stopIfTrue="1" operator="greaterThan">
      <formula>0</formula>
    </cfRule>
  </conditionalFormatting>
  <conditionalFormatting sqref="O19:O21">
    <cfRule type="cellIs" dxfId="2922" priority="3839" stopIfTrue="1" operator="greaterThan">
      <formula>0</formula>
    </cfRule>
  </conditionalFormatting>
  <conditionalFormatting sqref="O19:O21">
    <cfRule type="cellIs" dxfId="2921" priority="3838" stopIfTrue="1" operator="greaterThan">
      <formula>0</formula>
    </cfRule>
  </conditionalFormatting>
  <conditionalFormatting sqref="O22:O25 O28:O29">
    <cfRule type="cellIs" dxfId="2920" priority="3833" operator="equal">
      <formula>"NO CUMPLE"</formula>
    </cfRule>
    <cfRule type="cellIs" dxfId="2919" priority="3837" stopIfTrue="1" operator="greaterThan">
      <formula>0</formula>
    </cfRule>
  </conditionalFormatting>
  <conditionalFormatting sqref="O22:O25">
    <cfRule type="cellIs" dxfId="2918" priority="3834" stopIfTrue="1" operator="equal">
      <formula>0</formula>
    </cfRule>
  </conditionalFormatting>
  <conditionalFormatting sqref="B26:L27">
    <cfRule type="cellIs" dxfId="2917" priority="3560" stopIfTrue="1" operator="greaterThan">
      <formula>0</formula>
    </cfRule>
  </conditionalFormatting>
  <conditionalFormatting sqref="M26:N27">
    <cfRule type="cellIs" dxfId="2916" priority="3561" stopIfTrue="1" operator="greaterThan">
      <formula>0</formula>
    </cfRule>
  </conditionalFormatting>
  <conditionalFormatting sqref="N26:N27">
    <cfRule type="cellIs" dxfId="2915" priority="3559" operator="equal">
      <formula>0</formula>
    </cfRule>
  </conditionalFormatting>
  <conditionalFormatting sqref="R26:R27">
    <cfRule type="cellIs" dxfId="2914" priority="3558" stopIfTrue="1" operator="greaterThan">
      <formula>0</formula>
    </cfRule>
  </conditionalFormatting>
  <conditionalFormatting sqref="R26:R27">
    <cfRule type="cellIs" dxfId="2913" priority="3556" operator="equal">
      <formula>"CUMPLE"</formula>
    </cfRule>
    <cfRule type="cellIs" dxfId="2912" priority="3557" operator="equal">
      <formula>"NO CUMPLE"</formula>
    </cfRule>
  </conditionalFormatting>
  <conditionalFormatting sqref="O26:O27">
    <cfRule type="cellIs" dxfId="2911" priority="3554" operator="equal">
      <formula>"NO CUMPLE"</formula>
    </cfRule>
  </conditionalFormatting>
  <conditionalFormatting sqref="R26:R27">
    <cfRule type="cellIs" dxfId="2910" priority="3552" stopIfTrue="1" operator="equal">
      <formula>0</formula>
    </cfRule>
  </conditionalFormatting>
  <conditionalFormatting sqref="R26:R27 O26:O27">
    <cfRule type="cellIs" dxfId="2909" priority="3553" operator="equal">
      <formula>"CUMPLE"</formula>
    </cfRule>
  </conditionalFormatting>
  <conditionalFormatting sqref="O26:O27">
    <cfRule type="cellIs" dxfId="2908" priority="3548" operator="equal">
      <formula>"NO CUMPLE"</formula>
    </cfRule>
    <cfRule type="cellIs" dxfId="2907" priority="3550" stopIfTrue="1" operator="greaterThan">
      <formula>0</formula>
    </cfRule>
  </conditionalFormatting>
  <conditionalFormatting sqref="O26:O27">
    <cfRule type="cellIs" dxfId="2906" priority="3549" stopIfTrue="1" operator="equal">
      <formula>0</formula>
    </cfRule>
  </conditionalFormatting>
  <conditionalFormatting sqref="S19:S21">
    <cfRule type="cellIs" dxfId="2905" priority="3250" stopIfTrue="1" operator="greaterThan">
      <formula>0</formula>
    </cfRule>
  </conditionalFormatting>
  <conditionalFormatting sqref="S19:S21">
    <cfRule type="cellIs" dxfId="2904" priority="3249" stopIfTrue="1" operator="greaterThan">
      <formula>0</formula>
    </cfRule>
  </conditionalFormatting>
  <conditionalFormatting sqref="S22:S29">
    <cfRule type="cellIs" dxfId="2903" priority="3248" stopIfTrue="1" operator="greaterThan">
      <formula>0</formula>
    </cfRule>
  </conditionalFormatting>
  <conditionalFormatting sqref="S22:S29">
    <cfRule type="cellIs" dxfId="2902" priority="3247" operator="equal">
      <formula>"NO CUMPLE"</formula>
    </cfRule>
  </conditionalFormatting>
  <conditionalFormatting sqref="T19:U29">
    <cfRule type="cellIs" dxfId="2901" priority="3238" stopIfTrue="1" operator="greaterThan">
      <formula>0</formula>
    </cfRule>
  </conditionalFormatting>
  <conditionalFormatting sqref="T29:U29">
    <cfRule type="cellIs" dxfId="2900" priority="3232" operator="equal">
      <formula>"NO CUMPLE"</formula>
    </cfRule>
    <cfRule type="cellIs" dxfId="2899" priority="3236" stopIfTrue="1" operator="greaterThan">
      <formula>0</formula>
    </cfRule>
  </conditionalFormatting>
  <conditionalFormatting sqref="T29:U29">
    <cfRule type="cellIs" dxfId="2898" priority="3235" operator="equal">
      <formula>"NO CUMPLE"</formula>
    </cfRule>
  </conditionalFormatting>
  <conditionalFormatting sqref="T29:U29">
    <cfRule type="cellIs" dxfId="2897" priority="3234" operator="equal">
      <formula>"CUMPLE"</formula>
    </cfRule>
  </conditionalFormatting>
  <conditionalFormatting sqref="T22:U28">
    <cfRule type="cellIs" dxfId="2896" priority="3227" operator="equal">
      <formula>"NO CUMPLE"</formula>
    </cfRule>
  </conditionalFormatting>
  <conditionalFormatting sqref="T22:U28">
    <cfRule type="cellIs" dxfId="2895" priority="3230" operator="equal">
      <formula>"NO CUMPLE"</formula>
    </cfRule>
  </conditionalFormatting>
  <conditionalFormatting sqref="T22:U28">
    <cfRule type="cellIs" dxfId="2894" priority="3228" stopIfTrue="1" operator="equal">
      <formula>0</formula>
    </cfRule>
  </conditionalFormatting>
  <conditionalFormatting sqref="T22:U28">
    <cfRule type="cellIs" dxfId="2893" priority="3229" operator="equal">
      <formula>"CUMPLE"</formula>
    </cfRule>
  </conditionalFormatting>
  <conditionalFormatting sqref="M49:N49">
    <cfRule type="cellIs" dxfId="2892" priority="3066" stopIfTrue="1" operator="equal">
      <formula>"NO CUMPLE"</formula>
    </cfRule>
    <cfRule type="cellIs" dxfId="2891" priority="3067" stopIfTrue="1" operator="equal">
      <formula>"CUMPLE"</formula>
    </cfRule>
  </conditionalFormatting>
  <conditionalFormatting sqref="B39:B43 C40:L43 B46:N46">
    <cfRule type="cellIs" dxfId="2890" priority="3068" stopIfTrue="1" operator="greaterThan">
      <formula>0</formula>
    </cfRule>
  </conditionalFormatting>
  <conditionalFormatting sqref="M40:N43">
    <cfRule type="cellIs" dxfId="2889" priority="3069" stopIfTrue="1" operator="greaterThan">
      <formula>0</formula>
    </cfRule>
  </conditionalFormatting>
  <conditionalFormatting sqref="B37:B38 C39 D37:N39 C37 P37:R39">
    <cfRule type="cellIs" dxfId="2888" priority="3070" stopIfTrue="1" operator="greaterThan">
      <formula>0</formula>
    </cfRule>
  </conditionalFormatting>
  <conditionalFormatting sqref="G37:G39">
    <cfRule type="cellIs" dxfId="2887" priority="3065" stopIfTrue="1" operator="greaterThan">
      <formula>0</formula>
    </cfRule>
  </conditionalFormatting>
  <conditionalFormatting sqref="N40:N43">
    <cfRule type="cellIs" dxfId="2886" priority="3064" operator="equal">
      <formula>0</formula>
    </cfRule>
  </conditionalFormatting>
  <conditionalFormatting sqref="R40:R43 R46:R47">
    <cfRule type="cellIs" dxfId="2885" priority="3062" stopIfTrue="1" operator="greaterThan">
      <formula>0</formula>
    </cfRule>
  </conditionalFormatting>
  <conditionalFormatting sqref="R37:R39">
    <cfRule type="cellIs" dxfId="2884" priority="3063" stopIfTrue="1" operator="greaterThan">
      <formula>0</formula>
    </cfRule>
  </conditionalFormatting>
  <conditionalFormatting sqref="R41:R43 R46:R47">
    <cfRule type="cellIs" dxfId="2883" priority="3060" operator="equal">
      <formula>"CUMPLE"</formula>
    </cfRule>
    <cfRule type="cellIs" dxfId="2882" priority="3061" operator="equal">
      <formula>"NO CUMPLE"</formula>
    </cfRule>
  </conditionalFormatting>
  <conditionalFormatting sqref="Q37:Q39">
    <cfRule type="cellIs" dxfId="2881" priority="3059" stopIfTrue="1" operator="greaterThan">
      <formula>0</formula>
    </cfRule>
  </conditionalFormatting>
  <conditionalFormatting sqref="Q40:Q43 Q46:Q47">
    <cfRule type="cellIs" dxfId="2880" priority="3054" operator="equal">
      <formula>"NO CUMPLE"</formula>
    </cfRule>
    <cfRule type="cellIs" dxfId="2879" priority="3058" stopIfTrue="1" operator="greaterThan">
      <formula>0</formula>
    </cfRule>
  </conditionalFormatting>
  <conditionalFormatting sqref="Q40:Q43 O40:O43 O46:O47 Q46:Q47">
    <cfRule type="cellIs" dxfId="2878" priority="3057" operator="equal">
      <formula>"NO CUMPLE"</formula>
    </cfRule>
  </conditionalFormatting>
  <conditionalFormatting sqref="Q40:R43">
    <cfRule type="cellIs" dxfId="2877" priority="3055" stopIfTrue="1" operator="equal">
      <formula>0</formula>
    </cfRule>
  </conditionalFormatting>
  <conditionalFormatting sqref="Q40:R43 O40:O43 O46:O47 Q46:R47">
    <cfRule type="cellIs" dxfId="2876" priority="3056" operator="equal">
      <formula>"CUMPLE"</formula>
    </cfRule>
  </conditionalFormatting>
  <conditionalFormatting sqref="O37:O39">
    <cfRule type="cellIs" dxfId="2875" priority="3053" stopIfTrue="1" operator="greaterThan">
      <formula>0</formula>
    </cfRule>
  </conditionalFormatting>
  <conditionalFormatting sqref="O37:O39">
    <cfRule type="cellIs" dxfId="2874" priority="3052" stopIfTrue="1" operator="greaterThan">
      <formula>0</formula>
    </cfRule>
  </conditionalFormatting>
  <conditionalFormatting sqref="O40:O43 O46:O47">
    <cfRule type="cellIs" dxfId="2873" priority="3049" operator="equal">
      <formula>"NO CUMPLE"</formula>
    </cfRule>
    <cfRule type="cellIs" dxfId="2872" priority="3051" stopIfTrue="1" operator="greaterThan">
      <formula>0</formula>
    </cfRule>
  </conditionalFormatting>
  <conditionalFormatting sqref="O40:O43">
    <cfRule type="cellIs" dxfId="2871" priority="3050" stopIfTrue="1" operator="equal">
      <formula>0</formula>
    </cfRule>
  </conditionalFormatting>
  <conditionalFormatting sqref="B44:L45">
    <cfRule type="cellIs" dxfId="2870" priority="3047" stopIfTrue="1" operator="greaterThan">
      <formula>0</formula>
    </cfRule>
  </conditionalFormatting>
  <conditionalFormatting sqref="M44:N45">
    <cfRule type="cellIs" dxfId="2869" priority="3048" stopIfTrue="1" operator="greaterThan">
      <formula>0</formula>
    </cfRule>
  </conditionalFormatting>
  <conditionalFormatting sqref="N44:N45">
    <cfRule type="cellIs" dxfId="2868" priority="3046" operator="equal">
      <formula>0</formula>
    </cfRule>
  </conditionalFormatting>
  <conditionalFormatting sqref="R44:R45">
    <cfRule type="cellIs" dxfId="2867" priority="3045" stopIfTrue="1" operator="greaterThan">
      <formula>0</formula>
    </cfRule>
  </conditionalFormatting>
  <conditionalFormatting sqref="R44:R45">
    <cfRule type="cellIs" dxfId="2866" priority="3043" operator="equal">
      <formula>"CUMPLE"</formula>
    </cfRule>
    <cfRule type="cellIs" dxfId="2865" priority="3044" operator="equal">
      <formula>"NO CUMPLE"</formula>
    </cfRule>
  </conditionalFormatting>
  <conditionalFormatting sqref="Q44:Q45">
    <cfRule type="cellIs" dxfId="2864" priority="3038" operator="equal">
      <formula>"NO CUMPLE"</formula>
    </cfRule>
    <cfRule type="cellIs" dxfId="2863" priority="3042" stopIfTrue="1" operator="greaterThan">
      <formula>0</formula>
    </cfRule>
  </conditionalFormatting>
  <conditionalFormatting sqref="Q44:Q45 O44:O45">
    <cfRule type="cellIs" dxfId="2862" priority="3041" operator="equal">
      <formula>"NO CUMPLE"</formula>
    </cfRule>
  </conditionalFormatting>
  <conditionalFormatting sqref="Q44:R45">
    <cfRule type="cellIs" dxfId="2861" priority="3039" stopIfTrue="1" operator="equal">
      <formula>0</formula>
    </cfRule>
  </conditionalFormatting>
  <conditionalFormatting sqref="Q44:R45 O44:O45">
    <cfRule type="cellIs" dxfId="2860" priority="3040" operator="equal">
      <formula>"CUMPLE"</formula>
    </cfRule>
  </conditionalFormatting>
  <conditionalFormatting sqref="O44:O45">
    <cfRule type="cellIs" dxfId="2859" priority="3035" operator="equal">
      <formula>"NO CUMPLE"</formula>
    </cfRule>
    <cfRule type="cellIs" dxfId="2858" priority="3037" stopIfTrue="1" operator="greaterThan">
      <formula>0</formula>
    </cfRule>
  </conditionalFormatting>
  <conditionalFormatting sqref="O44:O45">
    <cfRule type="cellIs" dxfId="2857" priority="3036" stopIfTrue="1" operator="equal">
      <formula>0</formula>
    </cfRule>
  </conditionalFormatting>
  <conditionalFormatting sqref="S37:S39">
    <cfRule type="cellIs" dxfId="2856" priority="3034" stopIfTrue="1" operator="greaterThan">
      <formula>0</formula>
    </cfRule>
  </conditionalFormatting>
  <conditionalFormatting sqref="S37:S39">
    <cfRule type="cellIs" dxfId="2855" priority="3033" stopIfTrue="1" operator="greaterThan">
      <formula>0</formula>
    </cfRule>
  </conditionalFormatting>
  <conditionalFormatting sqref="S40:S47">
    <cfRule type="cellIs" dxfId="2854" priority="3028" operator="equal">
      <formula>"NO CUMPLE"</formula>
    </cfRule>
    <cfRule type="cellIs" dxfId="2853" priority="3032" stopIfTrue="1" operator="greaterThan">
      <formula>0</formula>
    </cfRule>
  </conditionalFormatting>
  <conditionalFormatting sqref="S40:S47">
    <cfRule type="cellIs" dxfId="2852" priority="3031" operator="equal">
      <formula>"NO CUMPLE"</formula>
    </cfRule>
  </conditionalFormatting>
  <conditionalFormatting sqref="S40:S45">
    <cfRule type="cellIs" dxfId="2851" priority="3029" stopIfTrue="1" operator="equal">
      <formula>0</formula>
    </cfRule>
  </conditionalFormatting>
  <conditionalFormatting sqref="S40:S47">
    <cfRule type="cellIs" dxfId="2850" priority="3030" operator="equal">
      <formula>"CUMPLE"</formula>
    </cfRule>
  </conditionalFormatting>
  <conditionalFormatting sqref="T37:U47">
    <cfRule type="cellIs" dxfId="2849" priority="3027" stopIfTrue="1" operator="greaterThan">
      <formula>0</formula>
    </cfRule>
  </conditionalFormatting>
  <conditionalFormatting sqref="T47:U47">
    <cfRule type="cellIs" dxfId="2848" priority="3023" operator="equal">
      <formula>"NO CUMPLE"</formula>
    </cfRule>
    <cfRule type="cellIs" dxfId="2847" priority="3026" stopIfTrue="1" operator="greaterThan">
      <formula>0</formula>
    </cfRule>
  </conditionalFormatting>
  <conditionalFormatting sqref="T47:U47">
    <cfRule type="cellIs" dxfId="2846" priority="3025" operator="equal">
      <formula>"NO CUMPLE"</formula>
    </cfRule>
  </conditionalFormatting>
  <conditionalFormatting sqref="T47:U47">
    <cfRule type="cellIs" dxfId="2845" priority="3024" operator="equal">
      <formula>"CUMPLE"</formula>
    </cfRule>
  </conditionalFormatting>
  <conditionalFormatting sqref="T40:U46">
    <cfRule type="cellIs" dxfId="2844" priority="3019" operator="equal">
      <formula>"NO CUMPLE"</formula>
    </cfRule>
  </conditionalFormatting>
  <conditionalFormatting sqref="T40:U46">
    <cfRule type="cellIs" dxfId="2843" priority="3022" operator="equal">
      <formula>"NO CUMPLE"</formula>
    </cfRule>
  </conditionalFormatting>
  <conditionalFormatting sqref="T40:U46">
    <cfRule type="cellIs" dxfId="2842" priority="3020" stopIfTrue="1" operator="equal">
      <formula>0</formula>
    </cfRule>
  </conditionalFormatting>
  <conditionalFormatting sqref="T40:U46">
    <cfRule type="cellIs" dxfId="2841" priority="3021" operator="equal">
      <formula>"CUMPLE"</formula>
    </cfRule>
  </conditionalFormatting>
  <conditionalFormatting sqref="M67:N67">
    <cfRule type="cellIs" dxfId="2840" priority="3014" stopIfTrue="1" operator="equal">
      <formula>"NO CUMPLE"</formula>
    </cfRule>
    <cfRule type="cellIs" dxfId="2839" priority="3015" stopIfTrue="1" operator="equal">
      <formula>"CUMPLE"</formula>
    </cfRule>
  </conditionalFormatting>
  <conditionalFormatting sqref="B57:B61 B64:N64 C58:L61">
    <cfRule type="cellIs" dxfId="2838" priority="3016" stopIfTrue="1" operator="greaterThan">
      <formula>0</formula>
    </cfRule>
  </conditionalFormatting>
  <conditionalFormatting sqref="M58:N61">
    <cfRule type="cellIs" dxfId="2837" priority="3017" stopIfTrue="1" operator="greaterThan">
      <formula>0</formula>
    </cfRule>
  </conditionalFormatting>
  <conditionalFormatting sqref="B55:B56 C57 D55:N57 C55 P55:R57">
    <cfRule type="cellIs" dxfId="2836" priority="3018" stopIfTrue="1" operator="greaterThan">
      <formula>0</formula>
    </cfRule>
  </conditionalFormatting>
  <conditionalFormatting sqref="G55:G57">
    <cfRule type="cellIs" dxfId="2835" priority="3013" stopIfTrue="1" operator="greaterThan">
      <formula>0</formula>
    </cfRule>
  </conditionalFormatting>
  <conditionalFormatting sqref="N58:N61">
    <cfRule type="cellIs" dxfId="2834" priority="3012" operator="equal">
      <formula>0</formula>
    </cfRule>
  </conditionalFormatting>
  <conditionalFormatting sqref="R58:R61 R64:R65">
    <cfRule type="cellIs" dxfId="2833" priority="3010" stopIfTrue="1" operator="greaterThan">
      <formula>0</formula>
    </cfRule>
  </conditionalFormatting>
  <conditionalFormatting sqref="R55:R57">
    <cfRule type="cellIs" dxfId="2832" priority="3011" stopIfTrue="1" operator="greaterThan">
      <formula>0</formula>
    </cfRule>
  </conditionalFormatting>
  <conditionalFormatting sqref="R59:R61 R64:R65">
    <cfRule type="cellIs" dxfId="2831" priority="3008" operator="equal">
      <formula>"CUMPLE"</formula>
    </cfRule>
    <cfRule type="cellIs" dxfId="2830" priority="3009" operator="equal">
      <formula>"NO CUMPLE"</formula>
    </cfRule>
  </conditionalFormatting>
  <conditionalFormatting sqref="Q55:Q57">
    <cfRule type="cellIs" dxfId="2829" priority="3007" stopIfTrue="1" operator="greaterThan">
      <formula>0</formula>
    </cfRule>
  </conditionalFormatting>
  <conditionalFormatting sqref="Q58:Q61 Q64:Q65">
    <cfRule type="cellIs" dxfId="2828" priority="3002" operator="equal">
      <formula>"NO CUMPLE"</formula>
    </cfRule>
    <cfRule type="cellIs" dxfId="2827" priority="3006" stopIfTrue="1" operator="greaterThan">
      <formula>0</formula>
    </cfRule>
  </conditionalFormatting>
  <conditionalFormatting sqref="Q58:Q61 O58:O61 O64:O65 Q64:Q65">
    <cfRule type="cellIs" dxfId="2826" priority="3005" operator="equal">
      <formula>"NO CUMPLE"</formula>
    </cfRule>
  </conditionalFormatting>
  <conditionalFormatting sqref="Q58:R61">
    <cfRule type="cellIs" dxfId="2825" priority="3003" stopIfTrue="1" operator="equal">
      <formula>0</formula>
    </cfRule>
  </conditionalFormatting>
  <conditionalFormatting sqref="Q58:R61 O58:O61 O64:O65 Q64:R65">
    <cfRule type="cellIs" dxfId="2824" priority="3004" operator="equal">
      <formula>"CUMPLE"</formula>
    </cfRule>
  </conditionalFormatting>
  <conditionalFormatting sqref="O55:O57">
    <cfRule type="cellIs" dxfId="2823" priority="3001" stopIfTrue="1" operator="greaterThan">
      <formula>0</formula>
    </cfRule>
  </conditionalFormatting>
  <conditionalFormatting sqref="O55:O57">
    <cfRule type="cellIs" dxfId="2822" priority="3000" stopIfTrue="1" operator="greaterThan">
      <formula>0</formula>
    </cfRule>
  </conditionalFormatting>
  <conditionalFormatting sqref="O58:O61 O64:O65">
    <cfRule type="cellIs" dxfId="2821" priority="2997" operator="equal">
      <formula>"NO CUMPLE"</formula>
    </cfRule>
    <cfRule type="cellIs" dxfId="2820" priority="2999" stopIfTrue="1" operator="greaterThan">
      <formula>0</formula>
    </cfRule>
  </conditionalFormatting>
  <conditionalFormatting sqref="O58:O61">
    <cfRule type="cellIs" dxfId="2819" priority="2998" stopIfTrue="1" operator="equal">
      <formula>0</formula>
    </cfRule>
  </conditionalFormatting>
  <conditionalFormatting sqref="B62:L63">
    <cfRule type="cellIs" dxfId="2818" priority="2995" stopIfTrue="1" operator="greaterThan">
      <formula>0</formula>
    </cfRule>
  </conditionalFormatting>
  <conditionalFormatting sqref="M62:N63">
    <cfRule type="cellIs" dxfId="2817" priority="2996" stopIfTrue="1" operator="greaterThan">
      <formula>0</formula>
    </cfRule>
  </conditionalFormatting>
  <conditionalFormatting sqref="N62:N63">
    <cfRule type="cellIs" dxfId="2816" priority="2994" operator="equal">
      <formula>0</formula>
    </cfRule>
  </conditionalFormatting>
  <conditionalFormatting sqref="R62:R63">
    <cfRule type="cellIs" dxfId="2815" priority="2993" stopIfTrue="1" operator="greaterThan">
      <formula>0</formula>
    </cfRule>
  </conditionalFormatting>
  <conditionalFormatting sqref="R62:R63">
    <cfRule type="cellIs" dxfId="2814" priority="2991" operator="equal">
      <formula>"CUMPLE"</formula>
    </cfRule>
    <cfRule type="cellIs" dxfId="2813" priority="2992" operator="equal">
      <formula>"NO CUMPLE"</formula>
    </cfRule>
  </conditionalFormatting>
  <conditionalFormatting sqref="Q62:Q63">
    <cfRule type="cellIs" dxfId="2812" priority="2986" operator="equal">
      <formula>"NO CUMPLE"</formula>
    </cfRule>
    <cfRule type="cellIs" dxfId="2811" priority="2990" stopIfTrue="1" operator="greaterThan">
      <formula>0</formula>
    </cfRule>
  </conditionalFormatting>
  <conditionalFormatting sqref="Q62:Q63 O62:O63">
    <cfRule type="cellIs" dxfId="2810" priority="2989" operator="equal">
      <formula>"NO CUMPLE"</formula>
    </cfRule>
  </conditionalFormatting>
  <conditionalFormatting sqref="Q62:R63">
    <cfRule type="cellIs" dxfId="2809" priority="2987" stopIfTrue="1" operator="equal">
      <formula>0</formula>
    </cfRule>
  </conditionalFormatting>
  <conditionalFormatting sqref="Q62:R63 O62:O63">
    <cfRule type="cellIs" dxfId="2808" priority="2988" operator="equal">
      <formula>"CUMPLE"</formula>
    </cfRule>
  </conditionalFormatting>
  <conditionalFormatting sqref="O62:O63">
    <cfRule type="cellIs" dxfId="2807" priority="2983" operator="equal">
      <formula>"NO CUMPLE"</formula>
    </cfRule>
    <cfRule type="cellIs" dxfId="2806" priority="2985" stopIfTrue="1" operator="greaterThan">
      <formula>0</formula>
    </cfRule>
  </conditionalFormatting>
  <conditionalFormatting sqref="O62:O63">
    <cfRule type="cellIs" dxfId="2805" priority="2984" stopIfTrue="1" operator="equal">
      <formula>0</formula>
    </cfRule>
  </conditionalFormatting>
  <conditionalFormatting sqref="S55:S57">
    <cfRule type="cellIs" dxfId="2804" priority="2982" stopIfTrue="1" operator="greaterThan">
      <formula>0</formula>
    </cfRule>
  </conditionalFormatting>
  <conditionalFormatting sqref="S55:S57">
    <cfRule type="cellIs" dxfId="2803" priority="2981" stopIfTrue="1" operator="greaterThan">
      <formula>0</formula>
    </cfRule>
  </conditionalFormatting>
  <conditionalFormatting sqref="S58:S65">
    <cfRule type="cellIs" dxfId="2802" priority="2976" operator="equal">
      <formula>"NO CUMPLE"</formula>
    </cfRule>
    <cfRule type="cellIs" dxfId="2801" priority="2980" stopIfTrue="1" operator="greaterThan">
      <formula>0</formula>
    </cfRule>
  </conditionalFormatting>
  <conditionalFormatting sqref="S58:S65">
    <cfRule type="cellIs" dxfId="2800" priority="2979" operator="equal">
      <formula>"NO CUMPLE"</formula>
    </cfRule>
  </conditionalFormatting>
  <conditionalFormatting sqref="S58:S63">
    <cfRule type="cellIs" dxfId="2799" priority="2977" stopIfTrue="1" operator="equal">
      <formula>0</formula>
    </cfRule>
  </conditionalFormatting>
  <conditionalFormatting sqref="S58:S65">
    <cfRule type="cellIs" dxfId="2798" priority="2978" operator="equal">
      <formula>"CUMPLE"</formula>
    </cfRule>
  </conditionalFormatting>
  <conditionalFormatting sqref="T55:U65">
    <cfRule type="cellIs" dxfId="2797" priority="2975" stopIfTrue="1" operator="greaterThan">
      <formula>0</formula>
    </cfRule>
  </conditionalFormatting>
  <conditionalFormatting sqref="T65:U65">
    <cfRule type="cellIs" dxfId="2796" priority="2971" operator="equal">
      <formula>"NO CUMPLE"</formula>
    </cfRule>
    <cfRule type="cellIs" dxfId="2795" priority="2974" stopIfTrue="1" operator="greaterThan">
      <formula>0</formula>
    </cfRule>
  </conditionalFormatting>
  <conditionalFormatting sqref="T65:U65">
    <cfRule type="cellIs" dxfId="2794" priority="2973" operator="equal">
      <formula>"NO CUMPLE"</formula>
    </cfRule>
  </conditionalFormatting>
  <conditionalFormatting sqref="T65:U65">
    <cfRule type="cellIs" dxfId="2793" priority="2972" operator="equal">
      <formula>"CUMPLE"</formula>
    </cfRule>
  </conditionalFormatting>
  <conditionalFormatting sqref="T58:U64">
    <cfRule type="cellIs" dxfId="2792" priority="2967" operator="equal">
      <formula>"NO CUMPLE"</formula>
    </cfRule>
  </conditionalFormatting>
  <conditionalFormatting sqref="T58:U64">
    <cfRule type="cellIs" dxfId="2791" priority="2970" operator="equal">
      <formula>"NO CUMPLE"</formula>
    </cfRule>
  </conditionalFormatting>
  <conditionalFormatting sqref="T58:U64">
    <cfRule type="cellIs" dxfId="2790" priority="2968" stopIfTrue="1" operator="equal">
      <formula>0</formula>
    </cfRule>
  </conditionalFormatting>
  <conditionalFormatting sqref="T58:U64">
    <cfRule type="cellIs" dxfId="2789" priority="2969" operator="equal">
      <formula>"CUMPLE"</formula>
    </cfRule>
  </conditionalFormatting>
  <conditionalFormatting sqref="M85:N85">
    <cfRule type="cellIs" dxfId="2788" priority="2962" stopIfTrue="1" operator="equal">
      <formula>"NO CUMPLE"</formula>
    </cfRule>
    <cfRule type="cellIs" dxfId="2787" priority="2963" stopIfTrue="1" operator="equal">
      <formula>"CUMPLE"</formula>
    </cfRule>
  </conditionalFormatting>
  <conditionalFormatting sqref="B75:B79 B82:N82 C76:L79">
    <cfRule type="cellIs" dxfId="2786" priority="2964" stopIfTrue="1" operator="greaterThan">
      <formula>0</formula>
    </cfRule>
  </conditionalFormatting>
  <conditionalFormatting sqref="M76:N79">
    <cfRule type="cellIs" dxfId="2785" priority="2965" stopIfTrue="1" operator="greaterThan">
      <formula>0</formula>
    </cfRule>
  </conditionalFormatting>
  <conditionalFormatting sqref="B73:B74 C75 D73:N75 C73 P73:R75">
    <cfRule type="cellIs" dxfId="2784" priority="2966" stopIfTrue="1" operator="greaterThan">
      <formula>0</formula>
    </cfRule>
  </conditionalFormatting>
  <conditionalFormatting sqref="G73:G75">
    <cfRule type="cellIs" dxfId="2783" priority="2961" stopIfTrue="1" operator="greaterThan">
      <formula>0</formula>
    </cfRule>
  </conditionalFormatting>
  <conditionalFormatting sqref="N76:N79">
    <cfRule type="cellIs" dxfId="2782" priority="2960" operator="equal">
      <formula>0</formula>
    </cfRule>
  </conditionalFormatting>
  <conditionalFormatting sqref="R76:R79 R82:R83">
    <cfRule type="cellIs" dxfId="2781" priority="2958" stopIfTrue="1" operator="greaterThan">
      <formula>0</formula>
    </cfRule>
  </conditionalFormatting>
  <conditionalFormatting sqref="R73:R75">
    <cfRule type="cellIs" dxfId="2780" priority="2959" stopIfTrue="1" operator="greaterThan">
      <formula>0</formula>
    </cfRule>
  </conditionalFormatting>
  <conditionalFormatting sqref="R77:R79 R82:R83">
    <cfRule type="cellIs" dxfId="2779" priority="2956" operator="equal">
      <formula>"CUMPLE"</formula>
    </cfRule>
    <cfRule type="cellIs" dxfId="2778" priority="2957" operator="equal">
      <formula>"NO CUMPLE"</formula>
    </cfRule>
  </conditionalFormatting>
  <conditionalFormatting sqref="Q73:Q75">
    <cfRule type="cellIs" dxfId="2777" priority="2955" stopIfTrue="1" operator="greaterThan">
      <formula>0</formula>
    </cfRule>
  </conditionalFormatting>
  <conditionalFormatting sqref="Q76:Q79 Q82:Q83">
    <cfRule type="cellIs" dxfId="2776" priority="2950" operator="equal">
      <formula>"NO CUMPLE"</formula>
    </cfRule>
    <cfRule type="cellIs" dxfId="2775" priority="2954" stopIfTrue="1" operator="greaterThan">
      <formula>0</formula>
    </cfRule>
  </conditionalFormatting>
  <conditionalFormatting sqref="Q76:Q79 O76:O79 O82:O83 Q82:Q83">
    <cfRule type="cellIs" dxfId="2774" priority="2953" operator="equal">
      <formula>"NO CUMPLE"</formula>
    </cfRule>
  </conditionalFormatting>
  <conditionalFormatting sqref="Q76:R79">
    <cfRule type="cellIs" dxfId="2773" priority="2951" stopIfTrue="1" operator="equal">
      <formula>0</formula>
    </cfRule>
  </conditionalFormatting>
  <conditionalFormatting sqref="Q76:R79 O76:O79 O82:O83 Q82:R83">
    <cfRule type="cellIs" dxfId="2772" priority="2952" operator="equal">
      <formula>"CUMPLE"</formula>
    </cfRule>
  </conditionalFormatting>
  <conditionalFormatting sqref="O73:O75">
    <cfRule type="cellIs" dxfId="2771" priority="2949" stopIfTrue="1" operator="greaterThan">
      <formula>0</formula>
    </cfRule>
  </conditionalFormatting>
  <conditionalFormatting sqref="O73:O75">
    <cfRule type="cellIs" dxfId="2770" priority="2948" stopIfTrue="1" operator="greaterThan">
      <formula>0</formula>
    </cfRule>
  </conditionalFormatting>
  <conditionalFormatting sqref="O76:O79 O82:O83">
    <cfRule type="cellIs" dxfId="2769" priority="2945" operator="equal">
      <formula>"NO CUMPLE"</formula>
    </cfRule>
    <cfRule type="cellIs" dxfId="2768" priority="2947" stopIfTrue="1" operator="greaterThan">
      <formula>0</formula>
    </cfRule>
  </conditionalFormatting>
  <conditionalFormatting sqref="O76:O79">
    <cfRule type="cellIs" dxfId="2767" priority="2946" stopIfTrue="1" operator="equal">
      <formula>0</formula>
    </cfRule>
  </conditionalFormatting>
  <conditionalFormatting sqref="B80:L81">
    <cfRule type="cellIs" dxfId="2766" priority="2943" stopIfTrue="1" operator="greaterThan">
      <formula>0</formula>
    </cfRule>
  </conditionalFormatting>
  <conditionalFormatting sqref="M80:N81">
    <cfRule type="cellIs" dxfId="2765" priority="2944" stopIfTrue="1" operator="greaterThan">
      <formula>0</formula>
    </cfRule>
  </conditionalFormatting>
  <conditionalFormatting sqref="N80:N81">
    <cfRule type="cellIs" dxfId="2764" priority="2942" operator="equal">
      <formula>0</formula>
    </cfRule>
  </conditionalFormatting>
  <conditionalFormatting sqref="R80:R81">
    <cfRule type="cellIs" dxfId="2763" priority="2941" stopIfTrue="1" operator="greaterThan">
      <formula>0</formula>
    </cfRule>
  </conditionalFormatting>
  <conditionalFormatting sqref="R80:R81">
    <cfRule type="cellIs" dxfId="2762" priority="2939" operator="equal">
      <formula>"CUMPLE"</formula>
    </cfRule>
    <cfRule type="cellIs" dxfId="2761" priority="2940" operator="equal">
      <formula>"NO CUMPLE"</formula>
    </cfRule>
  </conditionalFormatting>
  <conditionalFormatting sqref="Q80:Q81">
    <cfRule type="cellIs" dxfId="2760" priority="2934" operator="equal">
      <formula>"NO CUMPLE"</formula>
    </cfRule>
    <cfRule type="cellIs" dxfId="2759" priority="2938" stopIfTrue="1" operator="greaterThan">
      <formula>0</formula>
    </cfRule>
  </conditionalFormatting>
  <conditionalFormatting sqref="Q80:Q81 O80:O81">
    <cfRule type="cellIs" dxfId="2758" priority="2937" operator="equal">
      <formula>"NO CUMPLE"</formula>
    </cfRule>
  </conditionalFormatting>
  <conditionalFormatting sqref="Q80:R81">
    <cfRule type="cellIs" dxfId="2757" priority="2935" stopIfTrue="1" operator="equal">
      <formula>0</formula>
    </cfRule>
  </conditionalFormatting>
  <conditionalFormatting sqref="Q80:R81 O80:O81">
    <cfRule type="cellIs" dxfId="2756" priority="2936" operator="equal">
      <formula>"CUMPLE"</formula>
    </cfRule>
  </conditionalFormatting>
  <conditionalFormatting sqref="O80:O81">
    <cfRule type="cellIs" dxfId="2755" priority="2931" operator="equal">
      <formula>"NO CUMPLE"</formula>
    </cfRule>
    <cfRule type="cellIs" dxfId="2754" priority="2933" stopIfTrue="1" operator="greaterThan">
      <formula>0</formula>
    </cfRule>
  </conditionalFormatting>
  <conditionalFormatting sqref="O80:O81">
    <cfRule type="cellIs" dxfId="2753" priority="2932" stopIfTrue="1" operator="equal">
      <formula>0</formula>
    </cfRule>
  </conditionalFormatting>
  <conditionalFormatting sqref="S73:S75">
    <cfRule type="cellIs" dxfId="2752" priority="2930" stopIfTrue="1" operator="greaterThan">
      <formula>0</formula>
    </cfRule>
  </conditionalFormatting>
  <conditionalFormatting sqref="S73:S75">
    <cfRule type="cellIs" dxfId="2751" priority="2929" stopIfTrue="1" operator="greaterThan">
      <formula>0</formula>
    </cfRule>
  </conditionalFormatting>
  <conditionalFormatting sqref="S76:S83">
    <cfRule type="cellIs" dxfId="2750" priority="2924" operator="equal">
      <formula>"NO CUMPLE"</formula>
    </cfRule>
    <cfRule type="cellIs" dxfId="2749" priority="2928" stopIfTrue="1" operator="greaterThan">
      <formula>0</formula>
    </cfRule>
  </conditionalFormatting>
  <conditionalFormatting sqref="S76:S83">
    <cfRule type="cellIs" dxfId="2748" priority="2927" operator="equal">
      <formula>"NO CUMPLE"</formula>
    </cfRule>
  </conditionalFormatting>
  <conditionalFormatting sqref="S76:S81">
    <cfRule type="cellIs" dxfId="2747" priority="2925" stopIfTrue="1" operator="equal">
      <formula>0</formula>
    </cfRule>
  </conditionalFormatting>
  <conditionalFormatting sqref="S76:S83">
    <cfRule type="cellIs" dxfId="2746" priority="2926" operator="equal">
      <formula>"CUMPLE"</formula>
    </cfRule>
  </conditionalFormatting>
  <conditionalFormatting sqref="T73:U83">
    <cfRule type="cellIs" dxfId="2745" priority="2923" stopIfTrue="1" operator="greaterThan">
      <formula>0</formula>
    </cfRule>
  </conditionalFormatting>
  <conditionalFormatting sqref="T83:U83">
    <cfRule type="cellIs" dxfId="2744" priority="2919" operator="equal">
      <formula>"NO CUMPLE"</formula>
    </cfRule>
    <cfRule type="cellIs" dxfId="2743" priority="2922" stopIfTrue="1" operator="greaterThan">
      <formula>0</formula>
    </cfRule>
  </conditionalFormatting>
  <conditionalFormatting sqref="T83:U83">
    <cfRule type="cellIs" dxfId="2742" priority="2921" operator="equal">
      <formula>"NO CUMPLE"</formula>
    </cfRule>
  </conditionalFormatting>
  <conditionalFormatting sqref="T83:U83">
    <cfRule type="cellIs" dxfId="2741" priority="2920" operator="equal">
      <formula>"CUMPLE"</formula>
    </cfRule>
  </conditionalFormatting>
  <conditionalFormatting sqref="T76:U82">
    <cfRule type="cellIs" dxfId="2740" priority="2915" operator="equal">
      <formula>"NO CUMPLE"</formula>
    </cfRule>
  </conditionalFormatting>
  <conditionalFormatting sqref="T76:U82">
    <cfRule type="cellIs" dxfId="2739" priority="2918" operator="equal">
      <formula>"NO CUMPLE"</formula>
    </cfRule>
  </conditionalFormatting>
  <conditionalFormatting sqref="T76:U82">
    <cfRule type="cellIs" dxfId="2738" priority="2916" stopIfTrue="1" operator="equal">
      <formula>0</formula>
    </cfRule>
  </conditionalFormatting>
  <conditionalFormatting sqref="T76:U82">
    <cfRule type="cellIs" dxfId="2737" priority="2917" operator="equal">
      <formula>"CUMPLE"</formula>
    </cfRule>
  </conditionalFormatting>
  <conditionalFormatting sqref="M103:N103">
    <cfRule type="cellIs" dxfId="2736" priority="2910" stopIfTrue="1" operator="equal">
      <formula>"NO CUMPLE"</formula>
    </cfRule>
    <cfRule type="cellIs" dxfId="2735" priority="2911" stopIfTrue="1" operator="equal">
      <formula>"CUMPLE"</formula>
    </cfRule>
  </conditionalFormatting>
  <conditionalFormatting sqref="B93:B97 C94:L97 B100:N100">
    <cfRule type="cellIs" dxfId="2734" priority="2912" stopIfTrue="1" operator="greaterThan">
      <formula>0</formula>
    </cfRule>
  </conditionalFormatting>
  <conditionalFormatting sqref="M94:N97">
    <cfRule type="cellIs" dxfId="2733" priority="2913" stopIfTrue="1" operator="greaterThan">
      <formula>0</formula>
    </cfRule>
  </conditionalFormatting>
  <conditionalFormatting sqref="B91:B92 C93 D91:N93 C91 P91:R93">
    <cfRule type="cellIs" dxfId="2732" priority="2914" stopIfTrue="1" operator="greaterThan">
      <formula>0</formula>
    </cfRule>
  </conditionalFormatting>
  <conditionalFormatting sqref="G91:G93">
    <cfRule type="cellIs" dxfId="2731" priority="2909" stopIfTrue="1" operator="greaterThan">
      <formula>0</formula>
    </cfRule>
  </conditionalFormatting>
  <conditionalFormatting sqref="N94:N97">
    <cfRule type="cellIs" dxfId="2730" priority="2908" operator="equal">
      <formula>0</formula>
    </cfRule>
  </conditionalFormatting>
  <conditionalFormatting sqref="R94:R97 R100:R101">
    <cfRule type="cellIs" dxfId="2729" priority="2906" stopIfTrue="1" operator="greaterThan">
      <formula>0</formula>
    </cfRule>
  </conditionalFormatting>
  <conditionalFormatting sqref="R91:R93">
    <cfRule type="cellIs" dxfId="2728" priority="2907" stopIfTrue="1" operator="greaterThan">
      <formula>0</formula>
    </cfRule>
  </conditionalFormatting>
  <conditionalFormatting sqref="R95:R97 R100:R101">
    <cfRule type="cellIs" dxfId="2727" priority="2904" operator="equal">
      <formula>"CUMPLE"</formula>
    </cfRule>
    <cfRule type="cellIs" dxfId="2726" priority="2905" operator="equal">
      <formula>"NO CUMPLE"</formula>
    </cfRule>
  </conditionalFormatting>
  <conditionalFormatting sqref="Q91:Q93">
    <cfRule type="cellIs" dxfId="2725" priority="2903" stopIfTrue="1" operator="greaterThan">
      <formula>0</formula>
    </cfRule>
  </conditionalFormatting>
  <conditionalFormatting sqref="Q94:Q97 Q100:Q101">
    <cfRule type="cellIs" dxfId="2724" priority="2898" operator="equal">
      <formula>"NO CUMPLE"</formula>
    </cfRule>
    <cfRule type="cellIs" dxfId="2723" priority="2902" stopIfTrue="1" operator="greaterThan">
      <formula>0</formula>
    </cfRule>
  </conditionalFormatting>
  <conditionalFormatting sqref="Q94:Q97 O94:O97 O100:O101 Q100:Q101">
    <cfRule type="cellIs" dxfId="2722" priority="2901" operator="equal">
      <formula>"NO CUMPLE"</formula>
    </cfRule>
  </conditionalFormatting>
  <conditionalFormatting sqref="Q94:R97">
    <cfRule type="cellIs" dxfId="2721" priority="2899" stopIfTrue="1" operator="equal">
      <formula>0</formula>
    </cfRule>
  </conditionalFormatting>
  <conditionalFormatting sqref="Q94:R97 O94:O97 O100:O101 Q100:R101">
    <cfRule type="cellIs" dxfId="2720" priority="2900" operator="equal">
      <formula>"CUMPLE"</formula>
    </cfRule>
  </conditionalFormatting>
  <conditionalFormatting sqref="O91:O93">
    <cfRule type="cellIs" dxfId="2719" priority="2897" stopIfTrue="1" operator="greaterThan">
      <formula>0</formula>
    </cfRule>
  </conditionalFormatting>
  <conditionalFormatting sqref="O91:O93">
    <cfRule type="cellIs" dxfId="2718" priority="2896" stopIfTrue="1" operator="greaterThan">
      <formula>0</formula>
    </cfRule>
  </conditionalFormatting>
  <conditionalFormatting sqref="O94:O97 O100:O101">
    <cfRule type="cellIs" dxfId="2717" priority="2893" operator="equal">
      <formula>"NO CUMPLE"</formula>
    </cfRule>
    <cfRule type="cellIs" dxfId="2716" priority="2895" stopIfTrue="1" operator="greaterThan">
      <formula>0</formula>
    </cfRule>
  </conditionalFormatting>
  <conditionalFormatting sqref="O94:O97">
    <cfRule type="cellIs" dxfId="2715" priority="2894" stopIfTrue="1" operator="equal">
      <formula>0</formula>
    </cfRule>
  </conditionalFormatting>
  <conditionalFormatting sqref="B98:L99">
    <cfRule type="cellIs" dxfId="2714" priority="2891" stopIfTrue="1" operator="greaterThan">
      <formula>0</formula>
    </cfRule>
  </conditionalFormatting>
  <conditionalFormatting sqref="M98:N99">
    <cfRule type="cellIs" dxfId="2713" priority="2892" stopIfTrue="1" operator="greaterThan">
      <formula>0</formula>
    </cfRule>
  </conditionalFormatting>
  <conditionalFormatting sqref="N98:N99">
    <cfRule type="cellIs" dxfId="2712" priority="2890" operator="equal">
      <formula>0</formula>
    </cfRule>
  </conditionalFormatting>
  <conditionalFormatting sqref="R98:R99">
    <cfRule type="cellIs" dxfId="2711" priority="2889" stopIfTrue="1" operator="greaterThan">
      <formula>0</formula>
    </cfRule>
  </conditionalFormatting>
  <conditionalFormatting sqref="R98:R99">
    <cfRule type="cellIs" dxfId="2710" priority="2887" operator="equal">
      <formula>"CUMPLE"</formula>
    </cfRule>
    <cfRule type="cellIs" dxfId="2709" priority="2888" operator="equal">
      <formula>"NO CUMPLE"</formula>
    </cfRule>
  </conditionalFormatting>
  <conditionalFormatting sqref="Q98:Q99">
    <cfRule type="cellIs" dxfId="2708" priority="2882" operator="equal">
      <formula>"NO CUMPLE"</formula>
    </cfRule>
    <cfRule type="cellIs" dxfId="2707" priority="2886" stopIfTrue="1" operator="greaterThan">
      <formula>0</formula>
    </cfRule>
  </conditionalFormatting>
  <conditionalFormatting sqref="Q98:Q99 O98:O99">
    <cfRule type="cellIs" dxfId="2706" priority="2885" operator="equal">
      <formula>"NO CUMPLE"</formula>
    </cfRule>
  </conditionalFormatting>
  <conditionalFormatting sqref="Q98:R99">
    <cfRule type="cellIs" dxfId="2705" priority="2883" stopIfTrue="1" operator="equal">
      <formula>0</formula>
    </cfRule>
  </conditionalFormatting>
  <conditionalFormatting sqref="Q98:R99 O98:O99">
    <cfRule type="cellIs" dxfId="2704" priority="2884" operator="equal">
      <formula>"CUMPLE"</formula>
    </cfRule>
  </conditionalFormatting>
  <conditionalFormatting sqref="O98:O99">
    <cfRule type="cellIs" dxfId="2703" priority="2879" operator="equal">
      <formula>"NO CUMPLE"</formula>
    </cfRule>
    <cfRule type="cellIs" dxfId="2702" priority="2881" stopIfTrue="1" operator="greaterThan">
      <formula>0</formula>
    </cfRule>
  </conditionalFormatting>
  <conditionalFormatting sqref="O98:O99">
    <cfRule type="cellIs" dxfId="2701" priority="2880" stopIfTrue="1" operator="equal">
      <formula>0</formula>
    </cfRule>
  </conditionalFormatting>
  <conditionalFormatting sqref="S91:S93">
    <cfRule type="cellIs" dxfId="2700" priority="2878" stopIfTrue="1" operator="greaterThan">
      <formula>0</formula>
    </cfRule>
  </conditionalFormatting>
  <conditionalFormatting sqref="S91:S93">
    <cfRule type="cellIs" dxfId="2699" priority="2877" stopIfTrue="1" operator="greaterThan">
      <formula>0</formula>
    </cfRule>
  </conditionalFormatting>
  <conditionalFormatting sqref="S94:S101">
    <cfRule type="cellIs" dxfId="2698" priority="2872" operator="equal">
      <formula>"NO CUMPLE"</formula>
    </cfRule>
    <cfRule type="cellIs" dxfId="2697" priority="2876" stopIfTrue="1" operator="greaterThan">
      <formula>0</formula>
    </cfRule>
  </conditionalFormatting>
  <conditionalFormatting sqref="S94:S101">
    <cfRule type="cellIs" dxfId="2696" priority="2875" operator="equal">
      <formula>"NO CUMPLE"</formula>
    </cfRule>
  </conditionalFormatting>
  <conditionalFormatting sqref="S94:S99">
    <cfRule type="cellIs" dxfId="2695" priority="2873" stopIfTrue="1" operator="equal">
      <formula>0</formula>
    </cfRule>
  </conditionalFormatting>
  <conditionalFormatting sqref="S94:S101">
    <cfRule type="cellIs" dxfId="2694" priority="2874" operator="equal">
      <formula>"CUMPLE"</formula>
    </cfRule>
  </conditionalFormatting>
  <conditionalFormatting sqref="T91:U101">
    <cfRule type="cellIs" dxfId="2693" priority="2871" stopIfTrue="1" operator="greaterThan">
      <formula>0</formula>
    </cfRule>
  </conditionalFormatting>
  <conditionalFormatting sqref="T101:U101">
    <cfRule type="cellIs" dxfId="2692" priority="2867" operator="equal">
      <formula>"NO CUMPLE"</formula>
    </cfRule>
    <cfRule type="cellIs" dxfId="2691" priority="2870" stopIfTrue="1" operator="greaterThan">
      <formula>0</formula>
    </cfRule>
  </conditionalFormatting>
  <conditionalFormatting sqref="T101:U101">
    <cfRule type="cellIs" dxfId="2690" priority="2869" operator="equal">
      <formula>"NO CUMPLE"</formula>
    </cfRule>
  </conditionalFormatting>
  <conditionalFormatting sqref="T101:U101">
    <cfRule type="cellIs" dxfId="2689" priority="2868" operator="equal">
      <formula>"CUMPLE"</formula>
    </cfRule>
  </conditionalFormatting>
  <conditionalFormatting sqref="T94:U100">
    <cfRule type="cellIs" dxfId="2688" priority="2863" operator="equal">
      <formula>"NO CUMPLE"</formula>
    </cfRule>
  </conditionalFormatting>
  <conditionalFormatting sqref="T94:U100">
    <cfRule type="cellIs" dxfId="2687" priority="2866" operator="equal">
      <formula>"NO CUMPLE"</formula>
    </cfRule>
  </conditionalFormatting>
  <conditionalFormatting sqref="T94:U100">
    <cfRule type="cellIs" dxfId="2686" priority="2864" stopIfTrue="1" operator="equal">
      <formula>0</formula>
    </cfRule>
  </conditionalFormatting>
  <conditionalFormatting sqref="T94:U100">
    <cfRule type="cellIs" dxfId="2685" priority="2865" operator="equal">
      <formula>"CUMPLE"</formula>
    </cfRule>
  </conditionalFormatting>
  <conditionalFormatting sqref="M121:N121">
    <cfRule type="cellIs" dxfId="2684" priority="2858" stopIfTrue="1" operator="equal">
      <formula>"NO CUMPLE"</formula>
    </cfRule>
    <cfRule type="cellIs" dxfId="2683" priority="2859" stopIfTrue="1" operator="equal">
      <formula>"CUMPLE"</formula>
    </cfRule>
  </conditionalFormatting>
  <conditionalFormatting sqref="B111:B115 C112:L115 B118:N118">
    <cfRule type="cellIs" dxfId="2682" priority="2860" stopIfTrue="1" operator="greaterThan">
      <formula>0</formula>
    </cfRule>
  </conditionalFormatting>
  <conditionalFormatting sqref="M112:N115">
    <cfRule type="cellIs" dxfId="2681" priority="2861" stopIfTrue="1" operator="greaterThan">
      <formula>0</formula>
    </cfRule>
  </conditionalFormatting>
  <conditionalFormatting sqref="B109:B110 C111 D109:N111 C109 P109:R111">
    <cfRule type="cellIs" dxfId="2680" priority="2862" stopIfTrue="1" operator="greaterThan">
      <formula>0</formula>
    </cfRule>
  </conditionalFormatting>
  <conditionalFormatting sqref="G109:G111">
    <cfRule type="cellIs" dxfId="2679" priority="2857" stopIfTrue="1" operator="greaterThan">
      <formula>0</formula>
    </cfRule>
  </conditionalFormatting>
  <conditionalFormatting sqref="N112:N115">
    <cfRule type="cellIs" dxfId="2678" priority="2856" operator="equal">
      <formula>0</formula>
    </cfRule>
  </conditionalFormatting>
  <conditionalFormatting sqref="R112:R115 R118:R119">
    <cfRule type="cellIs" dxfId="2677" priority="2854" stopIfTrue="1" operator="greaterThan">
      <formula>0</formula>
    </cfRule>
  </conditionalFormatting>
  <conditionalFormatting sqref="R109:R111">
    <cfRule type="cellIs" dxfId="2676" priority="2855" stopIfTrue="1" operator="greaterThan">
      <formula>0</formula>
    </cfRule>
  </conditionalFormatting>
  <conditionalFormatting sqref="R113:R115 R118:R119">
    <cfRule type="cellIs" dxfId="2675" priority="2852" operator="equal">
      <formula>"CUMPLE"</formula>
    </cfRule>
    <cfRule type="cellIs" dxfId="2674" priority="2853" operator="equal">
      <formula>"NO CUMPLE"</formula>
    </cfRule>
  </conditionalFormatting>
  <conditionalFormatting sqref="Q109:Q111">
    <cfRule type="cellIs" dxfId="2673" priority="2851" stopIfTrue="1" operator="greaterThan">
      <formula>0</formula>
    </cfRule>
  </conditionalFormatting>
  <conditionalFormatting sqref="Q112:Q115 Q118:Q119">
    <cfRule type="cellIs" dxfId="2672" priority="2846" operator="equal">
      <formula>"NO CUMPLE"</formula>
    </cfRule>
    <cfRule type="cellIs" dxfId="2671" priority="2850" stopIfTrue="1" operator="greaterThan">
      <formula>0</formula>
    </cfRule>
  </conditionalFormatting>
  <conditionalFormatting sqref="Q112:Q115 O112:O115 O118:O119 Q118:Q119">
    <cfRule type="cellIs" dxfId="2670" priority="2849" operator="equal">
      <formula>"NO CUMPLE"</formula>
    </cfRule>
  </conditionalFormatting>
  <conditionalFormatting sqref="Q112:R115">
    <cfRule type="cellIs" dxfId="2669" priority="2847" stopIfTrue="1" operator="equal">
      <formula>0</formula>
    </cfRule>
  </conditionalFormatting>
  <conditionalFormatting sqref="Q112:R115 O112:O115 O118:O119 Q118:R119">
    <cfRule type="cellIs" dxfId="2668" priority="2848" operator="equal">
      <formula>"CUMPLE"</formula>
    </cfRule>
  </conditionalFormatting>
  <conditionalFormatting sqref="O109:O111">
    <cfRule type="cellIs" dxfId="2667" priority="2845" stopIfTrue="1" operator="greaterThan">
      <formula>0</formula>
    </cfRule>
  </conditionalFormatting>
  <conditionalFormatting sqref="O109:O111">
    <cfRule type="cellIs" dxfId="2666" priority="2844" stopIfTrue="1" operator="greaterThan">
      <formula>0</formula>
    </cfRule>
  </conditionalFormatting>
  <conditionalFormatting sqref="O112:O115 O118:O119">
    <cfRule type="cellIs" dxfId="2665" priority="2841" operator="equal">
      <formula>"NO CUMPLE"</formula>
    </cfRule>
    <cfRule type="cellIs" dxfId="2664" priority="2843" stopIfTrue="1" operator="greaterThan">
      <formula>0</formula>
    </cfRule>
  </conditionalFormatting>
  <conditionalFormatting sqref="O112:O115">
    <cfRule type="cellIs" dxfId="2663" priority="2842" stopIfTrue="1" operator="equal">
      <formula>0</formula>
    </cfRule>
  </conditionalFormatting>
  <conditionalFormatting sqref="B116:L117">
    <cfRule type="cellIs" dxfId="2662" priority="2839" stopIfTrue="1" operator="greaterThan">
      <formula>0</formula>
    </cfRule>
  </conditionalFormatting>
  <conditionalFormatting sqref="M116:N117">
    <cfRule type="cellIs" dxfId="2661" priority="2840" stopIfTrue="1" operator="greaterThan">
      <formula>0</formula>
    </cfRule>
  </conditionalFormatting>
  <conditionalFormatting sqref="N116:N117">
    <cfRule type="cellIs" dxfId="2660" priority="2838" operator="equal">
      <formula>0</formula>
    </cfRule>
  </conditionalFormatting>
  <conditionalFormatting sqref="R116:R117">
    <cfRule type="cellIs" dxfId="2659" priority="2837" stopIfTrue="1" operator="greaterThan">
      <formula>0</formula>
    </cfRule>
  </conditionalFormatting>
  <conditionalFormatting sqref="R116:R117">
    <cfRule type="cellIs" dxfId="2658" priority="2835" operator="equal">
      <formula>"CUMPLE"</formula>
    </cfRule>
    <cfRule type="cellIs" dxfId="2657" priority="2836" operator="equal">
      <formula>"NO CUMPLE"</formula>
    </cfRule>
  </conditionalFormatting>
  <conditionalFormatting sqref="Q116:Q117">
    <cfRule type="cellIs" dxfId="2656" priority="2830" operator="equal">
      <formula>"NO CUMPLE"</formula>
    </cfRule>
    <cfRule type="cellIs" dxfId="2655" priority="2834" stopIfTrue="1" operator="greaterThan">
      <formula>0</formula>
    </cfRule>
  </conditionalFormatting>
  <conditionalFormatting sqref="Q116:Q117 O116:O117">
    <cfRule type="cellIs" dxfId="2654" priority="2833" operator="equal">
      <formula>"NO CUMPLE"</formula>
    </cfRule>
  </conditionalFormatting>
  <conditionalFormatting sqref="Q116:R117">
    <cfRule type="cellIs" dxfId="2653" priority="2831" stopIfTrue="1" operator="equal">
      <formula>0</formula>
    </cfRule>
  </conditionalFormatting>
  <conditionalFormatting sqref="Q116:R117 O116:O117">
    <cfRule type="cellIs" dxfId="2652" priority="2832" operator="equal">
      <formula>"CUMPLE"</formula>
    </cfRule>
  </conditionalFormatting>
  <conditionalFormatting sqref="O116:O117">
    <cfRule type="cellIs" dxfId="2651" priority="2827" operator="equal">
      <formula>"NO CUMPLE"</formula>
    </cfRule>
    <cfRule type="cellIs" dxfId="2650" priority="2829" stopIfTrue="1" operator="greaterThan">
      <formula>0</formula>
    </cfRule>
  </conditionalFormatting>
  <conditionalFormatting sqref="O116:O117">
    <cfRule type="cellIs" dxfId="2649" priority="2828" stopIfTrue="1" operator="equal">
      <formula>0</formula>
    </cfRule>
  </conditionalFormatting>
  <conditionalFormatting sqref="S109:S111">
    <cfRule type="cellIs" dxfId="2648" priority="2826" stopIfTrue="1" operator="greaterThan">
      <formula>0</formula>
    </cfRule>
  </conditionalFormatting>
  <conditionalFormatting sqref="S109:S111">
    <cfRule type="cellIs" dxfId="2647" priority="2825" stopIfTrue="1" operator="greaterThan">
      <formula>0</formula>
    </cfRule>
  </conditionalFormatting>
  <conditionalFormatting sqref="S112:S119">
    <cfRule type="cellIs" dxfId="2646" priority="2820" operator="equal">
      <formula>"NO CUMPLE"</formula>
    </cfRule>
    <cfRule type="cellIs" dxfId="2645" priority="2824" stopIfTrue="1" operator="greaterThan">
      <formula>0</formula>
    </cfRule>
  </conditionalFormatting>
  <conditionalFormatting sqref="S112:S119">
    <cfRule type="cellIs" dxfId="2644" priority="2823" operator="equal">
      <formula>"NO CUMPLE"</formula>
    </cfRule>
  </conditionalFormatting>
  <conditionalFormatting sqref="S112:S117">
    <cfRule type="cellIs" dxfId="2643" priority="2821" stopIfTrue="1" operator="equal">
      <formula>0</formula>
    </cfRule>
  </conditionalFormatting>
  <conditionalFormatting sqref="S112:S119">
    <cfRule type="cellIs" dxfId="2642" priority="2822" operator="equal">
      <formula>"CUMPLE"</formula>
    </cfRule>
  </conditionalFormatting>
  <conditionalFormatting sqref="T109:U119">
    <cfRule type="cellIs" dxfId="2641" priority="2819" stopIfTrue="1" operator="greaterThan">
      <formula>0</formula>
    </cfRule>
  </conditionalFormatting>
  <conditionalFormatting sqref="T119:U119">
    <cfRule type="cellIs" dxfId="2640" priority="2815" operator="equal">
      <formula>"NO CUMPLE"</formula>
    </cfRule>
    <cfRule type="cellIs" dxfId="2639" priority="2818" stopIfTrue="1" operator="greaterThan">
      <formula>0</formula>
    </cfRule>
  </conditionalFormatting>
  <conditionalFormatting sqref="T119:U119">
    <cfRule type="cellIs" dxfId="2638" priority="2817" operator="equal">
      <formula>"NO CUMPLE"</formula>
    </cfRule>
  </conditionalFormatting>
  <conditionalFormatting sqref="T119:U119">
    <cfRule type="cellIs" dxfId="2637" priority="2816" operator="equal">
      <formula>"CUMPLE"</formula>
    </cfRule>
  </conditionalFormatting>
  <conditionalFormatting sqref="T112:U118">
    <cfRule type="cellIs" dxfId="2636" priority="2811" operator="equal">
      <formula>"NO CUMPLE"</formula>
    </cfRule>
  </conditionalFormatting>
  <conditionalFormatting sqref="T112:U118">
    <cfRule type="cellIs" dxfId="2635" priority="2814" operator="equal">
      <formula>"NO CUMPLE"</formula>
    </cfRule>
  </conditionalFormatting>
  <conditionalFormatting sqref="T112:U118">
    <cfRule type="cellIs" dxfId="2634" priority="2812" stopIfTrue="1" operator="equal">
      <formula>0</formula>
    </cfRule>
  </conditionalFormatting>
  <conditionalFormatting sqref="T112:U118">
    <cfRule type="cellIs" dxfId="2633" priority="2813" operator="equal">
      <formula>"CUMPLE"</formula>
    </cfRule>
  </conditionalFormatting>
  <conditionalFormatting sqref="M139:N139">
    <cfRule type="cellIs" dxfId="2632" priority="2806" stopIfTrue="1" operator="equal">
      <formula>"NO CUMPLE"</formula>
    </cfRule>
    <cfRule type="cellIs" dxfId="2631" priority="2807" stopIfTrue="1" operator="equal">
      <formula>"CUMPLE"</formula>
    </cfRule>
  </conditionalFormatting>
  <conditionalFormatting sqref="B129:B133 C130:L133 B136:N136">
    <cfRule type="cellIs" dxfId="2630" priority="2808" stopIfTrue="1" operator="greaterThan">
      <formula>0</formula>
    </cfRule>
  </conditionalFormatting>
  <conditionalFormatting sqref="M130:N133">
    <cfRule type="cellIs" dxfId="2629" priority="2809" stopIfTrue="1" operator="greaterThan">
      <formula>0</formula>
    </cfRule>
  </conditionalFormatting>
  <conditionalFormatting sqref="B127:B128 C129 D127:N129 C127 P127:R129">
    <cfRule type="cellIs" dxfId="2628" priority="2810" stopIfTrue="1" operator="greaterThan">
      <formula>0</formula>
    </cfRule>
  </conditionalFormatting>
  <conditionalFormatting sqref="G127:G129">
    <cfRule type="cellIs" dxfId="2627" priority="2805" stopIfTrue="1" operator="greaterThan">
      <formula>0</formula>
    </cfRule>
  </conditionalFormatting>
  <conditionalFormatting sqref="N130:N133">
    <cfRule type="cellIs" dxfId="2626" priority="2804" operator="equal">
      <formula>0</formula>
    </cfRule>
  </conditionalFormatting>
  <conditionalFormatting sqref="R130:R133 R136:R137">
    <cfRule type="cellIs" dxfId="2625" priority="2802" stopIfTrue="1" operator="greaterThan">
      <formula>0</formula>
    </cfRule>
  </conditionalFormatting>
  <conditionalFormatting sqref="R127:R129">
    <cfRule type="cellIs" dxfId="2624" priority="2803" stopIfTrue="1" operator="greaterThan">
      <formula>0</formula>
    </cfRule>
  </conditionalFormatting>
  <conditionalFormatting sqref="R131:R133 R136:R137">
    <cfRule type="cellIs" dxfId="2623" priority="2800" operator="equal">
      <formula>"CUMPLE"</formula>
    </cfRule>
    <cfRule type="cellIs" dxfId="2622" priority="2801" operator="equal">
      <formula>"NO CUMPLE"</formula>
    </cfRule>
  </conditionalFormatting>
  <conditionalFormatting sqref="Q127:Q129">
    <cfRule type="cellIs" dxfId="2621" priority="2799" stopIfTrue="1" operator="greaterThan">
      <formula>0</formula>
    </cfRule>
  </conditionalFormatting>
  <conditionalFormatting sqref="Q130:Q133 Q136:Q137">
    <cfRule type="cellIs" dxfId="2620" priority="2794" operator="equal">
      <formula>"NO CUMPLE"</formula>
    </cfRule>
    <cfRule type="cellIs" dxfId="2619" priority="2798" stopIfTrue="1" operator="greaterThan">
      <formula>0</formula>
    </cfRule>
  </conditionalFormatting>
  <conditionalFormatting sqref="Q130:Q133 O130:O133 O136:O137 Q136:Q137">
    <cfRule type="cellIs" dxfId="2618" priority="2797" operator="equal">
      <formula>"NO CUMPLE"</formula>
    </cfRule>
  </conditionalFormatting>
  <conditionalFormatting sqref="Q130:R133">
    <cfRule type="cellIs" dxfId="2617" priority="2795" stopIfTrue="1" operator="equal">
      <formula>0</formula>
    </cfRule>
  </conditionalFormatting>
  <conditionalFormatting sqref="Q130:R133 O130:O133 O136:O137 Q136:R137">
    <cfRule type="cellIs" dxfId="2616" priority="2796" operator="equal">
      <formula>"CUMPLE"</formula>
    </cfRule>
  </conditionalFormatting>
  <conditionalFormatting sqref="O127:O129">
    <cfRule type="cellIs" dxfId="2615" priority="2793" stopIfTrue="1" operator="greaterThan">
      <formula>0</formula>
    </cfRule>
  </conditionalFormatting>
  <conditionalFormatting sqref="O127:O129">
    <cfRule type="cellIs" dxfId="2614" priority="2792" stopIfTrue="1" operator="greaterThan">
      <formula>0</formula>
    </cfRule>
  </conditionalFormatting>
  <conditionalFormatting sqref="O130:O133 O136:O137">
    <cfRule type="cellIs" dxfId="2613" priority="2789" operator="equal">
      <formula>"NO CUMPLE"</formula>
    </cfRule>
    <cfRule type="cellIs" dxfId="2612" priority="2791" stopIfTrue="1" operator="greaterThan">
      <formula>0</formula>
    </cfRule>
  </conditionalFormatting>
  <conditionalFormatting sqref="O130:O133">
    <cfRule type="cellIs" dxfId="2611" priority="2790" stopIfTrue="1" operator="equal">
      <formula>0</formula>
    </cfRule>
  </conditionalFormatting>
  <conditionalFormatting sqref="B134:L135">
    <cfRule type="cellIs" dxfId="2610" priority="2787" stopIfTrue="1" operator="greaterThan">
      <formula>0</formula>
    </cfRule>
  </conditionalFormatting>
  <conditionalFormatting sqref="M134:N135">
    <cfRule type="cellIs" dxfId="2609" priority="2788" stopIfTrue="1" operator="greaterThan">
      <formula>0</formula>
    </cfRule>
  </conditionalFormatting>
  <conditionalFormatting sqref="N134:N135">
    <cfRule type="cellIs" dxfId="2608" priority="2786" operator="equal">
      <formula>0</formula>
    </cfRule>
  </conditionalFormatting>
  <conditionalFormatting sqref="R134:R135">
    <cfRule type="cellIs" dxfId="2607" priority="2785" stopIfTrue="1" operator="greaterThan">
      <formula>0</formula>
    </cfRule>
  </conditionalFormatting>
  <conditionalFormatting sqref="R134:R135">
    <cfRule type="cellIs" dxfId="2606" priority="2783" operator="equal">
      <formula>"CUMPLE"</formula>
    </cfRule>
    <cfRule type="cellIs" dxfId="2605" priority="2784" operator="equal">
      <formula>"NO CUMPLE"</formula>
    </cfRule>
  </conditionalFormatting>
  <conditionalFormatting sqref="Q134:Q135">
    <cfRule type="cellIs" dxfId="2604" priority="2778" operator="equal">
      <formula>"NO CUMPLE"</formula>
    </cfRule>
    <cfRule type="cellIs" dxfId="2603" priority="2782" stopIfTrue="1" operator="greaterThan">
      <formula>0</formula>
    </cfRule>
  </conditionalFormatting>
  <conditionalFormatting sqref="Q134:Q135 O134:O135">
    <cfRule type="cellIs" dxfId="2602" priority="2781" operator="equal">
      <formula>"NO CUMPLE"</formula>
    </cfRule>
  </conditionalFormatting>
  <conditionalFormatting sqref="Q134:R135">
    <cfRule type="cellIs" dxfId="2601" priority="2779" stopIfTrue="1" operator="equal">
      <formula>0</formula>
    </cfRule>
  </conditionalFormatting>
  <conditionalFormatting sqref="Q134:R135 O134:O135">
    <cfRule type="cellIs" dxfId="2600" priority="2780" operator="equal">
      <formula>"CUMPLE"</formula>
    </cfRule>
  </conditionalFormatting>
  <conditionalFormatting sqref="O134:O135">
    <cfRule type="cellIs" dxfId="2599" priority="2775" operator="equal">
      <formula>"NO CUMPLE"</formula>
    </cfRule>
    <cfRule type="cellIs" dxfId="2598" priority="2777" stopIfTrue="1" operator="greaterThan">
      <formula>0</formula>
    </cfRule>
  </conditionalFormatting>
  <conditionalFormatting sqref="O134:O135">
    <cfRule type="cellIs" dxfId="2597" priority="2776" stopIfTrue="1" operator="equal">
      <formula>0</formula>
    </cfRule>
  </conditionalFormatting>
  <conditionalFormatting sqref="S127:S129">
    <cfRule type="cellIs" dxfId="2596" priority="2774" stopIfTrue="1" operator="greaterThan">
      <formula>0</formula>
    </cfRule>
  </conditionalFormatting>
  <conditionalFormatting sqref="S127:S129">
    <cfRule type="cellIs" dxfId="2595" priority="2773" stopIfTrue="1" operator="greaterThan">
      <formula>0</formula>
    </cfRule>
  </conditionalFormatting>
  <conditionalFormatting sqref="S130:S137">
    <cfRule type="cellIs" dxfId="2594" priority="2768" operator="equal">
      <formula>"NO CUMPLE"</formula>
    </cfRule>
    <cfRule type="cellIs" dxfId="2593" priority="2772" stopIfTrue="1" operator="greaterThan">
      <formula>0</formula>
    </cfRule>
  </conditionalFormatting>
  <conditionalFormatting sqref="S130:S137">
    <cfRule type="cellIs" dxfId="2592" priority="2771" operator="equal">
      <formula>"NO CUMPLE"</formula>
    </cfRule>
  </conditionalFormatting>
  <conditionalFormatting sqref="S130:S135">
    <cfRule type="cellIs" dxfId="2591" priority="2769" stopIfTrue="1" operator="equal">
      <formula>0</formula>
    </cfRule>
  </conditionalFormatting>
  <conditionalFormatting sqref="S130:S137">
    <cfRule type="cellIs" dxfId="2590" priority="2770" operator="equal">
      <formula>"CUMPLE"</formula>
    </cfRule>
  </conditionalFormatting>
  <conditionalFormatting sqref="T127:U137">
    <cfRule type="cellIs" dxfId="2589" priority="2767" stopIfTrue="1" operator="greaterThan">
      <formula>0</formula>
    </cfRule>
  </conditionalFormatting>
  <conditionalFormatting sqref="T137:U137">
    <cfRule type="cellIs" dxfId="2588" priority="2763" operator="equal">
      <formula>"NO CUMPLE"</formula>
    </cfRule>
    <cfRule type="cellIs" dxfId="2587" priority="2766" stopIfTrue="1" operator="greaterThan">
      <formula>0</formula>
    </cfRule>
  </conditionalFormatting>
  <conditionalFormatting sqref="T137:U137">
    <cfRule type="cellIs" dxfId="2586" priority="2765" operator="equal">
      <formula>"NO CUMPLE"</formula>
    </cfRule>
  </conditionalFormatting>
  <conditionalFormatting sqref="T137:U137">
    <cfRule type="cellIs" dxfId="2585" priority="2764" operator="equal">
      <formula>"CUMPLE"</formula>
    </cfRule>
  </conditionalFormatting>
  <conditionalFormatting sqref="T130:U136">
    <cfRule type="cellIs" dxfId="2584" priority="2759" operator="equal">
      <formula>"NO CUMPLE"</formula>
    </cfRule>
  </conditionalFormatting>
  <conditionalFormatting sqref="T130:U136">
    <cfRule type="cellIs" dxfId="2583" priority="2762" operator="equal">
      <formula>"NO CUMPLE"</formula>
    </cfRule>
  </conditionalFormatting>
  <conditionalFormatting sqref="T130:U136">
    <cfRule type="cellIs" dxfId="2582" priority="2760" stopIfTrue="1" operator="equal">
      <formula>0</formula>
    </cfRule>
  </conditionalFormatting>
  <conditionalFormatting sqref="T130:U136">
    <cfRule type="cellIs" dxfId="2581" priority="2761" operator="equal">
      <formula>"CUMPLE"</formula>
    </cfRule>
  </conditionalFormatting>
  <conditionalFormatting sqref="M157:N157">
    <cfRule type="cellIs" dxfId="2580" priority="2754" stopIfTrue="1" operator="equal">
      <formula>"NO CUMPLE"</formula>
    </cfRule>
    <cfRule type="cellIs" dxfId="2579" priority="2755" stopIfTrue="1" operator="equal">
      <formula>"CUMPLE"</formula>
    </cfRule>
  </conditionalFormatting>
  <conditionalFormatting sqref="B147:B151 C148:L151 B154:N154">
    <cfRule type="cellIs" dxfId="2578" priority="2756" stopIfTrue="1" operator="greaterThan">
      <formula>0</formula>
    </cfRule>
  </conditionalFormatting>
  <conditionalFormatting sqref="M148:N151">
    <cfRule type="cellIs" dxfId="2577" priority="2757" stopIfTrue="1" operator="greaterThan">
      <formula>0</formula>
    </cfRule>
  </conditionalFormatting>
  <conditionalFormatting sqref="B145:B146 C147 D145:N147 C145 P145:R147">
    <cfRule type="cellIs" dxfId="2576" priority="2758" stopIfTrue="1" operator="greaterThan">
      <formula>0</formula>
    </cfRule>
  </conditionalFormatting>
  <conditionalFormatting sqref="G145:G147">
    <cfRule type="cellIs" dxfId="2575" priority="2753" stopIfTrue="1" operator="greaterThan">
      <formula>0</formula>
    </cfRule>
  </conditionalFormatting>
  <conditionalFormatting sqref="N148:N151">
    <cfRule type="cellIs" dxfId="2574" priority="2752" operator="equal">
      <formula>0</formula>
    </cfRule>
  </conditionalFormatting>
  <conditionalFormatting sqref="R148:R151 R154:R155">
    <cfRule type="cellIs" dxfId="2573" priority="2750" stopIfTrue="1" operator="greaterThan">
      <formula>0</formula>
    </cfRule>
  </conditionalFormatting>
  <conditionalFormatting sqref="R145:R147">
    <cfRule type="cellIs" dxfId="2572" priority="2751" stopIfTrue="1" operator="greaterThan">
      <formula>0</formula>
    </cfRule>
  </conditionalFormatting>
  <conditionalFormatting sqref="R149:R151 R154:R155">
    <cfRule type="cellIs" dxfId="2571" priority="2748" operator="equal">
      <formula>"CUMPLE"</formula>
    </cfRule>
    <cfRule type="cellIs" dxfId="2570" priority="2749" operator="equal">
      <formula>"NO CUMPLE"</formula>
    </cfRule>
  </conditionalFormatting>
  <conditionalFormatting sqref="Q145:Q147">
    <cfRule type="cellIs" dxfId="2569" priority="2747" stopIfTrue="1" operator="greaterThan">
      <formula>0</formula>
    </cfRule>
  </conditionalFormatting>
  <conditionalFormatting sqref="Q148:Q151 Q154:Q155">
    <cfRule type="cellIs" dxfId="2568" priority="2742" operator="equal">
      <formula>"NO CUMPLE"</formula>
    </cfRule>
    <cfRule type="cellIs" dxfId="2567" priority="2746" stopIfTrue="1" operator="greaterThan">
      <formula>0</formula>
    </cfRule>
  </conditionalFormatting>
  <conditionalFormatting sqref="Q148:Q151 O148:O151 O154:O155 Q154:Q155">
    <cfRule type="cellIs" dxfId="2566" priority="2745" operator="equal">
      <formula>"NO CUMPLE"</formula>
    </cfRule>
  </conditionalFormatting>
  <conditionalFormatting sqref="Q148:R151">
    <cfRule type="cellIs" dxfId="2565" priority="2743" stopIfTrue="1" operator="equal">
      <formula>0</formula>
    </cfRule>
  </conditionalFormatting>
  <conditionalFormatting sqref="Q148:R151 O148:O151 O154:O155 Q154:R155">
    <cfRule type="cellIs" dxfId="2564" priority="2744" operator="equal">
      <formula>"CUMPLE"</formula>
    </cfRule>
  </conditionalFormatting>
  <conditionalFormatting sqref="O145:O147">
    <cfRule type="cellIs" dxfId="2563" priority="2741" stopIfTrue="1" operator="greaterThan">
      <formula>0</formula>
    </cfRule>
  </conditionalFormatting>
  <conditionalFormatting sqref="O145:O147">
    <cfRule type="cellIs" dxfId="2562" priority="2740" stopIfTrue="1" operator="greaterThan">
      <formula>0</formula>
    </cfRule>
  </conditionalFormatting>
  <conditionalFormatting sqref="O148:O151 O154:O155">
    <cfRule type="cellIs" dxfId="2561" priority="2737" operator="equal">
      <formula>"NO CUMPLE"</formula>
    </cfRule>
    <cfRule type="cellIs" dxfId="2560" priority="2739" stopIfTrue="1" operator="greaterThan">
      <formula>0</formula>
    </cfRule>
  </conditionalFormatting>
  <conditionalFormatting sqref="O148:O151">
    <cfRule type="cellIs" dxfId="2559" priority="2738" stopIfTrue="1" operator="equal">
      <formula>0</formula>
    </cfRule>
  </conditionalFormatting>
  <conditionalFormatting sqref="B152:L153">
    <cfRule type="cellIs" dxfId="2558" priority="2735" stopIfTrue="1" operator="greaterThan">
      <formula>0</formula>
    </cfRule>
  </conditionalFormatting>
  <conditionalFormatting sqref="M152:N153">
    <cfRule type="cellIs" dxfId="2557" priority="2736" stopIfTrue="1" operator="greaterThan">
      <formula>0</formula>
    </cfRule>
  </conditionalFormatting>
  <conditionalFormatting sqref="N152:N153">
    <cfRule type="cellIs" dxfId="2556" priority="2734" operator="equal">
      <formula>0</formula>
    </cfRule>
  </conditionalFormatting>
  <conditionalFormatting sqref="R152:R153">
    <cfRule type="cellIs" dxfId="2555" priority="2733" stopIfTrue="1" operator="greaterThan">
      <formula>0</formula>
    </cfRule>
  </conditionalFormatting>
  <conditionalFormatting sqref="R152:R153">
    <cfRule type="cellIs" dxfId="2554" priority="2731" operator="equal">
      <formula>"CUMPLE"</formula>
    </cfRule>
    <cfRule type="cellIs" dxfId="2553" priority="2732" operator="equal">
      <formula>"NO CUMPLE"</formula>
    </cfRule>
  </conditionalFormatting>
  <conditionalFormatting sqref="Q152:Q153">
    <cfRule type="cellIs" dxfId="2552" priority="2726" operator="equal">
      <formula>"NO CUMPLE"</formula>
    </cfRule>
    <cfRule type="cellIs" dxfId="2551" priority="2730" stopIfTrue="1" operator="greaterThan">
      <formula>0</formula>
    </cfRule>
  </conditionalFormatting>
  <conditionalFormatting sqref="Q152:Q153 O152:O153">
    <cfRule type="cellIs" dxfId="2550" priority="2729" operator="equal">
      <formula>"NO CUMPLE"</formula>
    </cfRule>
  </conditionalFormatting>
  <conditionalFormatting sqref="Q152:R153">
    <cfRule type="cellIs" dxfId="2549" priority="2727" stopIfTrue="1" operator="equal">
      <formula>0</formula>
    </cfRule>
  </conditionalFormatting>
  <conditionalFormatting sqref="Q152:R153 O152:O153">
    <cfRule type="cellIs" dxfId="2548" priority="2728" operator="equal">
      <formula>"CUMPLE"</formula>
    </cfRule>
  </conditionalFormatting>
  <conditionalFormatting sqref="O152:O153">
    <cfRule type="cellIs" dxfId="2547" priority="2723" operator="equal">
      <formula>"NO CUMPLE"</formula>
    </cfRule>
    <cfRule type="cellIs" dxfId="2546" priority="2725" stopIfTrue="1" operator="greaterThan">
      <formula>0</formula>
    </cfRule>
  </conditionalFormatting>
  <conditionalFormatting sqref="O152:O153">
    <cfRule type="cellIs" dxfId="2545" priority="2724" stopIfTrue="1" operator="equal">
      <formula>0</formula>
    </cfRule>
  </conditionalFormatting>
  <conditionalFormatting sqref="S145:S147">
    <cfRule type="cellIs" dxfId="2544" priority="2722" stopIfTrue="1" operator="greaterThan">
      <formula>0</formula>
    </cfRule>
  </conditionalFormatting>
  <conditionalFormatting sqref="S145:S147">
    <cfRule type="cellIs" dxfId="2543" priority="2721" stopIfTrue="1" operator="greaterThan">
      <formula>0</formula>
    </cfRule>
  </conditionalFormatting>
  <conditionalFormatting sqref="S148:S155">
    <cfRule type="cellIs" dxfId="2542" priority="2716" operator="equal">
      <formula>"NO CUMPLE"</formula>
    </cfRule>
    <cfRule type="cellIs" dxfId="2541" priority="2720" stopIfTrue="1" operator="greaterThan">
      <formula>0</formula>
    </cfRule>
  </conditionalFormatting>
  <conditionalFormatting sqref="S148:S155">
    <cfRule type="cellIs" dxfId="2540" priority="2719" operator="equal">
      <formula>"NO CUMPLE"</formula>
    </cfRule>
  </conditionalFormatting>
  <conditionalFormatting sqref="S148:S153">
    <cfRule type="cellIs" dxfId="2539" priority="2717" stopIfTrue="1" operator="equal">
      <formula>0</formula>
    </cfRule>
  </conditionalFormatting>
  <conditionalFormatting sqref="S148:S155">
    <cfRule type="cellIs" dxfId="2538" priority="2718" operator="equal">
      <formula>"CUMPLE"</formula>
    </cfRule>
  </conditionalFormatting>
  <conditionalFormatting sqref="T145:U155">
    <cfRule type="cellIs" dxfId="2537" priority="2715" stopIfTrue="1" operator="greaterThan">
      <formula>0</formula>
    </cfRule>
  </conditionalFormatting>
  <conditionalFormatting sqref="T155:U155">
    <cfRule type="cellIs" dxfId="2536" priority="2711" operator="equal">
      <formula>"NO CUMPLE"</formula>
    </cfRule>
    <cfRule type="cellIs" dxfId="2535" priority="2714" stopIfTrue="1" operator="greaterThan">
      <formula>0</formula>
    </cfRule>
  </conditionalFormatting>
  <conditionalFormatting sqref="T155:U155">
    <cfRule type="cellIs" dxfId="2534" priority="2713" operator="equal">
      <formula>"NO CUMPLE"</formula>
    </cfRule>
  </conditionalFormatting>
  <conditionalFormatting sqref="T155:U155">
    <cfRule type="cellIs" dxfId="2533" priority="2712" operator="equal">
      <formula>"CUMPLE"</formula>
    </cfRule>
  </conditionalFormatting>
  <conditionalFormatting sqref="T148:U154">
    <cfRule type="cellIs" dxfId="2532" priority="2707" operator="equal">
      <formula>"NO CUMPLE"</formula>
    </cfRule>
  </conditionalFormatting>
  <conditionalFormatting sqref="T148:U154">
    <cfRule type="cellIs" dxfId="2531" priority="2710" operator="equal">
      <formula>"NO CUMPLE"</formula>
    </cfRule>
  </conditionalFormatting>
  <conditionalFormatting sqref="T148:U154">
    <cfRule type="cellIs" dxfId="2530" priority="2708" stopIfTrue="1" operator="equal">
      <formula>0</formula>
    </cfRule>
  </conditionalFormatting>
  <conditionalFormatting sqref="T148:U154">
    <cfRule type="cellIs" dxfId="2529" priority="2709" operator="equal">
      <formula>"CUMPLE"</formula>
    </cfRule>
  </conditionalFormatting>
  <conditionalFormatting sqref="M175:N175">
    <cfRule type="cellIs" dxfId="2528" priority="2702" stopIfTrue="1" operator="equal">
      <formula>"NO CUMPLE"</formula>
    </cfRule>
    <cfRule type="cellIs" dxfId="2527" priority="2703" stopIfTrue="1" operator="equal">
      <formula>"CUMPLE"</formula>
    </cfRule>
  </conditionalFormatting>
  <conditionalFormatting sqref="B165:B169 C166:L169 B172:N172">
    <cfRule type="cellIs" dxfId="2526" priority="2704" stopIfTrue="1" operator="greaterThan">
      <formula>0</formula>
    </cfRule>
  </conditionalFormatting>
  <conditionalFormatting sqref="M166:N169">
    <cfRule type="cellIs" dxfId="2525" priority="2705" stopIfTrue="1" operator="greaterThan">
      <formula>0</formula>
    </cfRule>
  </conditionalFormatting>
  <conditionalFormatting sqref="B163:B164 C165 D163:N165 C163 P163:R165">
    <cfRule type="cellIs" dxfId="2524" priority="2706" stopIfTrue="1" operator="greaterThan">
      <formula>0</formula>
    </cfRule>
  </conditionalFormatting>
  <conditionalFormatting sqref="G163:G165">
    <cfRule type="cellIs" dxfId="2523" priority="2701" stopIfTrue="1" operator="greaterThan">
      <formula>0</formula>
    </cfRule>
  </conditionalFormatting>
  <conditionalFormatting sqref="N166:N169">
    <cfRule type="cellIs" dxfId="2522" priority="2700" operator="equal">
      <formula>0</formula>
    </cfRule>
  </conditionalFormatting>
  <conditionalFormatting sqref="R166:R169 R172:R173">
    <cfRule type="cellIs" dxfId="2521" priority="2698" stopIfTrue="1" operator="greaterThan">
      <formula>0</formula>
    </cfRule>
  </conditionalFormatting>
  <conditionalFormatting sqref="R163:R165">
    <cfRule type="cellIs" dxfId="2520" priority="2699" stopIfTrue="1" operator="greaterThan">
      <formula>0</formula>
    </cfRule>
  </conditionalFormatting>
  <conditionalFormatting sqref="R167:R169 R172:R173">
    <cfRule type="cellIs" dxfId="2519" priority="2696" operator="equal">
      <formula>"CUMPLE"</formula>
    </cfRule>
    <cfRule type="cellIs" dxfId="2518" priority="2697" operator="equal">
      <formula>"NO CUMPLE"</formula>
    </cfRule>
  </conditionalFormatting>
  <conditionalFormatting sqref="Q163:Q165">
    <cfRule type="cellIs" dxfId="2517" priority="2695" stopIfTrue="1" operator="greaterThan">
      <formula>0</formula>
    </cfRule>
  </conditionalFormatting>
  <conditionalFormatting sqref="Q166:Q169 Q172:Q173">
    <cfRule type="cellIs" dxfId="2516" priority="2690" operator="equal">
      <formula>"NO CUMPLE"</formula>
    </cfRule>
    <cfRule type="cellIs" dxfId="2515" priority="2694" stopIfTrue="1" operator="greaterThan">
      <formula>0</formula>
    </cfRule>
  </conditionalFormatting>
  <conditionalFormatting sqref="Q166:Q169 O166:O169 O172:O173 Q172:Q173">
    <cfRule type="cellIs" dxfId="2514" priority="2693" operator="equal">
      <formula>"NO CUMPLE"</formula>
    </cfRule>
  </conditionalFormatting>
  <conditionalFormatting sqref="Q166:R169">
    <cfRule type="cellIs" dxfId="2513" priority="2691" stopIfTrue="1" operator="equal">
      <formula>0</formula>
    </cfRule>
  </conditionalFormatting>
  <conditionalFormatting sqref="Q166:R169 O166:O169 O172:O173 Q172:R173">
    <cfRule type="cellIs" dxfId="2512" priority="2692" operator="equal">
      <formula>"CUMPLE"</formula>
    </cfRule>
  </conditionalFormatting>
  <conditionalFormatting sqref="O163:O165">
    <cfRule type="cellIs" dxfId="2511" priority="2689" stopIfTrue="1" operator="greaterThan">
      <formula>0</formula>
    </cfRule>
  </conditionalFormatting>
  <conditionalFormatting sqref="O163:O165">
    <cfRule type="cellIs" dxfId="2510" priority="2688" stopIfTrue="1" operator="greaterThan">
      <formula>0</formula>
    </cfRule>
  </conditionalFormatting>
  <conditionalFormatting sqref="O166:O169 O172:O173">
    <cfRule type="cellIs" dxfId="2509" priority="2685" operator="equal">
      <formula>"NO CUMPLE"</formula>
    </cfRule>
    <cfRule type="cellIs" dxfId="2508" priority="2687" stopIfTrue="1" operator="greaterThan">
      <formula>0</formula>
    </cfRule>
  </conditionalFormatting>
  <conditionalFormatting sqref="O166:O169">
    <cfRule type="cellIs" dxfId="2507" priority="2686" stopIfTrue="1" operator="equal">
      <formula>0</formula>
    </cfRule>
  </conditionalFormatting>
  <conditionalFormatting sqref="B170:L171">
    <cfRule type="cellIs" dxfId="2506" priority="2683" stopIfTrue="1" operator="greaterThan">
      <formula>0</formula>
    </cfRule>
  </conditionalFormatting>
  <conditionalFormatting sqref="M170:N171">
    <cfRule type="cellIs" dxfId="2505" priority="2684" stopIfTrue="1" operator="greaterThan">
      <formula>0</formula>
    </cfRule>
  </conditionalFormatting>
  <conditionalFormatting sqref="N170:N171">
    <cfRule type="cellIs" dxfId="2504" priority="2682" operator="equal">
      <formula>0</formula>
    </cfRule>
  </conditionalFormatting>
  <conditionalFormatting sqref="R170:R171">
    <cfRule type="cellIs" dxfId="2503" priority="2681" stopIfTrue="1" operator="greaterThan">
      <formula>0</formula>
    </cfRule>
  </conditionalFormatting>
  <conditionalFormatting sqref="R170:R171">
    <cfRule type="cellIs" dxfId="2502" priority="2679" operator="equal">
      <formula>"CUMPLE"</formula>
    </cfRule>
    <cfRule type="cellIs" dxfId="2501" priority="2680" operator="equal">
      <formula>"NO CUMPLE"</formula>
    </cfRule>
  </conditionalFormatting>
  <conditionalFormatting sqref="Q170:Q171">
    <cfRule type="cellIs" dxfId="2500" priority="2674" operator="equal">
      <formula>"NO CUMPLE"</formula>
    </cfRule>
    <cfRule type="cellIs" dxfId="2499" priority="2678" stopIfTrue="1" operator="greaterThan">
      <formula>0</formula>
    </cfRule>
  </conditionalFormatting>
  <conditionalFormatting sqref="Q170:Q171 O170:O171">
    <cfRule type="cellIs" dxfId="2498" priority="2677" operator="equal">
      <formula>"NO CUMPLE"</formula>
    </cfRule>
  </conditionalFormatting>
  <conditionalFormatting sqref="Q170:R171">
    <cfRule type="cellIs" dxfId="2497" priority="2675" stopIfTrue="1" operator="equal">
      <formula>0</formula>
    </cfRule>
  </conditionalFormatting>
  <conditionalFormatting sqref="Q170:R171 O170:O171">
    <cfRule type="cellIs" dxfId="2496" priority="2676" operator="equal">
      <formula>"CUMPLE"</formula>
    </cfRule>
  </conditionalFormatting>
  <conditionalFormatting sqref="O170:O171">
    <cfRule type="cellIs" dxfId="2495" priority="2671" operator="equal">
      <formula>"NO CUMPLE"</formula>
    </cfRule>
    <cfRule type="cellIs" dxfId="2494" priority="2673" stopIfTrue="1" operator="greaterThan">
      <formula>0</formula>
    </cfRule>
  </conditionalFormatting>
  <conditionalFormatting sqref="O170:O171">
    <cfRule type="cellIs" dxfId="2493" priority="2672" stopIfTrue="1" operator="equal">
      <formula>0</formula>
    </cfRule>
  </conditionalFormatting>
  <conditionalFormatting sqref="S163:S165">
    <cfRule type="cellIs" dxfId="2492" priority="2670" stopIfTrue="1" operator="greaterThan">
      <formula>0</formula>
    </cfRule>
  </conditionalFormatting>
  <conditionalFormatting sqref="S163:S165">
    <cfRule type="cellIs" dxfId="2491" priority="2669" stopIfTrue="1" operator="greaterThan">
      <formula>0</formula>
    </cfRule>
  </conditionalFormatting>
  <conditionalFormatting sqref="S166:S173">
    <cfRule type="cellIs" dxfId="2490" priority="2664" operator="equal">
      <formula>"NO CUMPLE"</formula>
    </cfRule>
    <cfRule type="cellIs" dxfId="2489" priority="2668" stopIfTrue="1" operator="greaterThan">
      <formula>0</formula>
    </cfRule>
  </conditionalFormatting>
  <conditionalFormatting sqref="S166:S173">
    <cfRule type="cellIs" dxfId="2488" priority="2667" operator="equal">
      <formula>"NO CUMPLE"</formula>
    </cfRule>
  </conditionalFormatting>
  <conditionalFormatting sqref="S166:S171">
    <cfRule type="cellIs" dxfId="2487" priority="2665" stopIfTrue="1" operator="equal">
      <formula>0</formula>
    </cfRule>
  </conditionalFormatting>
  <conditionalFormatting sqref="S166:S173">
    <cfRule type="cellIs" dxfId="2486" priority="2666" operator="equal">
      <formula>"CUMPLE"</formula>
    </cfRule>
  </conditionalFormatting>
  <conditionalFormatting sqref="T163:U173">
    <cfRule type="cellIs" dxfId="2485" priority="2663" stopIfTrue="1" operator="greaterThan">
      <formula>0</formula>
    </cfRule>
  </conditionalFormatting>
  <conditionalFormatting sqref="T173:U173">
    <cfRule type="cellIs" dxfId="2484" priority="2659" operator="equal">
      <formula>"NO CUMPLE"</formula>
    </cfRule>
    <cfRule type="cellIs" dxfId="2483" priority="2662" stopIfTrue="1" operator="greaterThan">
      <formula>0</formula>
    </cfRule>
  </conditionalFormatting>
  <conditionalFormatting sqref="T173:U173">
    <cfRule type="cellIs" dxfId="2482" priority="2661" operator="equal">
      <formula>"NO CUMPLE"</formula>
    </cfRule>
  </conditionalFormatting>
  <conditionalFormatting sqref="T173:U173">
    <cfRule type="cellIs" dxfId="2481" priority="2660" operator="equal">
      <formula>"CUMPLE"</formula>
    </cfRule>
  </conditionalFormatting>
  <conditionalFormatting sqref="T166:U172">
    <cfRule type="cellIs" dxfId="2480" priority="2655" operator="equal">
      <formula>"NO CUMPLE"</formula>
    </cfRule>
  </conditionalFormatting>
  <conditionalFormatting sqref="T166:U172">
    <cfRule type="cellIs" dxfId="2479" priority="2658" operator="equal">
      <formula>"NO CUMPLE"</formula>
    </cfRule>
  </conditionalFormatting>
  <conditionalFormatting sqref="T166:U172">
    <cfRule type="cellIs" dxfId="2478" priority="2656" stopIfTrue="1" operator="equal">
      <formula>0</formula>
    </cfRule>
  </conditionalFormatting>
  <conditionalFormatting sqref="T166:U172">
    <cfRule type="cellIs" dxfId="2477" priority="2657" operator="equal">
      <formula>"CUMPLE"</formula>
    </cfRule>
  </conditionalFormatting>
  <conditionalFormatting sqref="M193:N193">
    <cfRule type="cellIs" dxfId="2476" priority="2650" stopIfTrue="1" operator="equal">
      <formula>"NO CUMPLE"</formula>
    </cfRule>
    <cfRule type="cellIs" dxfId="2475" priority="2651" stopIfTrue="1" operator="equal">
      <formula>"CUMPLE"</formula>
    </cfRule>
  </conditionalFormatting>
  <conditionalFormatting sqref="B183:B187 B190:N190 C184:L187">
    <cfRule type="cellIs" dxfId="2474" priority="2652" stopIfTrue="1" operator="greaterThan">
      <formula>0</formula>
    </cfRule>
  </conditionalFormatting>
  <conditionalFormatting sqref="M184:N187">
    <cfRule type="cellIs" dxfId="2473" priority="2653" stopIfTrue="1" operator="greaterThan">
      <formula>0</formula>
    </cfRule>
  </conditionalFormatting>
  <conditionalFormatting sqref="B181:B182 C183 D181:N183 C181 P181:R183">
    <cfRule type="cellIs" dxfId="2472" priority="2654" stopIfTrue="1" operator="greaterThan">
      <formula>0</formula>
    </cfRule>
  </conditionalFormatting>
  <conditionalFormatting sqref="G181:G183">
    <cfRule type="cellIs" dxfId="2471" priority="2649" stopIfTrue="1" operator="greaterThan">
      <formula>0</formula>
    </cfRule>
  </conditionalFormatting>
  <conditionalFormatting sqref="N184:N187">
    <cfRule type="cellIs" dxfId="2470" priority="2648" operator="equal">
      <formula>0</formula>
    </cfRule>
  </conditionalFormatting>
  <conditionalFormatting sqref="R184:R187 R190:R191">
    <cfRule type="cellIs" dxfId="2469" priority="2646" stopIfTrue="1" operator="greaterThan">
      <formula>0</formula>
    </cfRule>
  </conditionalFormatting>
  <conditionalFormatting sqref="R181:R183">
    <cfRule type="cellIs" dxfId="2468" priority="2647" stopIfTrue="1" operator="greaterThan">
      <formula>0</formula>
    </cfRule>
  </conditionalFormatting>
  <conditionalFormatting sqref="R185:R187 R190:R191">
    <cfRule type="cellIs" dxfId="2467" priority="2644" operator="equal">
      <formula>"CUMPLE"</formula>
    </cfRule>
    <cfRule type="cellIs" dxfId="2466" priority="2645" operator="equal">
      <formula>"NO CUMPLE"</formula>
    </cfRule>
  </conditionalFormatting>
  <conditionalFormatting sqref="Q181:Q183">
    <cfRule type="cellIs" dxfId="2465" priority="2643" stopIfTrue="1" operator="greaterThan">
      <formula>0</formula>
    </cfRule>
  </conditionalFormatting>
  <conditionalFormatting sqref="Q184:Q187 Q190:Q191">
    <cfRule type="cellIs" dxfId="2464" priority="2638" operator="equal">
      <formula>"NO CUMPLE"</formula>
    </cfRule>
    <cfRule type="cellIs" dxfId="2463" priority="2642" stopIfTrue="1" operator="greaterThan">
      <formula>0</formula>
    </cfRule>
  </conditionalFormatting>
  <conditionalFormatting sqref="Q184:Q187 O184:O187 O190:O191 Q190:Q191">
    <cfRule type="cellIs" dxfId="2462" priority="2641" operator="equal">
      <formula>"NO CUMPLE"</formula>
    </cfRule>
  </conditionalFormatting>
  <conditionalFormatting sqref="Q184:R187">
    <cfRule type="cellIs" dxfId="2461" priority="2639" stopIfTrue="1" operator="equal">
      <formula>0</formula>
    </cfRule>
  </conditionalFormatting>
  <conditionalFormatting sqref="Q184:R187 O184:O187 O190:O191 Q190:R191">
    <cfRule type="cellIs" dxfId="2460" priority="2640" operator="equal">
      <formula>"CUMPLE"</formula>
    </cfRule>
  </conditionalFormatting>
  <conditionalFormatting sqref="O181:O183">
    <cfRule type="cellIs" dxfId="2459" priority="2637" stopIfTrue="1" operator="greaterThan">
      <formula>0</formula>
    </cfRule>
  </conditionalFormatting>
  <conditionalFormatting sqref="O181:O183">
    <cfRule type="cellIs" dxfId="2458" priority="2636" stopIfTrue="1" operator="greaterThan">
      <formula>0</formula>
    </cfRule>
  </conditionalFormatting>
  <conditionalFormatting sqref="O184:O187 O190:O191">
    <cfRule type="cellIs" dxfId="2457" priority="2633" operator="equal">
      <formula>"NO CUMPLE"</formula>
    </cfRule>
    <cfRule type="cellIs" dxfId="2456" priority="2635" stopIfTrue="1" operator="greaterThan">
      <formula>0</formula>
    </cfRule>
  </conditionalFormatting>
  <conditionalFormatting sqref="O184:O187">
    <cfRule type="cellIs" dxfId="2455" priority="2634" stopIfTrue="1" operator="equal">
      <formula>0</formula>
    </cfRule>
  </conditionalFormatting>
  <conditionalFormatting sqref="B188:L189">
    <cfRule type="cellIs" dxfId="2454" priority="2631" stopIfTrue="1" operator="greaterThan">
      <formula>0</formula>
    </cfRule>
  </conditionalFormatting>
  <conditionalFormatting sqref="M188:N189">
    <cfRule type="cellIs" dxfId="2453" priority="2632" stopIfTrue="1" operator="greaterThan">
      <formula>0</formula>
    </cfRule>
  </conditionalFormatting>
  <conditionalFormatting sqref="N188:N189">
    <cfRule type="cellIs" dxfId="2452" priority="2630" operator="equal">
      <formula>0</formula>
    </cfRule>
  </conditionalFormatting>
  <conditionalFormatting sqref="R188:R189">
    <cfRule type="cellIs" dxfId="2451" priority="2629" stopIfTrue="1" operator="greaterThan">
      <formula>0</formula>
    </cfRule>
  </conditionalFormatting>
  <conditionalFormatting sqref="R188:R189">
    <cfRule type="cellIs" dxfId="2450" priority="2627" operator="equal">
      <formula>"CUMPLE"</formula>
    </cfRule>
    <cfRule type="cellIs" dxfId="2449" priority="2628" operator="equal">
      <formula>"NO CUMPLE"</formula>
    </cfRule>
  </conditionalFormatting>
  <conditionalFormatting sqref="Q188:Q189">
    <cfRule type="cellIs" dxfId="2448" priority="2622" operator="equal">
      <formula>"NO CUMPLE"</formula>
    </cfRule>
    <cfRule type="cellIs" dxfId="2447" priority="2626" stopIfTrue="1" operator="greaterThan">
      <formula>0</formula>
    </cfRule>
  </conditionalFormatting>
  <conditionalFormatting sqref="Q188:Q189 O188:O189">
    <cfRule type="cellIs" dxfId="2446" priority="2625" operator="equal">
      <formula>"NO CUMPLE"</formula>
    </cfRule>
  </conditionalFormatting>
  <conditionalFormatting sqref="Q188:R189">
    <cfRule type="cellIs" dxfId="2445" priority="2623" stopIfTrue="1" operator="equal">
      <formula>0</formula>
    </cfRule>
  </conditionalFormatting>
  <conditionalFormatting sqref="Q188:R189 O188:O189">
    <cfRule type="cellIs" dxfId="2444" priority="2624" operator="equal">
      <formula>"CUMPLE"</formula>
    </cfRule>
  </conditionalFormatting>
  <conditionalFormatting sqref="O188:O189">
    <cfRule type="cellIs" dxfId="2443" priority="2619" operator="equal">
      <formula>"NO CUMPLE"</formula>
    </cfRule>
    <cfRule type="cellIs" dxfId="2442" priority="2621" stopIfTrue="1" operator="greaterThan">
      <formula>0</formula>
    </cfRule>
  </conditionalFormatting>
  <conditionalFormatting sqref="O188:O189">
    <cfRule type="cellIs" dxfId="2441" priority="2620" stopIfTrue="1" operator="equal">
      <formula>0</formula>
    </cfRule>
  </conditionalFormatting>
  <conditionalFormatting sqref="S181:S183">
    <cfRule type="cellIs" dxfId="2440" priority="2618" stopIfTrue="1" operator="greaterThan">
      <formula>0</formula>
    </cfRule>
  </conditionalFormatting>
  <conditionalFormatting sqref="S181:S183">
    <cfRule type="cellIs" dxfId="2439" priority="2617" stopIfTrue="1" operator="greaterThan">
      <formula>0</formula>
    </cfRule>
  </conditionalFormatting>
  <conditionalFormatting sqref="S184:S191">
    <cfRule type="cellIs" dxfId="2438" priority="2612" operator="equal">
      <formula>"NO CUMPLE"</formula>
    </cfRule>
    <cfRule type="cellIs" dxfId="2437" priority="2616" stopIfTrue="1" operator="greaterThan">
      <formula>0</formula>
    </cfRule>
  </conditionalFormatting>
  <conditionalFormatting sqref="S184:S191">
    <cfRule type="cellIs" dxfId="2436" priority="2615" operator="equal">
      <formula>"NO CUMPLE"</formula>
    </cfRule>
  </conditionalFormatting>
  <conditionalFormatting sqref="S184:S189">
    <cfRule type="cellIs" dxfId="2435" priority="2613" stopIfTrue="1" operator="equal">
      <formula>0</formula>
    </cfRule>
  </conditionalFormatting>
  <conditionalFormatting sqref="S184:S191">
    <cfRule type="cellIs" dxfId="2434" priority="2614" operator="equal">
      <formula>"CUMPLE"</formula>
    </cfRule>
  </conditionalFormatting>
  <conditionalFormatting sqref="T181:U191">
    <cfRule type="cellIs" dxfId="2433" priority="2611" stopIfTrue="1" operator="greaterThan">
      <formula>0</formula>
    </cfRule>
  </conditionalFormatting>
  <conditionalFormatting sqref="T191:U191">
    <cfRule type="cellIs" dxfId="2432" priority="2607" operator="equal">
      <formula>"NO CUMPLE"</formula>
    </cfRule>
    <cfRule type="cellIs" dxfId="2431" priority="2610" stopIfTrue="1" operator="greaterThan">
      <formula>0</formula>
    </cfRule>
  </conditionalFormatting>
  <conditionalFormatting sqref="T191:U191">
    <cfRule type="cellIs" dxfId="2430" priority="2609" operator="equal">
      <formula>"NO CUMPLE"</formula>
    </cfRule>
  </conditionalFormatting>
  <conditionalFormatting sqref="T191:U191">
    <cfRule type="cellIs" dxfId="2429" priority="2608" operator="equal">
      <formula>"CUMPLE"</formula>
    </cfRule>
  </conditionalFormatting>
  <conditionalFormatting sqref="T184:U190">
    <cfRule type="cellIs" dxfId="2428" priority="2603" operator="equal">
      <formula>"NO CUMPLE"</formula>
    </cfRule>
  </conditionalFormatting>
  <conditionalFormatting sqref="T184:U190">
    <cfRule type="cellIs" dxfId="2427" priority="2606" operator="equal">
      <formula>"NO CUMPLE"</formula>
    </cfRule>
  </conditionalFormatting>
  <conditionalFormatting sqref="T184:U190">
    <cfRule type="cellIs" dxfId="2426" priority="2604" stopIfTrue="1" operator="equal">
      <formula>0</formula>
    </cfRule>
  </conditionalFormatting>
  <conditionalFormatting sqref="T184:U190">
    <cfRule type="cellIs" dxfId="2425" priority="2605" operator="equal">
      <formula>"CUMPLE"</formula>
    </cfRule>
  </conditionalFormatting>
  <conditionalFormatting sqref="M211:N211">
    <cfRule type="cellIs" dxfId="2424" priority="2598" stopIfTrue="1" operator="equal">
      <formula>"NO CUMPLE"</formula>
    </cfRule>
    <cfRule type="cellIs" dxfId="2423" priority="2599" stopIfTrue="1" operator="equal">
      <formula>"CUMPLE"</formula>
    </cfRule>
  </conditionalFormatting>
  <conditionalFormatting sqref="B201:B205 C202:L205 B208:N208">
    <cfRule type="cellIs" dxfId="2422" priority="2600" stopIfTrue="1" operator="greaterThan">
      <formula>0</formula>
    </cfRule>
  </conditionalFormatting>
  <conditionalFormatting sqref="M202:N205">
    <cfRule type="cellIs" dxfId="2421" priority="2601" stopIfTrue="1" operator="greaterThan">
      <formula>0</formula>
    </cfRule>
  </conditionalFormatting>
  <conditionalFormatting sqref="B199:B200 C201 D199:N201 C199 P199:R201">
    <cfRule type="cellIs" dxfId="2420" priority="2602" stopIfTrue="1" operator="greaterThan">
      <formula>0</formula>
    </cfRule>
  </conditionalFormatting>
  <conditionalFormatting sqref="G199:G201">
    <cfRule type="cellIs" dxfId="2419" priority="2597" stopIfTrue="1" operator="greaterThan">
      <formula>0</formula>
    </cfRule>
  </conditionalFormatting>
  <conditionalFormatting sqref="N202:N205">
    <cfRule type="cellIs" dxfId="2418" priority="2596" operator="equal">
      <formula>0</formula>
    </cfRule>
  </conditionalFormatting>
  <conditionalFormatting sqref="R202:R205 R208:R209">
    <cfRule type="cellIs" dxfId="2417" priority="2594" stopIfTrue="1" operator="greaterThan">
      <formula>0</formula>
    </cfRule>
  </conditionalFormatting>
  <conditionalFormatting sqref="R199:R201">
    <cfRule type="cellIs" dxfId="2416" priority="2595" stopIfTrue="1" operator="greaterThan">
      <formula>0</formula>
    </cfRule>
  </conditionalFormatting>
  <conditionalFormatting sqref="R203:R205 R208:R209">
    <cfRule type="cellIs" dxfId="2415" priority="2592" operator="equal">
      <formula>"CUMPLE"</formula>
    </cfRule>
    <cfRule type="cellIs" dxfId="2414" priority="2593" operator="equal">
      <formula>"NO CUMPLE"</formula>
    </cfRule>
  </conditionalFormatting>
  <conditionalFormatting sqref="Q199:Q201">
    <cfRule type="cellIs" dxfId="2413" priority="2591" stopIfTrue="1" operator="greaterThan">
      <formula>0</formula>
    </cfRule>
  </conditionalFormatting>
  <conditionalFormatting sqref="Q202:Q205 Q208:Q209">
    <cfRule type="cellIs" dxfId="2412" priority="2586" operator="equal">
      <formula>"NO CUMPLE"</formula>
    </cfRule>
    <cfRule type="cellIs" dxfId="2411" priority="2590" stopIfTrue="1" operator="greaterThan">
      <formula>0</formula>
    </cfRule>
  </conditionalFormatting>
  <conditionalFormatting sqref="Q202:Q205 O202:O205 O208:O209 Q208:Q209">
    <cfRule type="cellIs" dxfId="2410" priority="2589" operator="equal">
      <formula>"NO CUMPLE"</formula>
    </cfRule>
  </conditionalFormatting>
  <conditionalFormatting sqref="Q202:R205">
    <cfRule type="cellIs" dxfId="2409" priority="2587" stopIfTrue="1" operator="equal">
      <formula>0</formula>
    </cfRule>
  </conditionalFormatting>
  <conditionalFormatting sqref="Q202:R205 O202:O205 O208:O209 Q208:R209">
    <cfRule type="cellIs" dxfId="2408" priority="2588" operator="equal">
      <formula>"CUMPLE"</formula>
    </cfRule>
  </conditionalFormatting>
  <conditionalFormatting sqref="O199:O201">
    <cfRule type="cellIs" dxfId="2407" priority="2585" stopIfTrue="1" operator="greaterThan">
      <formula>0</formula>
    </cfRule>
  </conditionalFormatting>
  <conditionalFormatting sqref="O199:O201">
    <cfRule type="cellIs" dxfId="2406" priority="2584" stopIfTrue="1" operator="greaterThan">
      <formula>0</formula>
    </cfRule>
  </conditionalFormatting>
  <conditionalFormatting sqref="O202:O205 O208:O209">
    <cfRule type="cellIs" dxfId="2405" priority="2581" operator="equal">
      <formula>"NO CUMPLE"</formula>
    </cfRule>
    <cfRule type="cellIs" dxfId="2404" priority="2583" stopIfTrue="1" operator="greaterThan">
      <formula>0</formula>
    </cfRule>
  </conditionalFormatting>
  <conditionalFormatting sqref="O202:O205">
    <cfRule type="cellIs" dxfId="2403" priority="2582" stopIfTrue="1" operator="equal">
      <formula>0</formula>
    </cfRule>
  </conditionalFormatting>
  <conditionalFormatting sqref="B206:L207">
    <cfRule type="cellIs" dxfId="2402" priority="2579" stopIfTrue="1" operator="greaterThan">
      <formula>0</formula>
    </cfRule>
  </conditionalFormatting>
  <conditionalFormatting sqref="M206:N207">
    <cfRule type="cellIs" dxfId="2401" priority="2580" stopIfTrue="1" operator="greaterThan">
      <formula>0</formula>
    </cfRule>
  </conditionalFormatting>
  <conditionalFormatting sqref="N206:N207">
    <cfRule type="cellIs" dxfId="2400" priority="2578" operator="equal">
      <formula>0</formula>
    </cfRule>
  </conditionalFormatting>
  <conditionalFormatting sqref="R206:R207">
    <cfRule type="cellIs" dxfId="2399" priority="2577" stopIfTrue="1" operator="greaterThan">
      <formula>0</formula>
    </cfRule>
  </conditionalFormatting>
  <conditionalFormatting sqref="R206:R207">
    <cfRule type="cellIs" dxfId="2398" priority="2575" operator="equal">
      <formula>"CUMPLE"</formula>
    </cfRule>
    <cfRule type="cellIs" dxfId="2397" priority="2576" operator="equal">
      <formula>"NO CUMPLE"</formula>
    </cfRule>
  </conditionalFormatting>
  <conditionalFormatting sqref="Q206:Q207">
    <cfRule type="cellIs" dxfId="2396" priority="2570" operator="equal">
      <formula>"NO CUMPLE"</formula>
    </cfRule>
    <cfRule type="cellIs" dxfId="2395" priority="2574" stopIfTrue="1" operator="greaterThan">
      <formula>0</formula>
    </cfRule>
  </conditionalFormatting>
  <conditionalFormatting sqref="Q206:Q207 O206:O207">
    <cfRule type="cellIs" dxfId="2394" priority="2573" operator="equal">
      <formula>"NO CUMPLE"</formula>
    </cfRule>
  </conditionalFormatting>
  <conditionalFormatting sqref="Q206:R207">
    <cfRule type="cellIs" dxfId="2393" priority="2571" stopIfTrue="1" operator="equal">
      <formula>0</formula>
    </cfRule>
  </conditionalFormatting>
  <conditionalFormatting sqref="Q206:R207 O206:O207">
    <cfRule type="cellIs" dxfId="2392" priority="2572" operator="equal">
      <formula>"CUMPLE"</formula>
    </cfRule>
  </conditionalFormatting>
  <conditionalFormatting sqref="O206:O207">
    <cfRule type="cellIs" dxfId="2391" priority="2567" operator="equal">
      <formula>"NO CUMPLE"</formula>
    </cfRule>
    <cfRule type="cellIs" dxfId="2390" priority="2569" stopIfTrue="1" operator="greaterThan">
      <formula>0</formula>
    </cfRule>
  </conditionalFormatting>
  <conditionalFormatting sqref="O206:O207">
    <cfRule type="cellIs" dxfId="2389" priority="2568" stopIfTrue="1" operator="equal">
      <formula>0</formula>
    </cfRule>
  </conditionalFormatting>
  <conditionalFormatting sqref="S199:S201">
    <cfRule type="cellIs" dxfId="2388" priority="2566" stopIfTrue="1" operator="greaterThan">
      <formula>0</formula>
    </cfRule>
  </conditionalFormatting>
  <conditionalFormatting sqref="S199:S201">
    <cfRule type="cellIs" dxfId="2387" priority="2565" stopIfTrue="1" operator="greaterThan">
      <formula>0</formula>
    </cfRule>
  </conditionalFormatting>
  <conditionalFormatting sqref="S202:S209">
    <cfRule type="cellIs" dxfId="2386" priority="2560" operator="equal">
      <formula>"NO CUMPLE"</formula>
    </cfRule>
    <cfRule type="cellIs" dxfId="2385" priority="2564" stopIfTrue="1" operator="greaterThan">
      <formula>0</formula>
    </cfRule>
  </conditionalFormatting>
  <conditionalFormatting sqref="S202:S209">
    <cfRule type="cellIs" dxfId="2384" priority="2563" operator="equal">
      <formula>"NO CUMPLE"</formula>
    </cfRule>
  </conditionalFormatting>
  <conditionalFormatting sqref="S202:S207">
    <cfRule type="cellIs" dxfId="2383" priority="2561" stopIfTrue="1" operator="equal">
      <formula>0</formula>
    </cfRule>
  </conditionalFormatting>
  <conditionalFormatting sqref="S202:S209">
    <cfRule type="cellIs" dxfId="2382" priority="2562" operator="equal">
      <formula>"CUMPLE"</formula>
    </cfRule>
  </conditionalFormatting>
  <conditionalFormatting sqref="T199:U209">
    <cfRule type="cellIs" dxfId="2381" priority="2559" stopIfTrue="1" operator="greaterThan">
      <formula>0</formula>
    </cfRule>
  </conditionalFormatting>
  <conditionalFormatting sqref="T209:U209">
    <cfRule type="cellIs" dxfId="2380" priority="2555" operator="equal">
      <formula>"NO CUMPLE"</formula>
    </cfRule>
    <cfRule type="cellIs" dxfId="2379" priority="2558" stopIfTrue="1" operator="greaterThan">
      <formula>0</formula>
    </cfRule>
  </conditionalFormatting>
  <conditionalFormatting sqref="T209:U209">
    <cfRule type="cellIs" dxfId="2378" priority="2557" operator="equal">
      <formula>"NO CUMPLE"</formula>
    </cfRule>
  </conditionalFormatting>
  <conditionalFormatting sqref="T209:U209">
    <cfRule type="cellIs" dxfId="2377" priority="2556" operator="equal">
      <formula>"CUMPLE"</formula>
    </cfRule>
  </conditionalFormatting>
  <conditionalFormatting sqref="T202:U208">
    <cfRule type="cellIs" dxfId="2376" priority="2551" operator="equal">
      <formula>"NO CUMPLE"</formula>
    </cfRule>
  </conditionalFormatting>
  <conditionalFormatting sqref="T202:U208">
    <cfRule type="cellIs" dxfId="2375" priority="2554" operator="equal">
      <formula>"NO CUMPLE"</formula>
    </cfRule>
  </conditionalFormatting>
  <conditionalFormatting sqref="T202:U208">
    <cfRule type="cellIs" dxfId="2374" priority="2552" stopIfTrue="1" operator="equal">
      <formula>0</formula>
    </cfRule>
  </conditionalFormatting>
  <conditionalFormatting sqref="T202:U208">
    <cfRule type="cellIs" dxfId="2373" priority="2553" operator="equal">
      <formula>"CUMPLE"</formula>
    </cfRule>
  </conditionalFormatting>
  <conditionalFormatting sqref="M229:N229">
    <cfRule type="cellIs" dxfId="2372" priority="2546" stopIfTrue="1" operator="equal">
      <formula>"NO CUMPLE"</formula>
    </cfRule>
    <cfRule type="cellIs" dxfId="2371" priority="2547" stopIfTrue="1" operator="equal">
      <formula>"CUMPLE"</formula>
    </cfRule>
  </conditionalFormatting>
  <conditionalFormatting sqref="B219:B223 C220:L223 B226:N226">
    <cfRule type="cellIs" dxfId="2370" priority="2548" stopIfTrue="1" operator="greaterThan">
      <formula>0</formula>
    </cfRule>
  </conditionalFormatting>
  <conditionalFormatting sqref="M220:N223">
    <cfRule type="cellIs" dxfId="2369" priority="2549" stopIfTrue="1" operator="greaterThan">
      <formula>0</formula>
    </cfRule>
  </conditionalFormatting>
  <conditionalFormatting sqref="B217:B218 C219 D217:N219 C217 P217:R219">
    <cfRule type="cellIs" dxfId="2368" priority="2550" stopIfTrue="1" operator="greaterThan">
      <formula>0</formula>
    </cfRule>
  </conditionalFormatting>
  <conditionalFormatting sqref="G217:G219">
    <cfRule type="cellIs" dxfId="2367" priority="2545" stopIfTrue="1" operator="greaterThan">
      <formula>0</formula>
    </cfRule>
  </conditionalFormatting>
  <conditionalFormatting sqref="N220:N223">
    <cfRule type="cellIs" dxfId="2366" priority="2544" operator="equal">
      <formula>0</formula>
    </cfRule>
  </conditionalFormatting>
  <conditionalFormatting sqref="R220:R223 R226:R227">
    <cfRule type="cellIs" dxfId="2365" priority="2542" stopIfTrue="1" operator="greaterThan">
      <formula>0</formula>
    </cfRule>
  </conditionalFormatting>
  <conditionalFormatting sqref="R217:R219">
    <cfRule type="cellIs" dxfId="2364" priority="2543" stopIfTrue="1" operator="greaterThan">
      <formula>0</formula>
    </cfRule>
  </conditionalFormatting>
  <conditionalFormatting sqref="R221:R223 R226:R227">
    <cfRule type="cellIs" dxfId="2363" priority="2540" operator="equal">
      <formula>"CUMPLE"</formula>
    </cfRule>
    <cfRule type="cellIs" dxfId="2362" priority="2541" operator="equal">
      <formula>"NO CUMPLE"</formula>
    </cfRule>
  </conditionalFormatting>
  <conditionalFormatting sqref="Q217:Q219">
    <cfRule type="cellIs" dxfId="2361" priority="2539" stopIfTrue="1" operator="greaterThan">
      <formula>0</formula>
    </cfRule>
  </conditionalFormatting>
  <conditionalFormatting sqref="Q220:Q223 Q226:Q227">
    <cfRule type="cellIs" dxfId="2360" priority="2534" operator="equal">
      <formula>"NO CUMPLE"</formula>
    </cfRule>
    <cfRule type="cellIs" dxfId="2359" priority="2538" stopIfTrue="1" operator="greaterThan">
      <formula>0</formula>
    </cfRule>
  </conditionalFormatting>
  <conditionalFormatting sqref="Q220:Q223 O220:O223 O226:O227 Q226:Q227">
    <cfRule type="cellIs" dxfId="2358" priority="2537" operator="equal">
      <formula>"NO CUMPLE"</formula>
    </cfRule>
  </conditionalFormatting>
  <conditionalFormatting sqref="Q220:R223">
    <cfRule type="cellIs" dxfId="2357" priority="2535" stopIfTrue="1" operator="equal">
      <formula>0</formula>
    </cfRule>
  </conditionalFormatting>
  <conditionalFormatting sqref="Q220:R223 O220:O223 O226:O227 Q226:R227">
    <cfRule type="cellIs" dxfId="2356" priority="2536" operator="equal">
      <formula>"CUMPLE"</formula>
    </cfRule>
  </conditionalFormatting>
  <conditionalFormatting sqref="O217:O219">
    <cfRule type="cellIs" dxfId="2355" priority="2533" stopIfTrue="1" operator="greaterThan">
      <formula>0</formula>
    </cfRule>
  </conditionalFormatting>
  <conditionalFormatting sqref="O217:O219">
    <cfRule type="cellIs" dxfId="2354" priority="2532" stopIfTrue="1" operator="greaterThan">
      <formula>0</formula>
    </cfRule>
  </conditionalFormatting>
  <conditionalFormatting sqref="O220:O223 O226:O227">
    <cfRule type="cellIs" dxfId="2353" priority="2529" operator="equal">
      <formula>"NO CUMPLE"</formula>
    </cfRule>
    <cfRule type="cellIs" dxfId="2352" priority="2531" stopIfTrue="1" operator="greaterThan">
      <formula>0</formula>
    </cfRule>
  </conditionalFormatting>
  <conditionalFormatting sqref="O220:O223">
    <cfRule type="cellIs" dxfId="2351" priority="2530" stopIfTrue="1" operator="equal">
      <formula>0</formula>
    </cfRule>
  </conditionalFormatting>
  <conditionalFormatting sqref="B224:L225">
    <cfRule type="cellIs" dxfId="2350" priority="2527" stopIfTrue="1" operator="greaterThan">
      <formula>0</formula>
    </cfRule>
  </conditionalFormatting>
  <conditionalFormatting sqref="M224:N225">
    <cfRule type="cellIs" dxfId="2349" priority="2528" stopIfTrue="1" operator="greaterThan">
      <formula>0</formula>
    </cfRule>
  </conditionalFormatting>
  <conditionalFormatting sqref="N224:N225">
    <cfRule type="cellIs" dxfId="2348" priority="2526" operator="equal">
      <formula>0</formula>
    </cfRule>
  </conditionalFormatting>
  <conditionalFormatting sqref="R224:R225">
    <cfRule type="cellIs" dxfId="2347" priority="2525" stopIfTrue="1" operator="greaterThan">
      <formula>0</formula>
    </cfRule>
  </conditionalFormatting>
  <conditionalFormatting sqref="R224:R225">
    <cfRule type="cellIs" dxfId="2346" priority="2523" operator="equal">
      <formula>"CUMPLE"</formula>
    </cfRule>
    <cfRule type="cellIs" dxfId="2345" priority="2524" operator="equal">
      <formula>"NO CUMPLE"</formula>
    </cfRule>
  </conditionalFormatting>
  <conditionalFormatting sqref="Q224:Q225">
    <cfRule type="cellIs" dxfId="2344" priority="2518" operator="equal">
      <formula>"NO CUMPLE"</formula>
    </cfRule>
    <cfRule type="cellIs" dxfId="2343" priority="2522" stopIfTrue="1" operator="greaterThan">
      <formula>0</formula>
    </cfRule>
  </conditionalFormatting>
  <conditionalFormatting sqref="Q224:Q225 O224:O225">
    <cfRule type="cellIs" dxfId="2342" priority="2521" operator="equal">
      <formula>"NO CUMPLE"</formula>
    </cfRule>
  </conditionalFormatting>
  <conditionalFormatting sqref="Q224:R225">
    <cfRule type="cellIs" dxfId="2341" priority="2519" stopIfTrue="1" operator="equal">
      <formula>0</formula>
    </cfRule>
  </conditionalFormatting>
  <conditionalFormatting sqref="Q224:R225 O224:O225">
    <cfRule type="cellIs" dxfId="2340" priority="2520" operator="equal">
      <formula>"CUMPLE"</formula>
    </cfRule>
  </conditionalFormatting>
  <conditionalFormatting sqref="O224:O225">
    <cfRule type="cellIs" dxfId="2339" priority="2515" operator="equal">
      <formula>"NO CUMPLE"</formula>
    </cfRule>
    <cfRule type="cellIs" dxfId="2338" priority="2517" stopIfTrue="1" operator="greaterThan">
      <formula>0</formula>
    </cfRule>
  </conditionalFormatting>
  <conditionalFormatting sqref="O224:O225">
    <cfRule type="cellIs" dxfId="2337" priority="2516" stopIfTrue="1" operator="equal">
      <formula>0</formula>
    </cfRule>
  </conditionalFormatting>
  <conditionalFormatting sqref="S217:S219">
    <cfRule type="cellIs" dxfId="2336" priority="2514" stopIfTrue="1" operator="greaterThan">
      <formula>0</formula>
    </cfRule>
  </conditionalFormatting>
  <conditionalFormatting sqref="S217:S219">
    <cfRule type="cellIs" dxfId="2335" priority="2513" stopIfTrue="1" operator="greaterThan">
      <formula>0</formula>
    </cfRule>
  </conditionalFormatting>
  <conditionalFormatting sqref="S220:S227">
    <cfRule type="cellIs" dxfId="2334" priority="2508" operator="equal">
      <formula>"NO CUMPLE"</formula>
    </cfRule>
    <cfRule type="cellIs" dxfId="2333" priority="2512" stopIfTrue="1" operator="greaterThan">
      <formula>0</formula>
    </cfRule>
  </conditionalFormatting>
  <conditionalFormatting sqref="S220:S227">
    <cfRule type="cellIs" dxfId="2332" priority="2511" operator="equal">
      <formula>"NO CUMPLE"</formula>
    </cfRule>
  </conditionalFormatting>
  <conditionalFormatting sqref="S220:S225">
    <cfRule type="cellIs" dxfId="2331" priority="2509" stopIfTrue="1" operator="equal">
      <formula>0</formula>
    </cfRule>
  </conditionalFormatting>
  <conditionalFormatting sqref="S220:S227">
    <cfRule type="cellIs" dxfId="2330" priority="2510" operator="equal">
      <formula>"CUMPLE"</formula>
    </cfRule>
  </conditionalFormatting>
  <conditionalFormatting sqref="T217:U227">
    <cfRule type="cellIs" dxfId="2329" priority="2507" stopIfTrue="1" operator="greaterThan">
      <formula>0</formula>
    </cfRule>
  </conditionalFormatting>
  <conditionalFormatting sqref="T227:U227">
    <cfRule type="cellIs" dxfId="2328" priority="2503" operator="equal">
      <formula>"NO CUMPLE"</formula>
    </cfRule>
    <cfRule type="cellIs" dxfId="2327" priority="2506" stopIfTrue="1" operator="greaterThan">
      <formula>0</formula>
    </cfRule>
  </conditionalFormatting>
  <conditionalFormatting sqref="T227:U227">
    <cfRule type="cellIs" dxfId="2326" priority="2505" operator="equal">
      <formula>"NO CUMPLE"</formula>
    </cfRule>
  </conditionalFormatting>
  <conditionalFormatting sqref="T227:U227">
    <cfRule type="cellIs" dxfId="2325" priority="2504" operator="equal">
      <formula>"CUMPLE"</formula>
    </cfRule>
  </conditionalFormatting>
  <conditionalFormatting sqref="T220:U226">
    <cfRule type="cellIs" dxfId="2324" priority="2499" operator="equal">
      <formula>"NO CUMPLE"</formula>
    </cfRule>
  </conditionalFormatting>
  <conditionalFormatting sqref="T220:U226">
    <cfRule type="cellIs" dxfId="2323" priority="2502" operator="equal">
      <formula>"NO CUMPLE"</formula>
    </cfRule>
  </conditionalFormatting>
  <conditionalFormatting sqref="T220:U226">
    <cfRule type="cellIs" dxfId="2322" priority="2500" stopIfTrue="1" operator="equal">
      <formula>0</formula>
    </cfRule>
  </conditionalFormatting>
  <conditionalFormatting sqref="T220:U226">
    <cfRule type="cellIs" dxfId="2321" priority="2501" operator="equal">
      <formula>"CUMPLE"</formula>
    </cfRule>
  </conditionalFormatting>
  <conditionalFormatting sqref="M247:N247">
    <cfRule type="cellIs" dxfId="2320" priority="2494" stopIfTrue="1" operator="equal">
      <formula>"NO CUMPLE"</formula>
    </cfRule>
    <cfRule type="cellIs" dxfId="2319" priority="2495" stopIfTrue="1" operator="equal">
      <formula>"CUMPLE"</formula>
    </cfRule>
  </conditionalFormatting>
  <conditionalFormatting sqref="B237:B241 B244:N244 C238:L241">
    <cfRule type="cellIs" dxfId="2318" priority="2496" stopIfTrue="1" operator="greaterThan">
      <formula>0</formula>
    </cfRule>
  </conditionalFormatting>
  <conditionalFormatting sqref="M238:N241">
    <cfRule type="cellIs" dxfId="2317" priority="2497" stopIfTrue="1" operator="greaterThan">
      <formula>0</formula>
    </cfRule>
  </conditionalFormatting>
  <conditionalFormatting sqref="B235:B236 C237 D235:N237 C235 P235:R237">
    <cfRule type="cellIs" dxfId="2316" priority="2498" stopIfTrue="1" operator="greaterThan">
      <formula>0</formula>
    </cfRule>
  </conditionalFormatting>
  <conditionalFormatting sqref="G235:G237">
    <cfRule type="cellIs" dxfId="2315" priority="2493" stopIfTrue="1" operator="greaterThan">
      <formula>0</formula>
    </cfRule>
  </conditionalFormatting>
  <conditionalFormatting sqref="N238:N241">
    <cfRule type="cellIs" dxfId="2314" priority="2492" operator="equal">
      <formula>0</formula>
    </cfRule>
  </conditionalFormatting>
  <conditionalFormatting sqref="R238:R241 R244:R245">
    <cfRule type="cellIs" dxfId="2313" priority="2490" stopIfTrue="1" operator="greaterThan">
      <formula>0</formula>
    </cfRule>
  </conditionalFormatting>
  <conditionalFormatting sqref="R235:R237">
    <cfRule type="cellIs" dxfId="2312" priority="2491" stopIfTrue="1" operator="greaterThan">
      <formula>0</formula>
    </cfRule>
  </conditionalFormatting>
  <conditionalFormatting sqref="R239:R241 R244:R245">
    <cfRule type="cellIs" dxfId="2311" priority="2488" operator="equal">
      <formula>"CUMPLE"</formula>
    </cfRule>
    <cfRule type="cellIs" dxfId="2310" priority="2489" operator="equal">
      <formula>"NO CUMPLE"</formula>
    </cfRule>
  </conditionalFormatting>
  <conditionalFormatting sqref="Q235:Q237">
    <cfRule type="cellIs" dxfId="2309" priority="2487" stopIfTrue="1" operator="greaterThan">
      <formula>0</formula>
    </cfRule>
  </conditionalFormatting>
  <conditionalFormatting sqref="Q238:Q241 Q244:Q245">
    <cfRule type="cellIs" dxfId="2308" priority="2482" operator="equal">
      <formula>"NO CUMPLE"</formula>
    </cfRule>
    <cfRule type="cellIs" dxfId="2307" priority="2486" stopIfTrue="1" operator="greaterThan">
      <formula>0</formula>
    </cfRule>
  </conditionalFormatting>
  <conditionalFormatting sqref="Q238:Q241 O238:O241 O244:O245 Q244:Q245">
    <cfRule type="cellIs" dxfId="2306" priority="2485" operator="equal">
      <formula>"NO CUMPLE"</formula>
    </cfRule>
  </conditionalFormatting>
  <conditionalFormatting sqref="Q238:R241">
    <cfRule type="cellIs" dxfId="2305" priority="2483" stopIfTrue="1" operator="equal">
      <formula>0</formula>
    </cfRule>
  </conditionalFormatting>
  <conditionalFormatting sqref="Q238:R241 O238:O241 O244:O245 Q244:R245">
    <cfRule type="cellIs" dxfId="2304" priority="2484" operator="equal">
      <formula>"CUMPLE"</formula>
    </cfRule>
  </conditionalFormatting>
  <conditionalFormatting sqref="O235:O237">
    <cfRule type="cellIs" dxfId="2303" priority="2481" stopIfTrue="1" operator="greaterThan">
      <formula>0</formula>
    </cfRule>
  </conditionalFormatting>
  <conditionalFormatting sqref="O235:O237">
    <cfRule type="cellIs" dxfId="2302" priority="2480" stopIfTrue="1" operator="greaterThan">
      <formula>0</formula>
    </cfRule>
  </conditionalFormatting>
  <conditionalFormatting sqref="O238:O241 O244:O245">
    <cfRule type="cellIs" dxfId="2301" priority="2477" operator="equal">
      <formula>"NO CUMPLE"</formula>
    </cfRule>
    <cfRule type="cellIs" dxfId="2300" priority="2479" stopIfTrue="1" operator="greaterThan">
      <formula>0</formula>
    </cfRule>
  </conditionalFormatting>
  <conditionalFormatting sqref="O238:O241">
    <cfRule type="cellIs" dxfId="2299" priority="2478" stopIfTrue="1" operator="equal">
      <formula>0</formula>
    </cfRule>
  </conditionalFormatting>
  <conditionalFormatting sqref="B242:L243">
    <cfRule type="cellIs" dxfId="2298" priority="2475" stopIfTrue="1" operator="greaterThan">
      <formula>0</formula>
    </cfRule>
  </conditionalFormatting>
  <conditionalFormatting sqref="M242:N243">
    <cfRule type="cellIs" dxfId="2297" priority="2476" stopIfTrue="1" operator="greaterThan">
      <formula>0</formula>
    </cfRule>
  </conditionalFormatting>
  <conditionalFormatting sqref="N242:N243">
    <cfRule type="cellIs" dxfId="2296" priority="2474" operator="equal">
      <formula>0</formula>
    </cfRule>
  </conditionalFormatting>
  <conditionalFormatting sqref="R242:R243">
    <cfRule type="cellIs" dxfId="2295" priority="2473" stopIfTrue="1" operator="greaterThan">
      <formula>0</formula>
    </cfRule>
  </conditionalFormatting>
  <conditionalFormatting sqref="R242:R243">
    <cfRule type="cellIs" dxfId="2294" priority="2471" operator="equal">
      <formula>"CUMPLE"</formula>
    </cfRule>
    <cfRule type="cellIs" dxfId="2293" priority="2472" operator="equal">
      <formula>"NO CUMPLE"</formula>
    </cfRule>
  </conditionalFormatting>
  <conditionalFormatting sqref="Q242:Q243">
    <cfRule type="cellIs" dxfId="2292" priority="2466" operator="equal">
      <formula>"NO CUMPLE"</formula>
    </cfRule>
    <cfRule type="cellIs" dxfId="2291" priority="2470" stopIfTrue="1" operator="greaterThan">
      <formula>0</formula>
    </cfRule>
  </conditionalFormatting>
  <conditionalFormatting sqref="Q242:Q243 O242:O243">
    <cfRule type="cellIs" dxfId="2290" priority="2469" operator="equal">
      <formula>"NO CUMPLE"</formula>
    </cfRule>
  </conditionalFormatting>
  <conditionalFormatting sqref="Q242:R243">
    <cfRule type="cellIs" dxfId="2289" priority="2467" stopIfTrue="1" operator="equal">
      <formula>0</formula>
    </cfRule>
  </conditionalFormatting>
  <conditionalFormatting sqref="Q242:R243 O242:O243">
    <cfRule type="cellIs" dxfId="2288" priority="2468" operator="equal">
      <formula>"CUMPLE"</formula>
    </cfRule>
  </conditionalFormatting>
  <conditionalFormatting sqref="O242:O243">
    <cfRule type="cellIs" dxfId="2287" priority="2463" operator="equal">
      <formula>"NO CUMPLE"</formula>
    </cfRule>
    <cfRule type="cellIs" dxfId="2286" priority="2465" stopIfTrue="1" operator="greaterThan">
      <formula>0</formula>
    </cfRule>
  </conditionalFormatting>
  <conditionalFormatting sqref="O242:O243">
    <cfRule type="cellIs" dxfId="2285" priority="2464" stopIfTrue="1" operator="equal">
      <formula>0</formula>
    </cfRule>
  </conditionalFormatting>
  <conditionalFormatting sqref="S235:S237">
    <cfRule type="cellIs" dxfId="2284" priority="2462" stopIfTrue="1" operator="greaterThan">
      <formula>0</formula>
    </cfRule>
  </conditionalFormatting>
  <conditionalFormatting sqref="S235:S237">
    <cfRule type="cellIs" dxfId="2283" priority="2461" stopIfTrue="1" operator="greaterThan">
      <formula>0</formula>
    </cfRule>
  </conditionalFormatting>
  <conditionalFormatting sqref="S238:S245">
    <cfRule type="cellIs" dxfId="2282" priority="2456" operator="equal">
      <formula>"NO CUMPLE"</formula>
    </cfRule>
    <cfRule type="cellIs" dxfId="2281" priority="2460" stopIfTrue="1" operator="greaterThan">
      <formula>0</formula>
    </cfRule>
  </conditionalFormatting>
  <conditionalFormatting sqref="S238:S245">
    <cfRule type="cellIs" dxfId="2280" priority="2459" operator="equal">
      <formula>"NO CUMPLE"</formula>
    </cfRule>
  </conditionalFormatting>
  <conditionalFormatting sqref="S238:S243">
    <cfRule type="cellIs" dxfId="2279" priority="2457" stopIfTrue="1" operator="equal">
      <formula>0</formula>
    </cfRule>
  </conditionalFormatting>
  <conditionalFormatting sqref="S238:S245">
    <cfRule type="cellIs" dxfId="2278" priority="2458" operator="equal">
      <formula>"CUMPLE"</formula>
    </cfRule>
  </conditionalFormatting>
  <conditionalFormatting sqref="T235:U245">
    <cfRule type="cellIs" dxfId="2277" priority="2455" stopIfTrue="1" operator="greaterThan">
      <formula>0</formula>
    </cfRule>
  </conditionalFormatting>
  <conditionalFormatting sqref="T245:U245">
    <cfRule type="cellIs" dxfId="2276" priority="2451" operator="equal">
      <formula>"NO CUMPLE"</formula>
    </cfRule>
    <cfRule type="cellIs" dxfId="2275" priority="2454" stopIfTrue="1" operator="greaterThan">
      <formula>0</formula>
    </cfRule>
  </conditionalFormatting>
  <conditionalFormatting sqref="T245:U245">
    <cfRule type="cellIs" dxfId="2274" priority="2453" operator="equal">
      <formula>"NO CUMPLE"</formula>
    </cfRule>
  </conditionalFormatting>
  <conditionalFormatting sqref="T245:U245">
    <cfRule type="cellIs" dxfId="2273" priority="2452" operator="equal">
      <formula>"CUMPLE"</formula>
    </cfRule>
  </conditionalFormatting>
  <conditionalFormatting sqref="T238:U244">
    <cfRule type="cellIs" dxfId="2272" priority="2447" operator="equal">
      <formula>"NO CUMPLE"</formula>
    </cfRule>
  </conditionalFormatting>
  <conditionalFormatting sqref="T238:U244">
    <cfRule type="cellIs" dxfId="2271" priority="2450" operator="equal">
      <formula>"NO CUMPLE"</formula>
    </cfRule>
  </conditionalFormatting>
  <conditionalFormatting sqref="T238:U244">
    <cfRule type="cellIs" dxfId="2270" priority="2448" stopIfTrue="1" operator="equal">
      <formula>0</formula>
    </cfRule>
  </conditionalFormatting>
  <conditionalFormatting sqref="T238:U244">
    <cfRule type="cellIs" dxfId="2269" priority="2449" operator="equal">
      <formula>"CUMPLE"</formula>
    </cfRule>
  </conditionalFormatting>
  <conditionalFormatting sqref="M265:N265">
    <cfRule type="cellIs" dxfId="2268" priority="2442" stopIfTrue="1" operator="equal">
      <formula>"NO CUMPLE"</formula>
    </cfRule>
    <cfRule type="cellIs" dxfId="2267" priority="2443" stopIfTrue="1" operator="equal">
      <formula>"CUMPLE"</formula>
    </cfRule>
  </conditionalFormatting>
  <conditionalFormatting sqref="B255:B259 B262:N262 C256:L259">
    <cfRule type="cellIs" dxfId="2266" priority="2444" stopIfTrue="1" operator="greaterThan">
      <formula>0</formula>
    </cfRule>
  </conditionalFormatting>
  <conditionalFormatting sqref="M256:N259">
    <cfRule type="cellIs" dxfId="2265" priority="2445" stopIfTrue="1" operator="greaterThan">
      <formula>0</formula>
    </cfRule>
  </conditionalFormatting>
  <conditionalFormatting sqref="B253:B254 C255 D253:N255 C253 P253:R255">
    <cfRule type="cellIs" dxfId="2264" priority="2446" stopIfTrue="1" operator="greaterThan">
      <formula>0</formula>
    </cfRule>
  </conditionalFormatting>
  <conditionalFormatting sqref="G253:G255">
    <cfRule type="cellIs" dxfId="2263" priority="2441" stopIfTrue="1" operator="greaterThan">
      <formula>0</formula>
    </cfRule>
  </conditionalFormatting>
  <conditionalFormatting sqref="N256:N259">
    <cfRule type="cellIs" dxfId="2262" priority="2440" operator="equal">
      <formula>0</formula>
    </cfRule>
  </conditionalFormatting>
  <conditionalFormatting sqref="R256:R259 R262:R263">
    <cfRule type="cellIs" dxfId="2261" priority="2438" stopIfTrue="1" operator="greaterThan">
      <formula>0</formula>
    </cfRule>
  </conditionalFormatting>
  <conditionalFormatting sqref="R253:R255">
    <cfRule type="cellIs" dxfId="2260" priority="2439" stopIfTrue="1" operator="greaterThan">
      <formula>0</formula>
    </cfRule>
  </conditionalFormatting>
  <conditionalFormatting sqref="R257:R259 R262:R263">
    <cfRule type="cellIs" dxfId="2259" priority="2436" operator="equal">
      <formula>"CUMPLE"</formula>
    </cfRule>
    <cfRule type="cellIs" dxfId="2258" priority="2437" operator="equal">
      <formula>"NO CUMPLE"</formula>
    </cfRule>
  </conditionalFormatting>
  <conditionalFormatting sqref="Q253:Q255">
    <cfRule type="cellIs" dxfId="2257" priority="2435" stopIfTrue="1" operator="greaterThan">
      <formula>0</formula>
    </cfRule>
  </conditionalFormatting>
  <conditionalFormatting sqref="Q256:Q259 Q262:Q263">
    <cfRule type="cellIs" dxfId="2256" priority="2430" operator="equal">
      <formula>"NO CUMPLE"</formula>
    </cfRule>
    <cfRule type="cellIs" dxfId="2255" priority="2434" stopIfTrue="1" operator="greaterThan">
      <formula>0</formula>
    </cfRule>
  </conditionalFormatting>
  <conditionalFormatting sqref="Q256:Q259 O256:O259 O262:O263 Q262:Q263">
    <cfRule type="cellIs" dxfId="2254" priority="2433" operator="equal">
      <formula>"NO CUMPLE"</formula>
    </cfRule>
  </conditionalFormatting>
  <conditionalFormatting sqref="Q256:R259">
    <cfRule type="cellIs" dxfId="2253" priority="2431" stopIfTrue="1" operator="equal">
      <formula>0</formula>
    </cfRule>
  </conditionalFormatting>
  <conditionalFormatting sqref="Q256:R259 O256:O259 O262:O263 Q262:R263">
    <cfRule type="cellIs" dxfId="2252" priority="2432" operator="equal">
      <formula>"CUMPLE"</formula>
    </cfRule>
  </conditionalFormatting>
  <conditionalFormatting sqref="O253:O255">
    <cfRule type="cellIs" dxfId="2251" priority="2429" stopIfTrue="1" operator="greaterThan">
      <formula>0</formula>
    </cfRule>
  </conditionalFormatting>
  <conditionalFormatting sqref="O253:O255">
    <cfRule type="cellIs" dxfId="2250" priority="2428" stopIfTrue="1" operator="greaterThan">
      <formula>0</formula>
    </cfRule>
  </conditionalFormatting>
  <conditionalFormatting sqref="O256:O259 O262:O263">
    <cfRule type="cellIs" dxfId="2249" priority="2425" operator="equal">
      <formula>"NO CUMPLE"</formula>
    </cfRule>
    <cfRule type="cellIs" dxfId="2248" priority="2427" stopIfTrue="1" operator="greaterThan">
      <formula>0</formula>
    </cfRule>
  </conditionalFormatting>
  <conditionalFormatting sqref="O256:O259">
    <cfRule type="cellIs" dxfId="2247" priority="2426" stopIfTrue="1" operator="equal">
      <formula>0</formula>
    </cfRule>
  </conditionalFormatting>
  <conditionalFormatting sqref="B260:L261">
    <cfRule type="cellIs" dxfId="2246" priority="2423" stopIfTrue="1" operator="greaterThan">
      <formula>0</formula>
    </cfRule>
  </conditionalFormatting>
  <conditionalFormatting sqref="M260:N261">
    <cfRule type="cellIs" dxfId="2245" priority="2424" stopIfTrue="1" operator="greaterThan">
      <formula>0</formula>
    </cfRule>
  </conditionalFormatting>
  <conditionalFormatting sqref="N260:N261">
    <cfRule type="cellIs" dxfId="2244" priority="2422" operator="equal">
      <formula>0</formula>
    </cfRule>
  </conditionalFormatting>
  <conditionalFormatting sqref="R260:R261">
    <cfRule type="cellIs" dxfId="2243" priority="2421" stopIfTrue="1" operator="greaterThan">
      <formula>0</formula>
    </cfRule>
  </conditionalFormatting>
  <conditionalFormatting sqref="R260:R261">
    <cfRule type="cellIs" dxfId="2242" priority="2419" operator="equal">
      <formula>"CUMPLE"</formula>
    </cfRule>
    <cfRule type="cellIs" dxfId="2241" priority="2420" operator="equal">
      <formula>"NO CUMPLE"</formula>
    </cfRule>
  </conditionalFormatting>
  <conditionalFormatting sqref="Q260:Q261">
    <cfRule type="cellIs" dxfId="2240" priority="2414" operator="equal">
      <formula>"NO CUMPLE"</formula>
    </cfRule>
    <cfRule type="cellIs" dxfId="2239" priority="2418" stopIfTrue="1" operator="greaterThan">
      <formula>0</formula>
    </cfRule>
  </conditionalFormatting>
  <conditionalFormatting sqref="Q260:Q261 O260:O261">
    <cfRule type="cellIs" dxfId="2238" priority="2417" operator="equal">
      <formula>"NO CUMPLE"</formula>
    </cfRule>
  </conditionalFormatting>
  <conditionalFormatting sqref="Q260:R261">
    <cfRule type="cellIs" dxfId="2237" priority="2415" stopIfTrue="1" operator="equal">
      <formula>0</formula>
    </cfRule>
  </conditionalFormatting>
  <conditionalFormatting sqref="Q260:R261 O260:O261">
    <cfRule type="cellIs" dxfId="2236" priority="2416" operator="equal">
      <formula>"CUMPLE"</formula>
    </cfRule>
  </conditionalFormatting>
  <conditionalFormatting sqref="O260:O261">
    <cfRule type="cellIs" dxfId="2235" priority="2411" operator="equal">
      <formula>"NO CUMPLE"</formula>
    </cfRule>
    <cfRule type="cellIs" dxfId="2234" priority="2413" stopIfTrue="1" operator="greaterThan">
      <formula>0</formula>
    </cfRule>
  </conditionalFormatting>
  <conditionalFormatting sqref="O260:O261">
    <cfRule type="cellIs" dxfId="2233" priority="2412" stopIfTrue="1" operator="equal">
      <formula>0</formula>
    </cfRule>
  </conditionalFormatting>
  <conditionalFormatting sqref="S253:S255">
    <cfRule type="cellIs" dxfId="2232" priority="2410" stopIfTrue="1" operator="greaterThan">
      <formula>0</formula>
    </cfRule>
  </conditionalFormatting>
  <conditionalFormatting sqref="S253:S255">
    <cfRule type="cellIs" dxfId="2231" priority="2409" stopIfTrue="1" operator="greaterThan">
      <formula>0</formula>
    </cfRule>
  </conditionalFormatting>
  <conditionalFormatting sqref="S256:S263">
    <cfRule type="cellIs" dxfId="2230" priority="2404" operator="equal">
      <formula>"NO CUMPLE"</formula>
    </cfRule>
    <cfRule type="cellIs" dxfId="2229" priority="2408" stopIfTrue="1" operator="greaterThan">
      <formula>0</formula>
    </cfRule>
  </conditionalFormatting>
  <conditionalFormatting sqref="S256:S263">
    <cfRule type="cellIs" dxfId="2228" priority="2407" operator="equal">
      <formula>"NO CUMPLE"</formula>
    </cfRule>
  </conditionalFormatting>
  <conditionalFormatting sqref="S256:S261">
    <cfRule type="cellIs" dxfId="2227" priority="2405" stopIfTrue="1" operator="equal">
      <formula>0</formula>
    </cfRule>
  </conditionalFormatting>
  <conditionalFormatting sqref="S256:S263">
    <cfRule type="cellIs" dxfId="2226" priority="2406" operator="equal">
      <formula>"CUMPLE"</formula>
    </cfRule>
  </conditionalFormatting>
  <conditionalFormatting sqref="T253:U263">
    <cfRule type="cellIs" dxfId="2225" priority="2403" stopIfTrue="1" operator="greaterThan">
      <formula>0</formula>
    </cfRule>
  </conditionalFormatting>
  <conditionalFormatting sqref="T263:U263">
    <cfRule type="cellIs" dxfId="2224" priority="2399" operator="equal">
      <formula>"NO CUMPLE"</formula>
    </cfRule>
    <cfRule type="cellIs" dxfId="2223" priority="2402" stopIfTrue="1" operator="greaterThan">
      <formula>0</formula>
    </cfRule>
  </conditionalFormatting>
  <conditionalFormatting sqref="T263:U263">
    <cfRule type="cellIs" dxfId="2222" priority="2401" operator="equal">
      <formula>"NO CUMPLE"</formula>
    </cfRule>
  </conditionalFormatting>
  <conditionalFormatting sqref="T263:U263">
    <cfRule type="cellIs" dxfId="2221" priority="2400" operator="equal">
      <formula>"CUMPLE"</formula>
    </cfRule>
  </conditionalFormatting>
  <conditionalFormatting sqref="T256:U262">
    <cfRule type="cellIs" dxfId="2220" priority="2395" operator="equal">
      <formula>"NO CUMPLE"</formula>
    </cfRule>
  </conditionalFormatting>
  <conditionalFormatting sqref="T256:U262">
    <cfRule type="cellIs" dxfId="2219" priority="2398" operator="equal">
      <formula>"NO CUMPLE"</formula>
    </cfRule>
  </conditionalFormatting>
  <conditionalFormatting sqref="T256:U262">
    <cfRule type="cellIs" dxfId="2218" priority="2396" stopIfTrue="1" operator="equal">
      <formula>0</formula>
    </cfRule>
  </conditionalFormatting>
  <conditionalFormatting sqref="T256:U262">
    <cfRule type="cellIs" dxfId="2217" priority="2397" operator="equal">
      <formula>"CUMPLE"</formula>
    </cfRule>
  </conditionalFormatting>
  <conditionalFormatting sqref="M283:N283">
    <cfRule type="cellIs" dxfId="2216" priority="2390" stopIfTrue="1" operator="equal">
      <formula>"NO CUMPLE"</formula>
    </cfRule>
    <cfRule type="cellIs" dxfId="2215" priority="2391" stopIfTrue="1" operator="equal">
      <formula>"CUMPLE"</formula>
    </cfRule>
  </conditionalFormatting>
  <conditionalFormatting sqref="B273:B277 B280:N280 C274:L277">
    <cfRule type="cellIs" dxfId="2214" priority="2392" stopIfTrue="1" operator="greaterThan">
      <formula>0</formula>
    </cfRule>
  </conditionalFormatting>
  <conditionalFormatting sqref="M274:N277">
    <cfRule type="cellIs" dxfId="2213" priority="2393" stopIfTrue="1" operator="greaterThan">
      <formula>0</formula>
    </cfRule>
  </conditionalFormatting>
  <conditionalFormatting sqref="B271:B272 C273 D271:N273 C271 P271:R273">
    <cfRule type="cellIs" dxfId="2212" priority="2394" stopIfTrue="1" operator="greaterThan">
      <formula>0</formula>
    </cfRule>
  </conditionalFormatting>
  <conditionalFormatting sqref="G271:G273">
    <cfRule type="cellIs" dxfId="2211" priority="2389" stopIfTrue="1" operator="greaterThan">
      <formula>0</formula>
    </cfRule>
  </conditionalFormatting>
  <conditionalFormatting sqref="N274:N277">
    <cfRule type="cellIs" dxfId="2210" priority="2388" operator="equal">
      <formula>0</formula>
    </cfRule>
  </conditionalFormatting>
  <conditionalFormatting sqref="R274:R277 R280:R281">
    <cfRule type="cellIs" dxfId="2209" priority="2386" stopIfTrue="1" operator="greaterThan">
      <formula>0</formula>
    </cfRule>
  </conditionalFormatting>
  <conditionalFormatting sqref="R271:R273">
    <cfRule type="cellIs" dxfId="2208" priority="2387" stopIfTrue="1" operator="greaterThan">
      <formula>0</formula>
    </cfRule>
  </conditionalFormatting>
  <conditionalFormatting sqref="R275:R277 R280:R281">
    <cfRule type="cellIs" dxfId="2207" priority="2384" operator="equal">
      <formula>"CUMPLE"</formula>
    </cfRule>
    <cfRule type="cellIs" dxfId="2206" priority="2385" operator="equal">
      <formula>"NO CUMPLE"</formula>
    </cfRule>
  </conditionalFormatting>
  <conditionalFormatting sqref="Q271:Q273">
    <cfRule type="cellIs" dxfId="2205" priority="2383" stopIfTrue="1" operator="greaterThan">
      <formula>0</formula>
    </cfRule>
  </conditionalFormatting>
  <conditionalFormatting sqref="Q274:Q277 Q280:Q281">
    <cfRule type="cellIs" dxfId="2204" priority="2378" operator="equal">
      <formula>"NO CUMPLE"</formula>
    </cfRule>
    <cfRule type="cellIs" dxfId="2203" priority="2382" stopIfTrue="1" operator="greaterThan">
      <formula>0</formula>
    </cfRule>
  </conditionalFormatting>
  <conditionalFormatting sqref="Q274:Q277 O274:O277 O280:O281 Q280:Q281">
    <cfRule type="cellIs" dxfId="2202" priority="2381" operator="equal">
      <formula>"NO CUMPLE"</formula>
    </cfRule>
  </conditionalFormatting>
  <conditionalFormatting sqref="Q274:R277">
    <cfRule type="cellIs" dxfId="2201" priority="2379" stopIfTrue="1" operator="equal">
      <formula>0</formula>
    </cfRule>
  </conditionalFormatting>
  <conditionalFormatting sqref="Q274:R277 O274:O277 O280:O281 Q280:R281">
    <cfRule type="cellIs" dxfId="2200" priority="2380" operator="equal">
      <formula>"CUMPLE"</formula>
    </cfRule>
  </conditionalFormatting>
  <conditionalFormatting sqref="O271:O273">
    <cfRule type="cellIs" dxfId="2199" priority="2377" stopIfTrue="1" operator="greaterThan">
      <formula>0</formula>
    </cfRule>
  </conditionalFormatting>
  <conditionalFormatting sqref="O271:O273">
    <cfRule type="cellIs" dxfId="2198" priority="2376" stopIfTrue="1" operator="greaterThan">
      <formula>0</formula>
    </cfRule>
  </conditionalFormatting>
  <conditionalFormatting sqref="O274:O277 O280:O281">
    <cfRule type="cellIs" dxfId="2197" priority="2373" operator="equal">
      <formula>"NO CUMPLE"</formula>
    </cfRule>
    <cfRule type="cellIs" dxfId="2196" priority="2375" stopIfTrue="1" operator="greaterThan">
      <formula>0</formula>
    </cfRule>
  </conditionalFormatting>
  <conditionalFormatting sqref="O274:O277">
    <cfRule type="cellIs" dxfId="2195" priority="2374" stopIfTrue="1" operator="equal">
      <formula>0</formula>
    </cfRule>
  </conditionalFormatting>
  <conditionalFormatting sqref="B278:L279">
    <cfRule type="cellIs" dxfId="2194" priority="2371" stopIfTrue="1" operator="greaterThan">
      <formula>0</formula>
    </cfRule>
  </conditionalFormatting>
  <conditionalFormatting sqref="M278:N279">
    <cfRule type="cellIs" dxfId="2193" priority="2372" stopIfTrue="1" operator="greaterThan">
      <formula>0</formula>
    </cfRule>
  </conditionalFormatting>
  <conditionalFormatting sqref="N278:N279">
    <cfRule type="cellIs" dxfId="2192" priority="2370" operator="equal">
      <formula>0</formula>
    </cfRule>
  </conditionalFormatting>
  <conditionalFormatting sqref="R278:R279">
    <cfRule type="cellIs" dxfId="2191" priority="2369" stopIfTrue="1" operator="greaterThan">
      <formula>0</formula>
    </cfRule>
  </conditionalFormatting>
  <conditionalFormatting sqref="R278:R279">
    <cfRule type="cellIs" dxfId="2190" priority="2367" operator="equal">
      <formula>"CUMPLE"</formula>
    </cfRule>
    <cfRule type="cellIs" dxfId="2189" priority="2368" operator="equal">
      <formula>"NO CUMPLE"</formula>
    </cfRule>
  </conditionalFormatting>
  <conditionalFormatting sqref="Q278:Q279">
    <cfRule type="cellIs" dxfId="2188" priority="2362" operator="equal">
      <formula>"NO CUMPLE"</formula>
    </cfRule>
    <cfRule type="cellIs" dxfId="2187" priority="2366" stopIfTrue="1" operator="greaterThan">
      <formula>0</formula>
    </cfRule>
  </conditionalFormatting>
  <conditionalFormatting sqref="Q278:Q279 O278:O279">
    <cfRule type="cellIs" dxfId="2186" priority="2365" operator="equal">
      <formula>"NO CUMPLE"</formula>
    </cfRule>
  </conditionalFormatting>
  <conditionalFormatting sqref="Q278:R279">
    <cfRule type="cellIs" dxfId="2185" priority="2363" stopIfTrue="1" operator="equal">
      <formula>0</formula>
    </cfRule>
  </conditionalFormatting>
  <conditionalFormatting sqref="Q278:R279 O278:O279">
    <cfRule type="cellIs" dxfId="2184" priority="2364" operator="equal">
      <formula>"CUMPLE"</formula>
    </cfRule>
  </conditionalFormatting>
  <conditionalFormatting sqref="O278:O279">
    <cfRule type="cellIs" dxfId="2183" priority="2359" operator="equal">
      <formula>"NO CUMPLE"</formula>
    </cfRule>
    <cfRule type="cellIs" dxfId="2182" priority="2361" stopIfTrue="1" operator="greaterThan">
      <formula>0</formula>
    </cfRule>
  </conditionalFormatting>
  <conditionalFormatting sqref="O278:O279">
    <cfRule type="cellIs" dxfId="2181" priority="2360" stopIfTrue="1" operator="equal">
      <formula>0</formula>
    </cfRule>
  </conditionalFormatting>
  <conditionalFormatting sqref="S271:S273">
    <cfRule type="cellIs" dxfId="2180" priority="2358" stopIfTrue="1" operator="greaterThan">
      <formula>0</formula>
    </cfRule>
  </conditionalFormatting>
  <conditionalFormatting sqref="S271:S273">
    <cfRule type="cellIs" dxfId="2179" priority="2357" stopIfTrue="1" operator="greaterThan">
      <formula>0</formula>
    </cfRule>
  </conditionalFormatting>
  <conditionalFormatting sqref="S274:S281">
    <cfRule type="cellIs" dxfId="2178" priority="2352" operator="equal">
      <formula>"NO CUMPLE"</formula>
    </cfRule>
    <cfRule type="cellIs" dxfId="2177" priority="2356" stopIfTrue="1" operator="greaterThan">
      <formula>0</formula>
    </cfRule>
  </conditionalFormatting>
  <conditionalFormatting sqref="S274:S281">
    <cfRule type="cellIs" dxfId="2176" priority="2355" operator="equal">
      <formula>"NO CUMPLE"</formula>
    </cfRule>
  </conditionalFormatting>
  <conditionalFormatting sqref="S274:S279">
    <cfRule type="cellIs" dxfId="2175" priority="2353" stopIfTrue="1" operator="equal">
      <formula>0</formula>
    </cfRule>
  </conditionalFormatting>
  <conditionalFormatting sqref="S274:S281">
    <cfRule type="cellIs" dxfId="2174" priority="2354" operator="equal">
      <formula>"CUMPLE"</formula>
    </cfRule>
  </conditionalFormatting>
  <conditionalFormatting sqref="T271:U281">
    <cfRule type="cellIs" dxfId="2173" priority="2351" stopIfTrue="1" operator="greaterThan">
      <formula>0</formula>
    </cfRule>
  </conditionalFormatting>
  <conditionalFormatting sqref="T281:U281">
    <cfRule type="cellIs" dxfId="2172" priority="2347" operator="equal">
      <formula>"NO CUMPLE"</formula>
    </cfRule>
    <cfRule type="cellIs" dxfId="2171" priority="2350" stopIfTrue="1" operator="greaterThan">
      <formula>0</formula>
    </cfRule>
  </conditionalFormatting>
  <conditionalFormatting sqref="T281:U281">
    <cfRule type="cellIs" dxfId="2170" priority="2349" operator="equal">
      <formula>"NO CUMPLE"</formula>
    </cfRule>
  </conditionalFormatting>
  <conditionalFormatting sqref="T281:U281">
    <cfRule type="cellIs" dxfId="2169" priority="2348" operator="equal">
      <formula>"CUMPLE"</formula>
    </cfRule>
  </conditionalFormatting>
  <conditionalFormatting sqref="T274:U280">
    <cfRule type="cellIs" dxfId="2168" priority="2343" operator="equal">
      <formula>"NO CUMPLE"</formula>
    </cfRule>
  </conditionalFormatting>
  <conditionalFormatting sqref="T274:U280">
    <cfRule type="cellIs" dxfId="2167" priority="2346" operator="equal">
      <formula>"NO CUMPLE"</formula>
    </cfRule>
  </conditionalFormatting>
  <conditionalFormatting sqref="T274:U280">
    <cfRule type="cellIs" dxfId="2166" priority="2344" stopIfTrue="1" operator="equal">
      <formula>0</formula>
    </cfRule>
  </conditionalFormatting>
  <conditionalFormatting sqref="T274:U280">
    <cfRule type="cellIs" dxfId="2165" priority="2345" operator="equal">
      <formula>"CUMPLE"</formula>
    </cfRule>
  </conditionalFormatting>
  <conditionalFormatting sqref="M301:N301">
    <cfRule type="cellIs" dxfId="2164" priority="2338" stopIfTrue="1" operator="equal">
      <formula>"NO CUMPLE"</formula>
    </cfRule>
    <cfRule type="cellIs" dxfId="2163" priority="2339" stopIfTrue="1" operator="equal">
      <formula>"CUMPLE"</formula>
    </cfRule>
  </conditionalFormatting>
  <conditionalFormatting sqref="B291:B295 C292:L295 B298:N298">
    <cfRule type="cellIs" dxfId="2162" priority="2340" stopIfTrue="1" operator="greaterThan">
      <formula>0</formula>
    </cfRule>
  </conditionalFormatting>
  <conditionalFormatting sqref="M292:N295">
    <cfRule type="cellIs" dxfId="2161" priority="2341" stopIfTrue="1" operator="greaterThan">
      <formula>0</formula>
    </cfRule>
  </conditionalFormatting>
  <conditionalFormatting sqref="B289:B290 C291 D289:N291 C289 P289:R291">
    <cfRule type="cellIs" dxfId="2160" priority="2342" stopIfTrue="1" operator="greaterThan">
      <formula>0</formula>
    </cfRule>
  </conditionalFormatting>
  <conditionalFormatting sqref="G289:G291">
    <cfRule type="cellIs" dxfId="2159" priority="2337" stopIfTrue="1" operator="greaterThan">
      <formula>0</formula>
    </cfRule>
  </conditionalFormatting>
  <conditionalFormatting sqref="N292:N295">
    <cfRule type="cellIs" dxfId="2158" priority="2336" operator="equal">
      <formula>0</formula>
    </cfRule>
  </conditionalFormatting>
  <conditionalFormatting sqref="R292:R295 R298:R299">
    <cfRule type="cellIs" dxfId="2157" priority="2334" stopIfTrue="1" operator="greaterThan">
      <formula>0</formula>
    </cfRule>
  </conditionalFormatting>
  <conditionalFormatting sqref="R289:R291">
    <cfRule type="cellIs" dxfId="2156" priority="2335" stopIfTrue="1" operator="greaterThan">
      <formula>0</formula>
    </cfRule>
  </conditionalFormatting>
  <conditionalFormatting sqref="R293:R295 R298:R299">
    <cfRule type="cellIs" dxfId="2155" priority="2332" operator="equal">
      <formula>"CUMPLE"</formula>
    </cfRule>
    <cfRule type="cellIs" dxfId="2154" priority="2333" operator="equal">
      <formula>"NO CUMPLE"</formula>
    </cfRule>
  </conditionalFormatting>
  <conditionalFormatting sqref="Q289:Q291">
    <cfRule type="cellIs" dxfId="2153" priority="2331" stopIfTrue="1" operator="greaterThan">
      <formula>0</formula>
    </cfRule>
  </conditionalFormatting>
  <conditionalFormatting sqref="Q292:Q295 Q298:Q299">
    <cfRule type="cellIs" dxfId="2152" priority="2326" operator="equal">
      <formula>"NO CUMPLE"</formula>
    </cfRule>
    <cfRule type="cellIs" dxfId="2151" priority="2330" stopIfTrue="1" operator="greaterThan">
      <formula>0</formula>
    </cfRule>
  </conditionalFormatting>
  <conditionalFormatting sqref="Q292:Q295 O292:O295 O298:O299 Q298:Q299">
    <cfRule type="cellIs" dxfId="2150" priority="2329" operator="equal">
      <formula>"NO CUMPLE"</formula>
    </cfRule>
  </conditionalFormatting>
  <conditionalFormatting sqref="Q292:R295">
    <cfRule type="cellIs" dxfId="2149" priority="2327" stopIfTrue="1" operator="equal">
      <formula>0</formula>
    </cfRule>
  </conditionalFormatting>
  <conditionalFormatting sqref="Q292:R295 O292:O295 O298:O299 Q298:R299">
    <cfRule type="cellIs" dxfId="2148" priority="2328" operator="equal">
      <formula>"CUMPLE"</formula>
    </cfRule>
  </conditionalFormatting>
  <conditionalFormatting sqref="O289:O291">
    <cfRule type="cellIs" dxfId="2147" priority="2325" stopIfTrue="1" operator="greaterThan">
      <formula>0</formula>
    </cfRule>
  </conditionalFormatting>
  <conditionalFormatting sqref="O289:O291">
    <cfRule type="cellIs" dxfId="2146" priority="2324" stopIfTrue="1" operator="greaterThan">
      <formula>0</formula>
    </cfRule>
  </conditionalFormatting>
  <conditionalFormatting sqref="O292:O295 O298:O299">
    <cfRule type="cellIs" dxfId="2145" priority="2321" operator="equal">
      <formula>"NO CUMPLE"</formula>
    </cfRule>
    <cfRule type="cellIs" dxfId="2144" priority="2323" stopIfTrue="1" operator="greaterThan">
      <formula>0</formula>
    </cfRule>
  </conditionalFormatting>
  <conditionalFormatting sqref="O292:O295">
    <cfRule type="cellIs" dxfId="2143" priority="2322" stopIfTrue="1" operator="equal">
      <formula>0</formula>
    </cfRule>
  </conditionalFormatting>
  <conditionalFormatting sqref="B296:L297">
    <cfRule type="cellIs" dxfId="2142" priority="2319" stopIfTrue="1" operator="greaterThan">
      <formula>0</formula>
    </cfRule>
  </conditionalFormatting>
  <conditionalFormatting sqref="M296:N297">
    <cfRule type="cellIs" dxfId="2141" priority="2320" stopIfTrue="1" operator="greaterThan">
      <formula>0</formula>
    </cfRule>
  </conditionalFormatting>
  <conditionalFormatting sqref="N296:N297">
    <cfRule type="cellIs" dxfId="2140" priority="2318" operator="equal">
      <formula>0</formula>
    </cfRule>
  </conditionalFormatting>
  <conditionalFormatting sqref="R296:R297">
    <cfRule type="cellIs" dxfId="2139" priority="2317" stopIfTrue="1" operator="greaterThan">
      <formula>0</formula>
    </cfRule>
  </conditionalFormatting>
  <conditionalFormatting sqref="R296:R297">
    <cfRule type="cellIs" dxfId="2138" priority="2315" operator="equal">
      <formula>"CUMPLE"</formula>
    </cfRule>
    <cfRule type="cellIs" dxfId="2137" priority="2316" operator="equal">
      <formula>"NO CUMPLE"</formula>
    </cfRule>
  </conditionalFormatting>
  <conditionalFormatting sqref="Q296:Q297">
    <cfRule type="cellIs" dxfId="2136" priority="2310" operator="equal">
      <formula>"NO CUMPLE"</formula>
    </cfRule>
    <cfRule type="cellIs" dxfId="2135" priority="2314" stopIfTrue="1" operator="greaterThan">
      <formula>0</formula>
    </cfRule>
  </conditionalFormatting>
  <conditionalFormatting sqref="Q296:Q297 O296:O297">
    <cfRule type="cellIs" dxfId="2134" priority="2313" operator="equal">
      <formula>"NO CUMPLE"</formula>
    </cfRule>
  </conditionalFormatting>
  <conditionalFormatting sqref="Q296:R297">
    <cfRule type="cellIs" dxfId="2133" priority="2311" stopIfTrue="1" operator="equal">
      <formula>0</formula>
    </cfRule>
  </conditionalFormatting>
  <conditionalFormatting sqref="Q296:R297 O296:O297">
    <cfRule type="cellIs" dxfId="2132" priority="2312" operator="equal">
      <formula>"CUMPLE"</formula>
    </cfRule>
  </conditionalFormatting>
  <conditionalFormatting sqref="O296:O297">
    <cfRule type="cellIs" dxfId="2131" priority="2307" operator="equal">
      <formula>"NO CUMPLE"</formula>
    </cfRule>
    <cfRule type="cellIs" dxfId="2130" priority="2309" stopIfTrue="1" operator="greaterThan">
      <formula>0</formula>
    </cfRule>
  </conditionalFormatting>
  <conditionalFormatting sqref="O296:O297">
    <cfRule type="cellIs" dxfId="2129" priority="2308" stopIfTrue="1" operator="equal">
      <formula>0</formula>
    </cfRule>
  </conditionalFormatting>
  <conditionalFormatting sqref="S289:S291">
    <cfRule type="cellIs" dxfId="2128" priority="2306" stopIfTrue="1" operator="greaterThan">
      <formula>0</formula>
    </cfRule>
  </conditionalFormatting>
  <conditionalFormatting sqref="S289:S291">
    <cfRule type="cellIs" dxfId="2127" priority="2305" stopIfTrue="1" operator="greaterThan">
      <formula>0</formula>
    </cfRule>
  </conditionalFormatting>
  <conditionalFormatting sqref="S292:S299">
    <cfRule type="cellIs" dxfId="2126" priority="2300" operator="equal">
      <formula>"NO CUMPLE"</formula>
    </cfRule>
    <cfRule type="cellIs" dxfId="2125" priority="2304" stopIfTrue="1" operator="greaterThan">
      <formula>0</formula>
    </cfRule>
  </conditionalFormatting>
  <conditionalFormatting sqref="S292:S299">
    <cfRule type="cellIs" dxfId="2124" priority="2303" operator="equal">
      <formula>"NO CUMPLE"</formula>
    </cfRule>
  </conditionalFormatting>
  <conditionalFormatting sqref="S292:S297">
    <cfRule type="cellIs" dxfId="2123" priority="2301" stopIfTrue="1" operator="equal">
      <formula>0</formula>
    </cfRule>
  </conditionalFormatting>
  <conditionalFormatting sqref="S292:S299">
    <cfRule type="cellIs" dxfId="2122" priority="2302" operator="equal">
      <formula>"CUMPLE"</formula>
    </cfRule>
  </conditionalFormatting>
  <conditionalFormatting sqref="T289:U299">
    <cfRule type="cellIs" dxfId="2121" priority="2299" stopIfTrue="1" operator="greaterThan">
      <formula>0</formula>
    </cfRule>
  </conditionalFormatting>
  <conditionalFormatting sqref="T299:U299">
    <cfRule type="cellIs" dxfId="2120" priority="2295" operator="equal">
      <formula>"NO CUMPLE"</formula>
    </cfRule>
    <cfRule type="cellIs" dxfId="2119" priority="2298" stopIfTrue="1" operator="greaterThan">
      <formula>0</formula>
    </cfRule>
  </conditionalFormatting>
  <conditionalFormatting sqref="T299:U299">
    <cfRule type="cellIs" dxfId="2118" priority="2297" operator="equal">
      <formula>"NO CUMPLE"</formula>
    </cfRule>
  </conditionalFormatting>
  <conditionalFormatting sqref="T299:U299">
    <cfRule type="cellIs" dxfId="2117" priority="2296" operator="equal">
      <formula>"CUMPLE"</formula>
    </cfRule>
  </conditionalFormatting>
  <conditionalFormatting sqref="T292:U298">
    <cfRule type="cellIs" dxfId="2116" priority="2291" operator="equal">
      <formula>"NO CUMPLE"</formula>
    </cfRule>
  </conditionalFormatting>
  <conditionalFormatting sqref="T292:U298">
    <cfRule type="cellIs" dxfId="2115" priority="2294" operator="equal">
      <formula>"NO CUMPLE"</formula>
    </cfRule>
  </conditionalFormatting>
  <conditionalFormatting sqref="T292:U298">
    <cfRule type="cellIs" dxfId="2114" priority="2292" stopIfTrue="1" operator="equal">
      <formula>0</formula>
    </cfRule>
  </conditionalFormatting>
  <conditionalFormatting sqref="T292:U298">
    <cfRule type="cellIs" dxfId="2113" priority="2293" operator="equal">
      <formula>"CUMPLE"</formula>
    </cfRule>
  </conditionalFormatting>
  <conditionalFormatting sqref="M319:N319">
    <cfRule type="cellIs" dxfId="2112" priority="2286" stopIfTrue="1" operator="equal">
      <formula>"NO CUMPLE"</formula>
    </cfRule>
    <cfRule type="cellIs" dxfId="2111" priority="2287" stopIfTrue="1" operator="equal">
      <formula>"CUMPLE"</formula>
    </cfRule>
  </conditionalFormatting>
  <conditionalFormatting sqref="B309:B313 C310:L313 B316:N316">
    <cfRule type="cellIs" dxfId="2110" priority="2288" stopIfTrue="1" operator="greaterThan">
      <formula>0</formula>
    </cfRule>
  </conditionalFormatting>
  <conditionalFormatting sqref="M310:N313">
    <cfRule type="cellIs" dxfId="2109" priority="2289" stopIfTrue="1" operator="greaterThan">
      <formula>0</formula>
    </cfRule>
  </conditionalFormatting>
  <conditionalFormatting sqref="B307:B308 C309 D307:N309 C307 P307:R309">
    <cfRule type="cellIs" dxfId="2108" priority="2290" stopIfTrue="1" operator="greaterThan">
      <formula>0</formula>
    </cfRule>
  </conditionalFormatting>
  <conditionalFormatting sqref="G307:G309">
    <cfRule type="cellIs" dxfId="2107" priority="2285" stopIfTrue="1" operator="greaterThan">
      <formula>0</formula>
    </cfRule>
  </conditionalFormatting>
  <conditionalFormatting sqref="N310:N313">
    <cfRule type="cellIs" dxfId="2106" priority="2284" operator="equal">
      <formula>0</formula>
    </cfRule>
  </conditionalFormatting>
  <conditionalFormatting sqref="R310:R313 R316:R317">
    <cfRule type="cellIs" dxfId="2105" priority="2282" stopIfTrue="1" operator="greaterThan">
      <formula>0</formula>
    </cfRule>
  </conditionalFormatting>
  <conditionalFormatting sqref="R307:R309">
    <cfRule type="cellIs" dxfId="2104" priority="2283" stopIfTrue="1" operator="greaterThan">
      <formula>0</formula>
    </cfRule>
  </conditionalFormatting>
  <conditionalFormatting sqref="R311:R313 R316:R317">
    <cfRule type="cellIs" dxfId="2103" priority="2280" operator="equal">
      <formula>"CUMPLE"</formula>
    </cfRule>
    <cfRule type="cellIs" dxfId="2102" priority="2281" operator="equal">
      <formula>"NO CUMPLE"</formula>
    </cfRule>
  </conditionalFormatting>
  <conditionalFormatting sqref="Q307:Q309">
    <cfRule type="cellIs" dxfId="2101" priority="2279" stopIfTrue="1" operator="greaterThan">
      <formula>0</formula>
    </cfRule>
  </conditionalFormatting>
  <conditionalFormatting sqref="Q310:Q313 Q316:Q317">
    <cfRule type="cellIs" dxfId="2100" priority="2274" operator="equal">
      <formula>"NO CUMPLE"</formula>
    </cfRule>
    <cfRule type="cellIs" dxfId="2099" priority="2278" stopIfTrue="1" operator="greaterThan">
      <formula>0</formula>
    </cfRule>
  </conditionalFormatting>
  <conditionalFormatting sqref="Q310:Q313 O310:O313 O316:O317 Q316:Q317">
    <cfRule type="cellIs" dxfId="2098" priority="2277" operator="equal">
      <formula>"NO CUMPLE"</formula>
    </cfRule>
  </conditionalFormatting>
  <conditionalFormatting sqref="Q310:R313">
    <cfRule type="cellIs" dxfId="2097" priority="2275" stopIfTrue="1" operator="equal">
      <formula>0</formula>
    </cfRule>
  </conditionalFormatting>
  <conditionalFormatting sqref="Q310:R313 O310:O313 O316:O317 Q316:R317">
    <cfRule type="cellIs" dxfId="2096" priority="2276" operator="equal">
      <formula>"CUMPLE"</formula>
    </cfRule>
  </conditionalFormatting>
  <conditionalFormatting sqref="O307:O309">
    <cfRule type="cellIs" dxfId="2095" priority="2273" stopIfTrue="1" operator="greaterThan">
      <formula>0</formula>
    </cfRule>
  </conditionalFormatting>
  <conditionalFormatting sqref="O307:O309">
    <cfRule type="cellIs" dxfId="2094" priority="2272" stopIfTrue="1" operator="greaterThan">
      <formula>0</formula>
    </cfRule>
  </conditionalFormatting>
  <conditionalFormatting sqref="O310:O313 O316:O317">
    <cfRule type="cellIs" dxfId="2093" priority="2269" operator="equal">
      <formula>"NO CUMPLE"</formula>
    </cfRule>
    <cfRule type="cellIs" dxfId="2092" priority="2271" stopIfTrue="1" operator="greaterThan">
      <formula>0</formula>
    </cfRule>
  </conditionalFormatting>
  <conditionalFormatting sqref="O310:O313">
    <cfRule type="cellIs" dxfId="2091" priority="2270" stopIfTrue="1" operator="equal">
      <formula>0</formula>
    </cfRule>
  </conditionalFormatting>
  <conditionalFormatting sqref="B314:L315">
    <cfRule type="cellIs" dxfId="2090" priority="2267" stopIfTrue="1" operator="greaterThan">
      <formula>0</formula>
    </cfRule>
  </conditionalFormatting>
  <conditionalFormatting sqref="M314:N315">
    <cfRule type="cellIs" dxfId="2089" priority="2268" stopIfTrue="1" operator="greaterThan">
      <formula>0</formula>
    </cfRule>
  </conditionalFormatting>
  <conditionalFormatting sqref="N314:N315">
    <cfRule type="cellIs" dxfId="2088" priority="2266" operator="equal">
      <formula>0</formula>
    </cfRule>
  </conditionalFormatting>
  <conditionalFormatting sqref="R314:R315">
    <cfRule type="cellIs" dxfId="2087" priority="2265" stopIfTrue="1" operator="greaterThan">
      <formula>0</formula>
    </cfRule>
  </conditionalFormatting>
  <conditionalFormatting sqref="R314:R315">
    <cfRule type="cellIs" dxfId="2086" priority="2263" operator="equal">
      <formula>"CUMPLE"</formula>
    </cfRule>
    <cfRule type="cellIs" dxfId="2085" priority="2264" operator="equal">
      <formula>"NO CUMPLE"</formula>
    </cfRule>
  </conditionalFormatting>
  <conditionalFormatting sqref="Q314:Q315">
    <cfRule type="cellIs" dxfId="2084" priority="2258" operator="equal">
      <formula>"NO CUMPLE"</formula>
    </cfRule>
    <cfRule type="cellIs" dxfId="2083" priority="2262" stopIfTrue="1" operator="greaterThan">
      <formula>0</formula>
    </cfRule>
  </conditionalFormatting>
  <conditionalFormatting sqref="Q314:Q315 O314:O315">
    <cfRule type="cellIs" dxfId="2082" priority="2261" operator="equal">
      <formula>"NO CUMPLE"</formula>
    </cfRule>
  </conditionalFormatting>
  <conditionalFormatting sqref="Q314:R315">
    <cfRule type="cellIs" dxfId="2081" priority="2259" stopIfTrue="1" operator="equal">
      <formula>0</formula>
    </cfRule>
  </conditionalFormatting>
  <conditionalFormatting sqref="Q314:R315 O314:O315">
    <cfRule type="cellIs" dxfId="2080" priority="2260" operator="equal">
      <formula>"CUMPLE"</formula>
    </cfRule>
  </conditionalFormatting>
  <conditionalFormatting sqref="O314:O315">
    <cfRule type="cellIs" dxfId="2079" priority="2255" operator="equal">
      <formula>"NO CUMPLE"</formula>
    </cfRule>
    <cfRule type="cellIs" dxfId="2078" priority="2257" stopIfTrue="1" operator="greaterThan">
      <formula>0</formula>
    </cfRule>
  </conditionalFormatting>
  <conditionalFormatting sqref="O314:O315">
    <cfRule type="cellIs" dxfId="2077" priority="2256" stopIfTrue="1" operator="equal">
      <formula>0</formula>
    </cfRule>
  </conditionalFormatting>
  <conditionalFormatting sqref="S307:S309">
    <cfRule type="cellIs" dxfId="2076" priority="2254" stopIfTrue="1" operator="greaterThan">
      <formula>0</formula>
    </cfRule>
  </conditionalFormatting>
  <conditionalFormatting sqref="S307:S309">
    <cfRule type="cellIs" dxfId="2075" priority="2253" stopIfTrue="1" operator="greaterThan">
      <formula>0</formula>
    </cfRule>
  </conditionalFormatting>
  <conditionalFormatting sqref="S310:S317">
    <cfRule type="cellIs" dxfId="2074" priority="2248" operator="equal">
      <formula>"NO CUMPLE"</formula>
    </cfRule>
    <cfRule type="cellIs" dxfId="2073" priority="2252" stopIfTrue="1" operator="greaterThan">
      <formula>0</formula>
    </cfRule>
  </conditionalFormatting>
  <conditionalFormatting sqref="S310:S317">
    <cfRule type="cellIs" dxfId="2072" priority="2251" operator="equal">
      <formula>"NO CUMPLE"</formula>
    </cfRule>
  </conditionalFormatting>
  <conditionalFormatting sqref="S310:S315">
    <cfRule type="cellIs" dxfId="2071" priority="2249" stopIfTrue="1" operator="equal">
      <formula>0</formula>
    </cfRule>
  </conditionalFormatting>
  <conditionalFormatting sqref="S310:S317">
    <cfRule type="cellIs" dxfId="2070" priority="2250" operator="equal">
      <formula>"CUMPLE"</formula>
    </cfRule>
  </conditionalFormatting>
  <conditionalFormatting sqref="T307:U317">
    <cfRule type="cellIs" dxfId="2069" priority="2247" stopIfTrue="1" operator="greaterThan">
      <formula>0</formula>
    </cfRule>
  </conditionalFormatting>
  <conditionalFormatting sqref="T317:U317">
    <cfRule type="cellIs" dxfId="2068" priority="2243" operator="equal">
      <formula>"NO CUMPLE"</formula>
    </cfRule>
    <cfRule type="cellIs" dxfId="2067" priority="2246" stopIfTrue="1" operator="greaterThan">
      <formula>0</formula>
    </cfRule>
  </conditionalFormatting>
  <conditionalFormatting sqref="T317:U317">
    <cfRule type="cellIs" dxfId="2066" priority="2245" operator="equal">
      <formula>"NO CUMPLE"</formula>
    </cfRule>
  </conditionalFormatting>
  <conditionalFormatting sqref="T317:U317">
    <cfRule type="cellIs" dxfId="2065" priority="2244" operator="equal">
      <formula>"CUMPLE"</formula>
    </cfRule>
  </conditionalFormatting>
  <conditionalFormatting sqref="T310:U316">
    <cfRule type="cellIs" dxfId="2064" priority="2239" operator="equal">
      <formula>"NO CUMPLE"</formula>
    </cfRule>
  </conditionalFormatting>
  <conditionalFormatting sqref="T310:U316">
    <cfRule type="cellIs" dxfId="2063" priority="2242" operator="equal">
      <formula>"NO CUMPLE"</formula>
    </cfRule>
  </conditionalFormatting>
  <conditionalFormatting sqref="T310:U316">
    <cfRule type="cellIs" dxfId="2062" priority="2240" stopIfTrue="1" operator="equal">
      <formula>0</formula>
    </cfRule>
  </conditionalFormatting>
  <conditionalFormatting sqref="T310:U316">
    <cfRule type="cellIs" dxfId="2061" priority="2241" operator="equal">
      <formula>"CUMPLE"</formula>
    </cfRule>
  </conditionalFormatting>
  <conditionalFormatting sqref="M337:N337">
    <cfRule type="cellIs" dxfId="2060" priority="2234" stopIfTrue="1" operator="equal">
      <formula>"NO CUMPLE"</formula>
    </cfRule>
    <cfRule type="cellIs" dxfId="2059" priority="2235" stopIfTrue="1" operator="equal">
      <formula>"CUMPLE"</formula>
    </cfRule>
  </conditionalFormatting>
  <conditionalFormatting sqref="B327:B331 C328:L331 B334:N334">
    <cfRule type="cellIs" dxfId="2058" priority="2236" stopIfTrue="1" operator="greaterThan">
      <formula>0</formula>
    </cfRule>
  </conditionalFormatting>
  <conditionalFormatting sqref="M328:N331">
    <cfRule type="cellIs" dxfId="2057" priority="2237" stopIfTrue="1" operator="greaterThan">
      <formula>0</formula>
    </cfRule>
  </conditionalFormatting>
  <conditionalFormatting sqref="B325:B326 C327 D325:N327 C325 P325:R327">
    <cfRule type="cellIs" dxfId="2056" priority="2238" stopIfTrue="1" operator="greaterThan">
      <formula>0</formula>
    </cfRule>
  </conditionalFormatting>
  <conditionalFormatting sqref="G325:G327">
    <cfRule type="cellIs" dxfId="2055" priority="2233" stopIfTrue="1" operator="greaterThan">
      <formula>0</formula>
    </cfRule>
  </conditionalFormatting>
  <conditionalFormatting sqref="N328:N331">
    <cfRule type="cellIs" dxfId="2054" priority="2232" operator="equal">
      <formula>0</formula>
    </cfRule>
  </conditionalFormatting>
  <conditionalFormatting sqref="R328:R331 R334:R335">
    <cfRule type="cellIs" dxfId="2053" priority="2230" stopIfTrue="1" operator="greaterThan">
      <formula>0</formula>
    </cfRule>
  </conditionalFormatting>
  <conditionalFormatting sqref="R325:R327">
    <cfRule type="cellIs" dxfId="2052" priority="2231" stopIfTrue="1" operator="greaterThan">
      <formula>0</formula>
    </cfRule>
  </conditionalFormatting>
  <conditionalFormatting sqref="R329:R331 R334:R335">
    <cfRule type="cellIs" dxfId="2051" priority="2228" operator="equal">
      <formula>"CUMPLE"</formula>
    </cfRule>
    <cfRule type="cellIs" dxfId="2050" priority="2229" operator="equal">
      <formula>"NO CUMPLE"</formula>
    </cfRule>
  </conditionalFormatting>
  <conditionalFormatting sqref="Q325:Q327">
    <cfRule type="cellIs" dxfId="2049" priority="2227" stopIfTrue="1" operator="greaterThan">
      <formula>0</formula>
    </cfRule>
  </conditionalFormatting>
  <conditionalFormatting sqref="Q328:Q331 Q334:Q335">
    <cfRule type="cellIs" dxfId="2048" priority="2222" operator="equal">
      <formula>"NO CUMPLE"</formula>
    </cfRule>
    <cfRule type="cellIs" dxfId="2047" priority="2226" stopIfTrue="1" operator="greaterThan">
      <formula>0</formula>
    </cfRule>
  </conditionalFormatting>
  <conditionalFormatting sqref="Q328:Q331 O328:O331 O334:O335 Q334:Q335">
    <cfRule type="cellIs" dxfId="2046" priority="2225" operator="equal">
      <formula>"NO CUMPLE"</formula>
    </cfRule>
  </conditionalFormatting>
  <conditionalFormatting sqref="Q328:R331">
    <cfRule type="cellIs" dxfId="2045" priority="2223" stopIfTrue="1" operator="equal">
      <formula>0</formula>
    </cfRule>
  </conditionalFormatting>
  <conditionalFormatting sqref="Q328:R331 O328:O331 O334:O335 Q334:R335">
    <cfRule type="cellIs" dxfId="2044" priority="2224" operator="equal">
      <formula>"CUMPLE"</formula>
    </cfRule>
  </conditionalFormatting>
  <conditionalFormatting sqref="O325:O327">
    <cfRule type="cellIs" dxfId="2043" priority="2221" stopIfTrue="1" operator="greaterThan">
      <formula>0</formula>
    </cfRule>
  </conditionalFormatting>
  <conditionalFormatting sqref="O325:O327">
    <cfRule type="cellIs" dxfId="2042" priority="2220" stopIfTrue="1" operator="greaterThan">
      <formula>0</formula>
    </cfRule>
  </conditionalFormatting>
  <conditionalFormatting sqref="O328:O331 O334:O335">
    <cfRule type="cellIs" dxfId="2041" priority="2217" operator="equal">
      <formula>"NO CUMPLE"</formula>
    </cfRule>
    <cfRule type="cellIs" dxfId="2040" priority="2219" stopIfTrue="1" operator="greaterThan">
      <formula>0</formula>
    </cfRule>
  </conditionalFormatting>
  <conditionalFormatting sqref="O328:O331">
    <cfRule type="cellIs" dxfId="2039" priority="2218" stopIfTrue="1" operator="equal">
      <formula>0</formula>
    </cfRule>
  </conditionalFormatting>
  <conditionalFormatting sqref="B332:L333">
    <cfRule type="cellIs" dxfId="2038" priority="2215" stopIfTrue="1" operator="greaterThan">
      <formula>0</formula>
    </cfRule>
  </conditionalFormatting>
  <conditionalFormatting sqref="M332:N333">
    <cfRule type="cellIs" dxfId="2037" priority="2216" stopIfTrue="1" operator="greaterThan">
      <formula>0</formula>
    </cfRule>
  </conditionalFormatting>
  <conditionalFormatting sqref="N332:N333">
    <cfRule type="cellIs" dxfId="2036" priority="2214" operator="equal">
      <formula>0</formula>
    </cfRule>
  </conditionalFormatting>
  <conditionalFormatting sqref="R332:R333">
    <cfRule type="cellIs" dxfId="2035" priority="2213" stopIfTrue="1" operator="greaterThan">
      <formula>0</formula>
    </cfRule>
  </conditionalFormatting>
  <conditionalFormatting sqref="R332:R333">
    <cfRule type="cellIs" dxfId="2034" priority="2211" operator="equal">
      <formula>"CUMPLE"</formula>
    </cfRule>
    <cfRule type="cellIs" dxfId="2033" priority="2212" operator="equal">
      <formula>"NO CUMPLE"</formula>
    </cfRule>
  </conditionalFormatting>
  <conditionalFormatting sqref="Q332:Q333">
    <cfRule type="cellIs" dxfId="2032" priority="2206" operator="equal">
      <formula>"NO CUMPLE"</formula>
    </cfRule>
    <cfRule type="cellIs" dxfId="2031" priority="2210" stopIfTrue="1" operator="greaterThan">
      <formula>0</formula>
    </cfRule>
  </conditionalFormatting>
  <conditionalFormatting sqref="Q332:Q333 O332:O333">
    <cfRule type="cellIs" dxfId="2030" priority="2209" operator="equal">
      <formula>"NO CUMPLE"</formula>
    </cfRule>
  </conditionalFormatting>
  <conditionalFormatting sqref="Q332:R333">
    <cfRule type="cellIs" dxfId="2029" priority="2207" stopIfTrue="1" operator="equal">
      <formula>0</formula>
    </cfRule>
  </conditionalFormatting>
  <conditionalFormatting sqref="Q332:R333 O332:O333">
    <cfRule type="cellIs" dxfId="2028" priority="2208" operator="equal">
      <formula>"CUMPLE"</formula>
    </cfRule>
  </conditionalFormatting>
  <conditionalFormatting sqref="O332:O333">
    <cfRule type="cellIs" dxfId="2027" priority="2203" operator="equal">
      <formula>"NO CUMPLE"</formula>
    </cfRule>
    <cfRule type="cellIs" dxfId="2026" priority="2205" stopIfTrue="1" operator="greaterThan">
      <formula>0</formula>
    </cfRule>
  </conditionalFormatting>
  <conditionalFormatting sqref="O332:O333">
    <cfRule type="cellIs" dxfId="2025" priority="2204" stopIfTrue="1" operator="equal">
      <formula>0</formula>
    </cfRule>
  </conditionalFormatting>
  <conditionalFormatting sqref="S325:S327">
    <cfRule type="cellIs" dxfId="2024" priority="2202" stopIfTrue="1" operator="greaterThan">
      <formula>0</formula>
    </cfRule>
  </conditionalFormatting>
  <conditionalFormatting sqref="S325:S327">
    <cfRule type="cellIs" dxfId="2023" priority="2201" stopIfTrue="1" operator="greaterThan">
      <formula>0</formula>
    </cfRule>
  </conditionalFormatting>
  <conditionalFormatting sqref="S328:S335">
    <cfRule type="cellIs" dxfId="2022" priority="2196" operator="equal">
      <formula>"NO CUMPLE"</formula>
    </cfRule>
    <cfRule type="cellIs" dxfId="2021" priority="2200" stopIfTrue="1" operator="greaterThan">
      <formula>0</formula>
    </cfRule>
  </conditionalFormatting>
  <conditionalFormatting sqref="S328:S335">
    <cfRule type="cellIs" dxfId="2020" priority="2199" operator="equal">
      <formula>"NO CUMPLE"</formula>
    </cfRule>
  </conditionalFormatting>
  <conditionalFormatting sqref="S328:S333">
    <cfRule type="cellIs" dxfId="2019" priority="2197" stopIfTrue="1" operator="equal">
      <formula>0</formula>
    </cfRule>
  </conditionalFormatting>
  <conditionalFormatting sqref="S328:S335">
    <cfRule type="cellIs" dxfId="2018" priority="2198" operator="equal">
      <formula>"CUMPLE"</formula>
    </cfRule>
  </conditionalFormatting>
  <conditionalFormatting sqref="T325:U335">
    <cfRule type="cellIs" dxfId="2017" priority="2195" stopIfTrue="1" operator="greaterThan">
      <formula>0</formula>
    </cfRule>
  </conditionalFormatting>
  <conditionalFormatting sqref="T335:U335">
    <cfRule type="cellIs" dxfId="2016" priority="2191" operator="equal">
      <formula>"NO CUMPLE"</formula>
    </cfRule>
    <cfRule type="cellIs" dxfId="2015" priority="2194" stopIfTrue="1" operator="greaterThan">
      <formula>0</formula>
    </cfRule>
  </conditionalFormatting>
  <conditionalFormatting sqref="T335:U335">
    <cfRule type="cellIs" dxfId="2014" priority="2193" operator="equal">
      <formula>"NO CUMPLE"</formula>
    </cfRule>
  </conditionalFormatting>
  <conditionalFormatting sqref="T335:U335">
    <cfRule type="cellIs" dxfId="2013" priority="2192" operator="equal">
      <formula>"CUMPLE"</formula>
    </cfRule>
  </conditionalFormatting>
  <conditionalFormatting sqref="T328:U334">
    <cfRule type="cellIs" dxfId="2012" priority="2187" operator="equal">
      <formula>"NO CUMPLE"</formula>
    </cfRule>
  </conditionalFormatting>
  <conditionalFormatting sqref="T328:U334">
    <cfRule type="cellIs" dxfId="2011" priority="2190" operator="equal">
      <formula>"NO CUMPLE"</formula>
    </cfRule>
  </conditionalFormatting>
  <conditionalFormatting sqref="T328:U334">
    <cfRule type="cellIs" dxfId="2010" priority="2188" stopIfTrue="1" operator="equal">
      <formula>0</formula>
    </cfRule>
  </conditionalFormatting>
  <conditionalFormatting sqref="T328:U334">
    <cfRule type="cellIs" dxfId="2009" priority="2189" operator="equal">
      <formula>"CUMPLE"</formula>
    </cfRule>
  </conditionalFormatting>
  <conditionalFormatting sqref="M355:N355">
    <cfRule type="cellIs" dxfId="2008" priority="2182" stopIfTrue="1" operator="equal">
      <formula>"NO CUMPLE"</formula>
    </cfRule>
    <cfRule type="cellIs" dxfId="2007" priority="2183" stopIfTrue="1" operator="equal">
      <formula>"CUMPLE"</formula>
    </cfRule>
  </conditionalFormatting>
  <conditionalFormatting sqref="B345:B349 C346:L349 B352:N352">
    <cfRule type="cellIs" dxfId="2006" priority="2184" stopIfTrue="1" operator="greaterThan">
      <formula>0</formula>
    </cfRule>
  </conditionalFormatting>
  <conditionalFormatting sqref="M346:N349">
    <cfRule type="cellIs" dxfId="2005" priority="2185" stopIfTrue="1" operator="greaterThan">
      <formula>0</formula>
    </cfRule>
  </conditionalFormatting>
  <conditionalFormatting sqref="B343:B344 C345 D343:N345 C343 P343:R345">
    <cfRule type="cellIs" dxfId="2004" priority="2186" stopIfTrue="1" operator="greaterThan">
      <formula>0</formula>
    </cfRule>
  </conditionalFormatting>
  <conditionalFormatting sqref="G343:G345">
    <cfRule type="cellIs" dxfId="2003" priority="2181" stopIfTrue="1" operator="greaterThan">
      <formula>0</formula>
    </cfRule>
  </conditionalFormatting>
  <conditionalFormatting sqref="N346:N349">
    <cfRule type="cellIs" dxfId="2002" priority="2180" operator="equal">
      <formula>0</formula>
    </cfRule>
  </conditionalFormatting>
  <conditionalFormatting sqref="R346:R349 R352:R353">
    <cfRule type="cellIs" dxfId="2001" priority="2178" stopIfTrue="1" operator="greaterThan">
      <formula>0</formula>
    </cfRule>
  </conditionalFormatting>
  <conditionalFormatting sqref="R343:R345">
    <cfRule type="cellIs" dxfId="2000" priority="2179" stopIfTrue="1" operator="greaterThan">
      <formula>0</formula>
    </cfRule>
  </conditionalFormatting>
  <conditionalFormatting sqref="R347:R349 R352:R353">
    <cfRule type="cellIs" dxfId="1999" priority="2176" operator="equal">
      <formula>"CUMPLE"</formula>
    </cfRule>
    <cfRule type="cellIs" dxfId="1998" priority="2177" operator="equal">
      <formula>"NO CUMPLE"</formula>
    </cfRule>
  </conditionalFormatting>
  <conditionalFormatting sqref="Q343:Q345">
    <cfRule type="cellIs" dxfId="1997" priority="2175" stopIfTrue="1" operator="greaterThan">
      <formula>0</formula>
    </cfRule>
  </conditionalFormatting>
  <conditionalFormatting sqref="Q346:Q349 Q352:Q353">
    <cfRule type="cellIs" dxfId="1996" priority="2170" operator="equal">
      <formula>"NO CUMPLE"</formula>
    </cfRule>
    <cfRule type="cellIs" dxfId="1995" priority="2174" stopIfTrue="1" operator="greaterThan">
      <formula>0</formula>
    </cfRule>
  </conditionalFormatting>
  <conditionalFormatting sqref="Q346:Q349 O346:O349 O352:O353 Q352:Q353">
    <cfRule type="cellIs" dxfId="1994" priority="2173" operator="equal">
      <formula>"NO CUMPLE"</formula>
    </cfRule>
  </conditionalFormatting>
  <conditionalFormatting sqref="Q346:R349">
    <cfRule type="cellIs" dxfId="1993" priority="2171" stopIfTrue="1" operator="equal">
      <formula>0</formula>
    </cfRule>
  </conditionalFormatting>
  <conditionalFormatting sqref="Q346:R349 O346:O349 O352:O353 Q352:R353">
    <cfRule type="cellIs" dxfId="1992" priority="2172" operator="equal">
      <formula>"CUMPLE"</formula>
    </cfRule>
  </conditionalFormatting>
  <conditionalFormatting sqref="O343:O345">
    <cfRule type="cellIs" dxfId="1991" priority="2169" stopIfTrue="1" operator="greaterThan">
      <formula>0</formula>
    </cfRule>
  </conditionalFormatting>
  <conditionalFormatting sqref="O343:O345">
    <cfRule type="cellIs" dxfId="1990" priority="2168" stopIfTrue="1" operator="greaterThan">
      <formula>0</formula>
    </cfRule>
  </conditionalFormatting>
  <conditionalFormatting sqref="O346:O349 O352:O353">
    <cfRule type="cellIs" dxfId="1989" priority="2165" operator="equal">
      <formula>"NO CUMPLE"</formula>
    </cfRule>
    <cfRule type="cellIs" dxfId="1988" priority="2167" stopIfTrue="1" operator="greaterThan">
      <formula>0</formula>
    </cfRule>
  </conditionalFormatting>
  <conditionalFormatting sqref="O346:O349">
    <cfRule type="cellIs" dxfId="1987" priority="2166" stopIfTrue="1" operator="equal">
      <formula>0</formula>
    </cfRule>
  </conditionalFormatting>
  <conditionalFormatting sqref="B350:L351">
    <cfRule type="cellIs" dxfId="1986" priority="2163" stopIfTrue="1" operator="greaterThan">
      <formula>0</formula>
    </cfRule>
  </conditionalFormatting>
  <conditionalFormatting sqref="M350:N351">
    <cfRule type="cellIs" dxfId="1985" priority="2164" stopIfTrue="1" operator="greaterThan">
      <formula>0</formula>
    </cfRule>
  </conditionalFormatting>
  <conditionalFormatting sqref="N350:N351">
    <cfRule type="cellIs" dxfId="1984" priority="2162" operator="equal">
      <formula>0</formula>
    </cfRule>
  </conditionalFormatting>
  <conditionalFormatting sqref="R350:R351">
    <cfRule type="cellIs" dxfId="1983" priority="2161" stopIfTrue="1" operator="greaterThan">
      <formula>0</formula>
    </cfRule>
  </conditionalFormatting>
  <conditionalFormatting sqref="R350:R351">
    <cfRule type="cellIs" dxfId="1982" priority="2159" operator="equal">
      <formula>"CUMPLE"</formula>
    </cfRule>
    <cfRule type="cellIs" dxfId="1981" priority="2160" operator="equal">
      <formula>"NO CUMPLE"</formula>
    </cfRule>
  </conditionalFormatting>
  <conditionalFormatting sqref="Q350:Q351">
    <cfRule type="cellIs" dxfId="1980" priority="2154" operator="equal">
      <formula>"NO CUMPLE"</formula>
    </cfRule>
    <cfRule type="cellIs" dxfId="1979" priority="2158" stopIfTrue="1" operator="greaterThan">
      <formula>0</formula>
    </cfRule>
  </conditionalFormatting>
  <conditionalFormatting sqref="Q350:Q351 O350:O351">
    <cfRule type="cellIs" dxfId="1978" priority="2157" operator="equal">
      <formula>"NO CUMPLE"</formula>
    </cfRule>
  </conditionalFormatting>
  <conditionalFormatting sqref="Q350:R351">
    <cfRule type="cellIs" dxfId="1977" priority="2155" stopIfTrue="1" operator="equal">
      <formula>0</formula>
    </cfRule>
  </conditionalFormatting>
  <conditionalFormatting sqref="Q350:R351 O350:O351">
    <cfRule type="cellIs" dxfId="1976" priority="2156" operator="equal">
      <formula>"CUMPLE"</formula>
    </cfRule>
  </conditionalFormatting>
  <conditionalFormatting sqref="O350:O351">
    <cfRule type="cellIs" dxfId="1975" priority="2151" operator="equal">
      <formula>"NO CUMPLE"</formula>
    </cfRule>
    <cfRule type="cellIs" dxfId="1974" priority="2153" stopIfTrue="1" operator="greaterThan">
      <formula>0</formula>
    </cfRule>
  </conditionalFormatting>
  <conditionalFormatting sqref="O350:O351">
    <cfRule type="cellIs" dxfId="1973" priority="2152" stopIfTrue="1" operator="equal">
      <formula>0</formula>
    </cfRule>
  </conditionalFormatting>
  <conditionalFormatting sqref="S343:S345">
    <cfRule type="cellIs" dxfId="1972" priority="2150" stopIfTrue="1" operator="greaterThan">
      <formula>0</formula>
    </cfRule>
  </conditionalFormatting>
  <conditionalFormatting sqref="S343:S345">
    <cfRule type="cellIs" dxfId="1971" priority="2149" stopIfTrue="1" operator="greaterThan">
      <formula>0</formula>
    </cfRule>
  </conditionalFormatting>
  <conditionalFormatting sqref="S346:S353">
    <cfRule type="cellIs" dxfId="1970" priority="2144" operator="equal">
      <formula>"NO CUMPLE"</formula>
    </cfRule>
    <cfRule type="cellIs" dxfId="1969" priority="2148" stopIfTrue="1" operator="greaterThan">
      <formula>0</formula>
    </cfRule>
  </conditionalFormatting>
  <conditionalFormatting sqref="S346:S353">
    <cfRule type="cellIs" dxfId="1968" priority="2147" operator="equal">
      <formula>"NO CUMPLE"</formula>
    </cfRule>
  </conditionalFormatting>
  <conditionalFormatting sqref="S346:S351">
    <cfRule type="cellIs" dxfId="1967" priority="2145" stopIfTrue="1" operator="equal">
      <formula>0</formula>
    </cfRule>
  </conditionalFormatting>
  <conditionalFormatting sqref="S346:S353">
    <cfRule type="cellIs" dxfId="1966" priority="2146" operator="equal">
      <formula>"CUMPLE"</formula>
    </cfRule>
  </conditionalFormatting>
  <conditionalFormatting sqref="T343:U353">
    <cfRule type="cellIs" dxfId="1965" priority="2143" stopIfTrue="1" operator="greaterThan">
      <formula>0</formula>
    </cfRule>
  </conditionalFormatting>
  <conditionalFormatting sqref="T353:U353">
    <cfRule type="cellIs" dxfId="1964" priority="2139" operator="equal">
      <formula>"NO CUMPLE"</formula>
    </cfRule>
    <cfRule type="cellIs" dxfId="1963" priority="2142" stopIfTrue="1" operator="greaterThan">
      <formula>0</formula>
    </cfRule>
  </conditionalFormatting>
  <conditionalFormatting sqref="T353:U353">
    <cfRule type="cellIs" dxfId="1962" priority="2141" operator="equal">
      <formula>"NO CUMPLE"</formula>
    </cfRule>
  </conditionalFormatting>
  <conditionalFormatting sqref="T353:U353">
    <cfRule type="cellIs" dxfId="1961" priority="2140" operator="equal">
      <formula>"CUMPLE"</formula>
    </cfRule>
  </conditionalFormatting>
  <conditionalFormatting sqref="T346:U352">
    <cfRule type="cellIs" dxfId="1960" priority="2135" operator="equal">
      <formula>"NO CUMPLE"</formula>
    </cfRule>
  </conditionalFormatting>
  <conditionalFormatting sqref="T346:U352">
    <cfRule type="cellIs" dxfId="1959" priority="2138" operator="equal">
      <formula>"NO CUMPLE"</formula>
    </cfRule>
  </conditionalFormatting>
  <conditionalFormatting sqref="T346:U352">
    <cfRule type="cellIs" dxfId="1958" priority="2136" stopIfTrue="1" operator="equal">
      <formula>0</formula>
    </cfRule>
  </conditionalFormatting>
  <conditionalFormatting sqref="T346:U352">
    <cfRule type="cellIs" dxfId="1957" priority="2137" operator="equal">
      <formula>"CUMPLE"</formula>
    </cfRule>
  </conditionalFormatting>
  <conditionalFormatting sqref="M373:N373">
    <cfRule type="cellIs" dxfId="1956" priority="2130" stopIfTrue="1" operator="equal">
      <formula>"NO CUMPLE"</formula>
    </cfRule>
    <cfRule type="cellIs" dxfId="1955" priority="2131" stopIfTrue="1" operator="equal">
      <formula>"CUMPLE"</formula>
    </cfRule>
  </conditionalFormatting>
  <conditionalFormatting sqref="B363:B367 B370:N370 C364:L367">
    <cfRule type="cellIs" dxfId="1954" priority="2132" stopIfTrue="1" operator="greaterThan">
      <formula>0</formula>
    </cfRule>
  </conditionalFormatting>
  <conditionalFormatting sqref="M364:N367">
    <cfRule type="cellIs" dxfId="1953" priority="2133" stopIfTrue="1" operator="greaterThan">
      <formula>0</formula>
    </cfRule>
  </conditionalFormatting>
  <conditionalFormatting sqref="B361:B362 C363 D361:N363 C361 P361:R363">
    <cfRule type="cellIs" dxfId="1952" priority="2134" stopIfTrue="1" operator="greaterThan">
      <formula>0</formula>
    </cfRule>
  </conditionalFormatting>
  <conditionalFormatting sqref="G361:G363">
    <cfRule type="cellIs" dxfId="1951" priority="2129" stopIfTrue="1" operator="greaterThan">
      <formula>0</formula>
    </cfRule>
  </conditionalFormatting>
  <conditionalFormatting sqref="N364:N367">
    <cfRule type="cellIs" dxfId="1950" priority="2128" operator="equal">
      <formula>0</formula>
    </cfRule>
  </conditionalFormatting>
  <conditionalFormatting sqref="R364:R367 R370:R371">
    <cfRule type="cellIs" dxfId="1949" priority="2126" stopIfTrue="1" operator="greaterThan">
      <formula>0</formula>
    </cfRule>
  </conditionalFormatting>
  <conditionalFormatting sqref="R361:R363">
    <cfRule type="cellIs" dxfId="1948" priority="2127" stopIfTrue="1" operator="greaterThan">
      <formula>0</formula>
    </cfRule>
  </conditionalFormatting>
  <conditionalFormatting sqref="R365:R367 R370:R371">
    <cfRule type="cellIs" dxfId="1947" priority="2124" operator="equal">
      <formula>"CUMPLE"</formula>
    </cfRule>
    <cfRule type="cellIs" dxfId="1946" priority="2125" operator="equal">
      <formula>"NO CUMPLE"</formula>
    </cfRule>
  </conditionalFormatting>
  <conditionalFormatting sqref="Q361:Q363">
    <cfRule type="cellIs" dxfId="1945" priority="2123" stopIfTrue="1" operator="greaterThan">
      <formula>0</formula>
    </cfRule>
  </conditionalFormatting>
  <conditionalFormatting sqref="Q364:Q367 Q370:Q371">
    <cfRule type="cellIs" dxfId="1944" priority="2118" operator="equal">
      <formula>"NO CUMPLE"</formula>
    </cfRule>
    <cfRule type="cellIs" dxfId="1943" priority="2122" stopIfTrue="1" operator="greaterThan">
      <formula>0</formula>
    </cfRule>
  </conditionalFormatting>
  <conditionalFormatting sqref="Q364:Q367 O364:O367 O370:O371 Q370:Q371">
    <cfRule type="cellIs" dxfId="1942" priority="2121" operator="equal">
      <formula>"NO CUMPLE"</formula>
    </cfRule>
  </conditionalFormatting>
  <conditionalFormatting sqref="Q364:R367">
    <cfRule type="cellIs" dxfId="1941" priority="2119" stopIfTrue="1" operator="equal">
      <formula>0</formula>
    </cfRule>
  </conditionalFormatting>
  <conditionalFormatting sqref="Q364:R367 O364:O367 O370:O371 Q370:R371">
    <cfRule type="cellIs" dxfId="1940" priority="2120" operator="equal">
      <formula>"CUMPLE"</formula>
    </cfRule>
  </conditionalFormatting>
  <conditionalFormatting sqref="O361:O363">
    <cfRule type="cellIs" dxfId="1939" priority="2117" stopIfTrue="1" operator="greaterThan">
      <formula>0</formula>
    </cfRule>
  </conditionalFormatting>
  <conditionalFormatting sqref="O361:O363">
    <cfRule type="cellIs" dxfId="1938" priority="2116" stopIfTrue="1" operator="greaterThan">
      <formula>0</formula>
    </cfRule>
  </conditionalFormatting>
  <conditionalFormatting sqref="O364:O367 O370:O371">
    <cfRule type="cellIs" dxfId="1937" priority="2113" operator="equal">
      <formula>"NO CUMPLE"</formula>
    </cfRule>
    <cfRule type="cellIs" dxfId="1936" priority="2115" stopIfTrue="1" operator="greaterThan">
      <formula>0</formula>
    </cfRule>
  </conditionalFormatting>
  <conditionalFormatting sqref="O364:O367">
    <cfRule type="cellIs" dxfId="1935" priority="2114" stopIfTrue="1" operator="equal">
      <formula>0</formula>
    </cfRule>
  </conditionalFormatting>
  <conditionalFormatting sqref="B368:L369">
    <cfRule type="cellIs" dxfId="1934" priority="2111" stopIfTrue="1" operator="greaterThan">
      <formula>0</formula>
    </cfRule>
  </conditionalFormatting>
  <conditionalFormatting sqref="M368:N369">
    <cfRule type="cellIs" dxfId="1933" priority="2112" stopIfTrue="1" operator="greaterThan">
      <formula>0</formula>
    </cfRule>
  </conditionalFormatting>
  <conditionalFormatting sqref="N368:N369">
    <cfRule type="cellIs" dxfId="1932" priority="2110" operator="equal">
      <formula>0</formula>
    </cfRule>
  </conditionalFormatting>
  <conditionalFormatting sqref="R368:R369">
    <cfRule type="cellIs" dxfId="1931" priority="2109" stopIfTrue="1" operator="greaterThan">
      <formula>0</formula>
    </cfRule>
  </conditionalFormatting>
  <conditionalFormatting sqref="R368:R369">
    <cfRule type="cellIs" dxfId="1930" priority="2107" operator="equal">
      <formula>"CUMPLE"</formula>
    </cfRule>
    <cfRule type="cellIs" dxfId="1929" priority="2108" operator="equal">
      <formula>"NO CUMPLE"</formula>
    </cfRule>
  </conditionalFormatting>
  <conditionalFormatting sqref="Q368:Q369">
    <cfRule type="cellIs" dxfId="1928" priority="2102" operator="equal">
      <formula>"NO CUMPLE"</formula>
    </cfRule>
    <cfRule type="cellIs" dxfId="1927" priority="2106" stopIfTrue="1" operator="greaterThan">
      <formula>0</formula>
    </cfRule>
  </conditionalFormatting>
  <conditionalFormatting sqref="Q368:Q369 O368:O369">
    <cfRule type="cellIs" dxfId="1926" priority="2105" operator="equal">
      <formula>"NO CUMPLE"</formula>
    </cfRule>
  </conditionalFormatting>
  <conditionalFormatting sqref="Q368:R369">
    <cfRule type="cellIs" dxfId="1925" priority="2103" stopIfTrue="1" operator="equal">
      <formula>0</formula>
    </cfRule>
  </conditionalFormatting>
  <conditionalFormatting sqref="Q368:R369 O368:O369">
    <cfRule type="cellIs" dxfId="1924" priority="2104" operator="equal">
      <formula>"CUMPLE"</formula>
    </cfRule>
  </conditionalFormatting>
  <conditionalFormatting sqref="O368:O369">
    <cfRule type="cellIs" dxfId="1923" priority="2099" operator="equal">
      <formula>"NO CUMPLE"</formula>
    </cfRule>
    <cfRule type="cellIs" dxfId="1922" priority="2101" stopIfTrue="1" operator="greaterThan">
      <formula>0</formula>
    </cfRule>
  </conditionalFormatting>
  <conditionalFormatting sqref="O368:O369">
    <cfRule type="cellIs" dxfId="1921" priority="2100" stopIfTrue="1" operator="equal">
      <formula>0</formula>
    </cfRule>
  </conditionalFormatting>
  <conditionalFormatting sqref="S361:S363">
    <cfRule type="cellIs" dxfId="1920" priority="2098" stopIfTrue="1" operator="greaterThan">
      <formula>0</formula>
    </cfRule>
  </conditionalFormatting>
  <conditionalFormatting sqref="S361:S363">
    <cfRule type="cellIs" dxfId="1919" priority="2097" stopIfTrue="1" operator="greaterThan">
      <formula>0</formula>
    </cfRule>
  </conditionalFormatting>
  <conditionalFormatting sqref="S364:S371">
    <cfRule type="cellIs" dxfId="1918" priority="2092" operator="equal">
      <formula>"NO CUMPLE"</formula>
    </cfRule>
    <cfRule type="cellIs" dxfId="1917" priority="2096" stopIfTrue="1" operator="greaterThan">
      <formula>0</formula>
    </cfRule>
  </conditionalFormatting>
  <conditionalFormatting sqref="S364:S371">
    <cfRule type="cellIs" dxfId="1916" priority="2095" operator="equal">
      <formula>"NO CUMPLE"</formula>
    </cfRule>
  </conditionalFormatting>
  <conditionalFormatting sqref="S364:S369">
    <cfRule type="cellIs" dxfId="1915" priority="2093" stopIfTrue="1" operator="equal">
      <formula>0</formula>
    </cfRule>
  </conditionalFormatting>
  <conditionalFormatting sqref="S364:S371">
    <cfRule type="cellIs" dxfId="1914" priority="2094" operator="equal">
      <formula>"CUMPLE"</formula>
    </cfRule>
  </conditionalFormatting>
  <conditionalFormatting sqref="T361:U371">
    <cfRule type="cellIs" dxfId="1913" priority="2091" stopIfTrue="1" operator="greaterThan">
      <formula>0</formula>
    </cfRule>
  </conditionalFormatting>
  <conditionalFormatting sqref="T371:U371">
    <cfRule type="cellIs" dxfId="1912" priority="2087" operator="equal">
      <formula>"NO CUMPLE"</formula>
    </cfRule>
    <cfRule type="cellIs" dxfId="1911" priority="2090" stopIfTrue="1" operator="greaterThan">
      <formula>0</formula>
    </cfRule>
  </conditionalFormatting>
  <conditionalFormatting sqref="T371:U371">
    <cfRule type="cellIs" dxfId="1910" priority="2089" operator="equal">
      <formula>"NO CUMPLE"</formula>
    </cfRule>
  </conditionalFormatting>
  <conditionalFormatting sqref="T371:U371">
    <cfRule type="cellIs" dxfId="1909" priority="2088" operator="equal">
      <formula>"CUMPLE"</formula>
    </cfRule>
  </conditionalFormatting>
  <conditionalFormatting sqref="T364:U370">
    <cfRule type="cellIs" dxfId="1908" priority="2083" operator="equal">
      <formula>"NO CUMPLE"</formula>
    </cfRule>
  </conditionalFormatting>
  <conditionalFormatting sqref="T364:U370">
    <cfRule type="cellIs" dxfId="1907" priority="2086" operator="equal">
      <formula>"NO CUMPLE"</formula>
    </cfRule>
  </conditionalFormatting>
  <conditionalFormatting sqref="T364:U370">
    <cfRule type="cellIs" dxfId="1906" priority="2084" stopIfTrue="1" operator="equal">
      <formula>0</formula>
    </cfRule>
  </conditionalFormatting>
  <conditionalFormatting sqref="T364:U370">
    <cfRule type="cellIs" dxfId="1905" priority="2085" operator="equal">
      <formula>"CUMPLE"</formula>
    </cfRule>
  </conditionalFormatting>
  <conditionalFormatting sqref="M391:N391">
    <cfRule type="cellIs" dxfId="1904" priority="2078" stopIfTrue="1" operator="equal">
      <formula>"NO CUMPLE"</formula>
    </cfRule>
    <cfRule type="cellIs" dxfId="1903" priority="2079" stopIfTrue="1" operator="equal">
      <formula>"CUMPLE"</formula>
    </cfRule>
  </conditionalFormatting>
  <conditionalFormatting sqref="B381:B385 C383:L385 B388:N388 C382 E382:L382">
    <cfRule type="cellIs" dxfId="1902" priority="2080" stopIfTrue="1" operator="greaterThan">
      <formula>0</formula>
    </cfRule>
  </conditionalFormatting>
  <conditionalFormatting sqref="M382:N385">
    <cfRule type="cellIs" dxfId="1901" priority="2081" stopIfTrue="1" operator="greaterThan">
      <formula>0</formula>
    </cfRule>
  </conditionalFormatting>
  <conditionalFormatting sqref="B379:B380 C381 D379:N381 C379 P379:R381 D382">
    <cfRule type="cellIs" dxfId="1900" priority="2082" stopIfTrue="1" operator="greaterThan">
      <formula>0</formula>
    </cfRule>
  </conditionalFormatting>
  <conditionalFormatting sqref="G379:G381">
    <cfRule type="cellIs" dxfId="1899" priority="2077" stopIfTrue="1" operator="greaterThan">
      <formula>0</formula>
    </cfRule>
  </conditionalFormatting>
  <conditionalFormatting sqref="N382:N385">
    <cfRule type="cellIs" dxfId="1898" priority="2076" operator="equal">
      <formula>0</formula>
    </cfRule>
  </conditionalFormatting>
  <conditionalFormatting sqref="R382:R385 R388:R389">
    <cfRule type="cellIs" dxfId="1897" priority="2074" stopIfTrue="1" operator="greaterThan">
      <formula>0</formula>
    </cfRule>
  </conditionalFormatting>
  <conditionalFormatting sqref="R379:R381">
    <cfRule type="cellIs" dxfId="1896" priority="2075" stopIfTrue="1" operator="greaterThan">
      <formula>0</formula>
    </cfRule>
  </conditionalFormatting>
  <conditionalFormatting sqref="R383:R385 R388:R389">
    <cfRule type="cellIs" dxfId="1895" priority="2072" operator="equal">
      <formula>"CUMPLE"</formula>
    </cfRule>
    <cfRule type="cellIs" dxfId="1894" priority="2073" operator="equal">
      <formula>"NO CUMPLE"</formula>
    </cfRule>
  </conditionalFormatting>
  <conditionalFormatting sqref="Q379:Q381">
    <cfRule type="cellIs" dxfId="1893" priority="2071" stopIfTrue="1" operator="greaterThan">
      <formula>0</formula>
    </cfRule>
  </conditionalFormatting>
  <conditionalFormatting sqref="Q382:Q385 Q388:Q389">
    <cfRule type="cellIs" dxfId="1892" priority="2066" operator="equal">
      <formula>"NO CUMPLE"</formula>
    </cfRule>
    <cfRule type="cellIs" dxfId="1891" priority="2070" stopIfTrue="1" operator="greaterThan">
      <formula>0</formula>
    </cfRule>
  </conditionalFormatting>
  <conditionalFormatting sqref="Q382:Q385 O382:O385 O388:O389 Q388:Q389">
    <cfRule type="cellIs" dxfId="1890" priority="2069" operator="equal">
      <formula>"NO CUMPLE"</formula>
    </cfRule>
  </conditionalFormatting>
  <conditionalFormatting sqref="Q382:R385">
    <cfRule type="cellIs" dxfId="1889" priority="2067" stopIfTrue="1" operator="equal">
      <formula>0</formula>
    </cfRule>
  </conditionalFormatting>
  <conditionalFormatting sqref="Q382:R385 O382:O385 O388:O389 Q388:R389">
    <cfRule type="cellIs" dxfId="1888" priority="2068" operator="equal">
      <formula>"CUMPLE"</formula>
    </cfRule>
  </conditionalFormatting>
  <conditionalFormatting sqref="O379:O381">
    <cfRule type="cellIs" dxfId="1887" priority="2065" stopIfTrue="1" operator="greaterThan">
      <formula>0</formula>
    </cfRule>
  </conditionalFormatting>
  <conditionalFormatting sqref="O379:O381">
    <cfRule type="cellIs" dxfId="1886" priority="2064" stopIfTrue="1" operator="greaterThan">
      <formula>0</formula>
    </cfRule>
  </conditionalFormatting>
  <conditionalFormatting sqref="O382:O385 O388:O389">
    <cfRule type="cellIs" dxfId="1885" priority="2061" operator="equal">
      <formula>"NO CUMPLE"</formula>
    </cfRule>
    <cfRule type="cellIs" dxfId="1884" priority="2063" stopIfTrue="1" operator="greaterThan">
      <formula>0</formula>
    </cfRule>
  </conditionalFormatting>
  <conditionalFormatting sqref="O382:O385">
    <cfRule type="cellIs" dxfId="1883" priority="2062" stopIfTrue="1" operator="equal">
      <formula>0</formula>
    </cfRule>
  </conditionalFormatting>
  <conditionalFormatting sqref="B386:L387">
    <cfRule type="cellIs" dxfId="1882" priority="2059" stopIfTrue="1" operator="greaterThan">
      <formula>0</formula>
    </cfRule>
  </conditionalFormatting>
  <conditionalFormatting sqref="M386:N387">
    <cfRule type="cellIs" dxfId="1881" priority="2060" stopIfTrue="1" operator="greaterThan">
      <formula>0</formula>
    </cfRule>
  </conditionalFormatting>
  <conditionalFormatting sqref="N386:N387">
    <cfRule type="cellIs" dxfId="1880" priority="2058" operator="equal">
      <formula>0</formula>
    </cfRule>
  </conditionalFormatting>
  <conditionalFormatting sqref="R386:R387">
    <cfRule type="cellIs" dxfId="1879" priority="2057" stopIfTrue="1" operator="greaterThan">
      <formula>0</formula>
    </cfRule>
  </conditionalFormatting>
  <conditionalFormatting sqref="R386:R387">
    <cfRule type="cellIs" dxfId="1878" priority="2055" operator="equal">
      <formula>"CUMPLE"</formula>
    </cfRule>
    <cfRule type="cellIs" dxfId="1877" priority="2056" operator="equal">
      <formula>"NO CUMPLE"</formula>
    </cfRule>
  </conditionalFormatting>
  <conditionalFormatting sqref="Q386:Q387">
    <cfRule type="cellIs" dxfId="1876" priority="2050" operator="equal">
      <formula>"NO CUMPLE"</formula>
    </cfRule>
    <cfRule type="cellIs" dxfId="1875" priority="2054" stopIfTrue="1" operator="greaterThan">
      <formula>0</formula>
    </cfRule>
  </conditionalFormatting>
  <conditionalFormatting sqref="Q386:Q387 O386:O387">
    <cfRule type="cellIs" dxfId="1874" priority="2053" operator="equal">
      <formula>"NO CUMPLE"</formula>
    </cfRule>
  </conditionalFormatting>
  <conditionalFormatting sqref="Q386:R387">
    <cfRule type="cellIs" dxfId="1873" priority="2051" stopIfTrue="1" operator="equal">
      <formula>0</formula>
    </cfRule>
  </conditionalFormatting>
  <conditionalFormatting sqref="Q386:R387 O386:O387">
    <cfRule type="cellIs" dxfId="1872" priority="2052" operator="equal">
      <formula>"CUMPLE"</formula>
    </cfRule>
  </conditionalFormatting>
  <conditionalFormatting sqref="O386:O387">
    <cfRule type="cellIs" dxfId="1871" priority="2047" operator="equal">
      <formula>"NO CUMPLE"</formula>
    </cfRule>
    <cfRule type="cellIs" dxfId="1870" priority="2049" stopIfTrue="1" operator="greaterThan">
      <formula>0</formula>
    </cfRule>
  </conditionalFormatting>
  <conditionalFormatting sqref="O386:O387">
    <cfRule type="cellIs" dxfId="1869" priority="2048" stopIfTrue="1" operator="equal">
      <formula>0</formula>
    </cfRule>
  </conditionalFormatting>
  <conditionalFormatting sqref="S379:S381">
    <cfRule type="cellIs" dxfId="1868" priority="2046" stopIfTrue="1" operator="greaterThan">
      <formula>0</formula>
    </cfRule>
  </conditionalFormatting>
  <conditionalFormatting sqref="S379:S381">
    <cfRule type="cellIs" dxfId="1867" priority="2045" stopIfTrue="1" operator="greaterThan">
      <formula>0</formula>
    </cfRule>
  </conditionalFormatting>
  <conditionalFormatting sqref="S382:S389">
    <cfRule type="cellIs" dxfId="1866" priority="2040" operator="equal">
      <formula>"NO CUMPLE"</formula>
    </cfRule>
    <cfRule type="cellIs" dxfId="1865" priority="2044" stopIfTrue="1" operator="greaterThan">
      <formula>0</formula>
    </cfRule>
  </conditionalFormatting>
  <conditionalFormatting sqref="S382:S389">
    <cfRule type="cellIs" dxfId="1864" priority="2043" operator="equal">
      <formula>"NO CUMPLE"</formula>
    </cfRule>
  </conditionalFormatting>
  <conditionalFormatting sqref="S382:S387">
    <cfRule type="cellIs" dxfId="1863" priority="2041" stopIfTrue="1" operator="equal">
      <formula>0</formula>
    </cfRule>
  </conditionalFormatting>
  <conditionalFormatting sqref="S382:S389">
    <cfRule type="cellIs" dxfId="1862" priority="2042" operator="equal">
      <formula>"CUMPLE"</formula>
    </cfRule>
  </conditionalFormatting>
  <conditionalFormatting sqref="T379:U389">
    <cfRule type="cellIs" dxfId="1861" priority="2039" stopIfTrue="1" operator="greaterThan">
      <formula>0</formula>
    </cfRule>
  </conditionalFormatting>
  <conditionalFormatting sqref="T389:U389">
    <cfRule type="cellIs" dxfId="1860" priority="2035" operator="equal">
      <formula>"NO CUMPLE"</formula>
    </cfRule>
    <cfRule type="cellIs" dxfId="1859" priority="2038" stopIfTrue="1" operator="greaterThan">
      <formula>0</formula>
    </cfRule>
  </conditionalFormatting>
  <conditionalFormatting sqref="T389:U389">
    <cfRule type="cellIs" dxfId="1858" priority="2037" operator="equal">
      <formula>"NO CUMPLE"</formula>
    </cfRule>
  </conditionalFormatting>
  <conditionalFormatting sqref="T389:U389">
    <cfRule type="cellIs" dxfId="1857" priority="2036" operator="equal">
      <formula>"CUMPLE"</formula>
    </cfRule>
  </conditionalFormatting>
  <conditionalFormatting sqref="T382:U388">
    <cfRule type="cellIs" dxfId="1856" priority="2031" operator="equal">
      <formula>"NO CUMPLE"</formula>
    </cfRule>
  </conditionalFormatting>
  <conditionalFormatting sqref="T382:U388">
    <cfRule type="cellIs" dxfId="1855" priority="2034" operator="equal">
      <formula>"NO CUMPLE"</formula>
    </cfRule>
  </conditionalFormatting>
  <conditionalFormatting sqref="T382:U388">
    <cfRule type="cellIs" dxfId="1854" priority="2032" stopIfTrue="1" operator="equal">
      <formula>0</formula>
    </cfRule>
  </conditionalFormatting>
  <conditionalFormatting sqref="T382:U388">
    <cfRule type="cellIs" dxfId="1853" priority="2033" operator="equal">
      <formula>"CUMPLE"</formula>
    </cfRule>
  </conditionalFormatting>
  <conditionalFormatting sqref="M409:N409">
    <cfRule type="cellIs" dxfId="1852" priority="2026" stopIfTrue="1" operator="equal">
      <formula>"NO CUMPLE"</formula>
    </cfRule>
    <cfRule type="cellIs" dxfId="1851" priority="2027" stopIfTrue="1" operator="equal">
      <formula>"CUMPLE"</formula>
    </cfRule>
  </conditionalFormatting>
  <conditionalFormatting sqref="B399:B403 B406:N406 C400:L403">
    <cfRule type="cellIs" dxfId="1850" priority="2028" stopIfTrue="1" operator="greaterThan">
      <formula>0</formula>
    </cfRule>
  </conditionalFormatting>
  <conditionalFormatting sqref="M400:N403">
    <cfRule type="cellIs" dxfId="1849" priority="2029" stopIfTrue="1" operator="greaterThan">
      <formula>0</formula>
    </cfRule>
  </conditionalFormatting>
  <conditionalFormatting sqref="B397:B398 C399 D397:N399 C397 P397:R399">
    <cfRule type="cellIs" dxfId="1848" priority="2030" stopIfTrue="1" operator="greaterThan">
      <formula>0</formula>
    </cfRule>
  </conditionalFormatting>
  <conditionalFormatting sqref="G397:G399">
    <cfRule type="cellIs" dxfId="1847" priority="2025" stopIfTrue="1" operator="greaterThan">
      <formula>0</formula>
    </cfRule>
  </conditionalFormatting>
  <conditionalFormatting sqref="N400:N403">
    <cfRule type="cellIs" dxfId="1846" priority="2024" operator="equal">
      <formula>0</formula>
    </cfRule>
  </conditionalFormatting>
  <conditionalFormatting sqref="R400:R403 R406:R407">
    <cfRule type="cellIs" dxfId="1845" priority="2022" stopIfTrue="1" operator="greaterThan">
      <formula>0</formula>
    </cfRule>
  </conditionalFormatting>
  <conditionalFormatting sqref="R397:R399">
    <cfRule type="cellIs" dxfId="1844" priority="2023" stopIfTrue="1" operator="greaterThan">
      <formula>0</formula>
    </cfRule>
  </conditionalFormatting>
  <conditionalFormatting sqref="R401:R403 R406:R407">
    <cfRule type="cellIs" dxfId="1843" priority="2020" operator="equal">
      <formula>"CUMPLE"</formula>
    </cfRule>
    <cfRule type="cellIs" dxfId="1842" priority="2021" operator="equal">
      <formula>"NO CUMPLE"</formula>
    </cfRule>
  </conditionalFormatting>
  <conditionalFormatting sqref="Q397:Q399">
    <cfRule type="cellIs" dxfId="1841" priority="2019" stopIfTrue="1" operator="greaterThan">
      <formula>0</formula>
    </cfRule>
  </conditionalFormatting>
  <conditionalFormatting sqref="Q400:Q403 Q406:Q407">
    <cfRule type="cellIs" dxfId="1840" priority="2014" operator="equal">
      <formula>"NO CUMPLE"</formula>
    </cfRule>
    <cfRule type="cellIs" dxfId="1839" priority="2018" stopIfTrue="1" operator="greaterThan">
      <formula>0</formula>
    </cfRule>
  </conditionalFormatting>
  <conditionalFormatting sqref="Q400:Q403 O400:O403 O406:O407 Q406:Q407">
    <cfRule type="cellIs" dxfId="1838" priority="2017" operator="equal">
      <formula>"NO CUMPLE"</formula>
    </cfRule>
  </conditionalFormatting>
  <conditionalFormatting sqref="Q400:R403">
    <cfRule type="cellIs" dxfId="1837" priority="2015" stopIfTrue="1" operator="equal">
      <formula>0</formula>
    </cfRule>
  </conditionalFormatting>
  <conditionalFormatting sqref="Q400:R403 O400:O403 O406:O407 Q406:R407">
    <cfRule type="cellIs" dxfId="1836" priority="2016" operator="equal">
      <formula>"CUMPLE"</formula>
    </cfRule>
  </conditionalFormatting>
  <conditionalFormatting sqref="O397:O399">
    <cfRule type="cellIs" dxfId="1835" priority="2013" stopIfTrue="1" operator="greaterThan">
      <formula>0</formula>
    </cfRule>
  </conditionalFormatting>
  <conditionalFormatting sqref="O397:O399">
    <cfRule type="cellIs" dxfId="1834" priority="2012" stopIfTrue="1" operator="greaterThan">
      <formula>0</formula>
    </cfRule>
  </conditionalFormatting>
  <conditionalFormatting sqref="O400:O403 O406:O407">
    <cfRule type="cellIs" dxfId="1833" priority="2009" operator="equal">
      <formula>"NO CUMPLE"</formula>
    </cfRule>
    <cfRule type="cellIs" dxfId="1832" priority="2011" stopIfTrue="1" operator="greaterThan">
      <formula>0</formula>
    </cfRule>
  </conditionalFormatting>
  <conditionalFormatting sqref="O400:O403">
    <cfRule type="cellIs" dxfId="1831" priority="2010" stopIfTrue="1" operator="equal">
      <formula>0</formula>
    </cfRule>
  </conditionalFormatting>
  <conditionalFormatting sqref="B404:L405">
    <cfRule type="cellIs" dxfId="1830" priority="2007" stopIfTrue="1" operator="greaterThan">
      <formula>0</formula>
    </cfRule>
  </conditionalFormatting>
  <conditionalFormatting sqref="M404:N405">
    <cfRule type="cellIs" dxfId="1829" priority="2008" stopIfTrue="1" operator="greaterThan">
      <formula>0</formula>
    </cfRule>
  </conditionalFormatting>
  <conditionalFormatting sqref="N404:N405">
    <cfRule type="cellIs" dxfId="1828" priority="2006" operator="equal">
      <formula>0</formula>
    </cfRule>
  </conditionalFormatting>
  <conditionalFormatting sqref="R404:R405">
    <cfRule type="cellIs" dxfId="1827" priority="2005" stopIfTrue="1" operator="greaterThan">
      <formula>0</formula>
    </cfRule>
  </conditionalFormatting>
  <conditionalFormatting sqref="R404:R405">
    <cfRule type="cellIs" dxfId="1826" priority="2003" operator="equal">
      <formula>"CUMPLE"</formula>
    </cfRule>
    <cfRule type="cellIs" dxfId="1825" priority="2004" operator="equal">
      <formula>"NO CUMPLE"</formula>
    </cfRule>
  </conditionalFormatting>
  <conditionalFormatting sqref="Q404:Q405">
    <cfRule type="cellIs" dxfId="1824" priority="1998" operator="equal">
      <formula>"NO CUMPLE"</formula>
    </cfRule>
    <cfRule type="cellIs" dxfId="1823" priority="2002" stopIfTrue="1" operator="greaterThan">
      <formula>0</formula>
    </cfRule>
  </conditionalFormatting>
  <conditionalFormatting sqref="Q404:Q405 O404:O405">
    <cfRule type="cellIs" dxfId="1822" priority="2001" operator="equal">
      <formula>"NO CUMPLE"</formula>
    </cfRule>
  </conditionalFormatting>
  <conditionalFormatting sqref="Q404:R405">
    <cfRule type="cellIs" dxfId="1821" priority="1999" stopIfTrue="1" operator="equal">
      <formula>0</formula>
    </cfRule>
  </conditionalFormatting>
  <conditionalFormatting sqref="Q404:R405 O404:O405">
    <cfRule type="cellIs" dxfId="1820" priority="2000" operator="equal">
      <formula>"CUMPLE"</formula>
    </cfRule>
  </conditionalFormatting>
  <conditionalFormatting sqref="O404:O405">
    <cfRule type="cellIs" dxfId="1819" priority="1995" operator="equal">
      <formula>"NO CUMPLE"</formula>
    </cfRule>
    <cfRule type="cellIs" dxfId="1818" priority="1997" stopIfTrue="1" operator="greaterThan">
      <formula>0</formula>
    </cfRule>
  </conditionalFormatting>
  <conditionalFormatting sqref="O404:O405">
    <cfRule type="cellIs" dxfId="1817" priority="1996" stopIfTrue="1" operator="equal">
      <formula>0</formula>
    </cfRule>
  </conditionalFormatting>
  <conditionalFormatting sqref="S397:S399">
    <cfRule type="cellIs" dxfId="1816" priority="1994" stopIfTrue="1" operator="greaterThan">
      <formula>0</formula>
    </cfRule>
  </conditionalFormatting>
  <conditionalFormatting sqref="S397:S399">
    <cfRule type="cellIs" dxfId="1815" priority="1993" stopIfTrue="1" operator="greaterThan">
      <formula>0</formula>
    </cfRule>
  </conditionalFormatting>
  <conditionalFormatting sqref="S400:S407">
    <cfRule type="cellIs" dxfId="1814" priority="1988" operator="equal">
      <formula>"NO CUMPLE"</formula>
    </cfRule>
    <cfRule type="cellIs" dxfId="1813" priority="1992" stopIfTrue="1" operator="greaterThan">
      <formula>0</formula>
    </cfRule>
  </conditionalFormatting>
  <conditionalFormatting sqref="S400:S407">
    <cfRule type="cellIs" dxfId="1812" priority="1991" operator="equal">
      <formula>"NO CUMPLE"</formula>
    </cfRule>
  </conditionalFormatting>
  <conditionalFormatting sqref="S400:S405">
    <cfRule type="cellIs" dxfId="1811" priority="1989" stopIfTrue="1" operator="equal">
      <formula>0</formula>
    </cfRule>
  </conditionalFormatting>
  <conditionalFormatting sqref="S400:S407">
    <cfRule type="cellIs" dxfId="1810" priority="1990" operator="equal">
      <formula>"CUMPLE"</formula>
    </cfRule>
  </conditionalFormatting>
  <conditionalFormatting sqref="T397:U407">
    <cfRule type="cellIs" dxfId="1809" priority="1987" stopIfTrue="1" operator="greaterThan">
      <formula>0</formula>
    </cfRule>
  </conditionalFormatting>
  <conditionalFormatting sqref="T407:U407">
    <cfRule type="cellIs" dxfId="1808" priority="1983" operator="equal">
      <formula>"NO CUMPLE"</formula>
    </cfRule>
    <cfRule type="cellIs" dxfId="1807" priority="1986" stopIfTrue="1" operator="greaterThan">
      <formula>0</formula>
    </cfRule>
  </conditionalFormatting>
  <conditionalFormatting sqref="T407:U407">
    <cfRule type="cellIs" dxfId="1806" priority="1985" operator="equal">
      <formula>"NO CUMPLE"</formula>
    </cfRule>
  </conditionalFormatting>
  <conditionalFormatting sqref="T407:U407">
    <cfRule type="cellIs" dxfId="1805" priority="1984" operator="equal">
      <formula>"CUMPLE"</formula>
    </cfRule>
  </conditionalFormatting>
  <conditionalFormatting sqref="T400:U406">
    <cfRule type="cellIs" dxfId="1804" priority="1979" operator="equal">
      <formula>"NO CUMPLE"</formula>
    </cfRule>
  </conditionalFormatting>
  <conditionalFormatting sqref="T400:U406">
    <cfRule type="cellIs" dxfId="1803" priority="1982" operator="equal">
      <formula>"NO CUMPLE"</formula>
    </cfRule>
  </conditionalFormatting>
  <conditionalFormatting sqref="T400:U406">
    <cfRule type="cellIs" dxfId="1802" priority="1980" stopIfTrue="1" operator="equal">
      <formula>0</formula>
    </cfRule>
  </conditionalFormatting>
  <conditionalFormatting sqref="T400:U406">
    <cfRule type="cellIs" dxfId="1801" priority="1981" operator="equal">
      <formula>"CUMPLE"</formula>
    </cfRule>
  </conditionalFormatting>
  <conditionalFormatting sqref="M427:N427">
    <cfRule type="cellIs" dxfId="1800" priority="1974" stopIfTrue="1" operator="equal">
      <formula>"NO CUMPLE"</formula>
    </cfRule>
    <cfRule type="cellIs" dxfId="1799" priority="1975" stopIfTrue="1" operator="equal">
      <formula>"CUMPLE"</formula>
    </cfRule>
  </conditionalFormatting>
  <conditionalFormatting sqref="B417:B421 C418:L421 B424:N424">
    <cfRule type="cellIs" dxfId="1798" priority="1976" stopIfTrue="1" operator="greaterThan">
      <formula>0</formula>
    </cfRule>
  </conditionalFormatting>
  <conditionalFormatting sqref="M418:N421">
    <cfRule type="cellIs" dxfId="1797" priority="1977" stopIfTrue="1" operator="greaterThan">
      <formula>0</formula>
    </cfRule>
  </conditionalFormatting>
  <conditionalFormatting sqref="B415:B416 C417 D415:N417 C415 P415:R417">
    <cfRule type="cellIs" dxfId="1796" priority="1978" stopIfTrue="1" operator="greaterThan">
      <formula>0</formula>
    </cfRule>
  </conditionalFormatting>
  <conditionalFormatting sqref="G415:G417">
    <cfRule type="cellIs" dxfId="1795" priority="1973" stopIfTrue="1" operator="greaterThan">
      <formula>0</formula>
    </cfRule>
  </conditionalFormatting>
  <conditionalFormatting sqref="N418:N421">
    <cfRule type="cellIs" dxfId="1794" priority="1972" operator="equal">
      <formula>0</formula>
    </cfRule>
  </conditionalFormatting>
  <conditionalFormatting sqref="R418:R421 R424:R425">
    <cfRule type="cellIs" dxfId="1793" priority="1970" stopIfTrue="1" operator="greaterThan">
      <formula>0</formula>
    </cfRule>
  </conditionalFormatting>
  <conditionalFormatting sqref="R415:R417">
    <cfRule type="cellIs" dxfId="1792" priority="1971" stopIfTrue="1" operator="greaterThan">
      <formula>0</formula>
    </cfRule>
  </conditionalFormatting>
  <conditionalFormatting sqref="R419:R421 R424:R425">
    <cfRule type="cellIs" dxfId="1791" priority="1968" operator="equal">
      <formula>"CUMPLE"</formula>
    </cfRule>
    <cfRule type="cellIs" dxfId="1790" priority="1969" operator="equal">
      <formula>"NO CUMPLE"</formula>
    </cfRule>
  </conditionalFormatting>
  <conditionalFormatting sqref="Q415:Q417">
    <cfRule type="cellIs" dxfId="1789" priority="1967" stopIfTrue="1" operator="greaterThan">
      <formula>0</formula>
    </cfRule>
  </conditionalFormatting>
  <conditionalFormatting sqref="Q418:Q421 Q424:Q425">
    <cfRule type="cellIs" dxfId="1788" priority="1962" operator="equal">
      <formula>"NO CUMPLE"</formula>
    </cfRule>
    <cfRule type="cellIs" dxfId="1787" priority="1966" stopIfTrue="1" operator="greaterThan">
      <formula>0</formula>
    </cfRule>
  </conditionalFormatting>
  <conditionalFormatting sqref="Q418:Q421 O418:O421 O424:O425 Q424:Q425">
    <cfRule type="cellIs" dxfId="1786" priority="1965" operator="equal">
      <formula>"NO CUMPLE"</formula>
    </cfRule>
  </conditionalFormatting>
  <conditionalFormatting sqref="Q418:R421">
    <cfRule type="cellIs" dxfId="1785" priority="1963" stopIfTrue="1" operator="equal">
      <formula>0</formula>
    </cfRule>
  </conditionalFormatting>
  <conditionalFormatting sqref="Q418:R421 O418:O421 O424:O425 Q424:R425">
    <cfRule type="cellIs" dxfId="1784" priority="1964" operator="equal">
      <formula>"CUMPLE"</formula>
    </cfRule>
  </conditionalFormatting>
  <conditionalFormatting sqref="O415:O417">
    <cfRule type="cellIs" dxfId="1783" priority="1961" stopIfTrue="1" operator="greaterThan">
      <formula>0</formula>
    </cfRule>
  </conditionalFormatting>
  <conditionalFormatting sqref="O415:O417">
    <cfRule type="cellIs" dxfId="1782" priority="1960" stopIfTrue="1" operator="greaterThan">
      <formula>0</formula>
    </cfRule>
  </conditionalFormatting>
  <conditionalFormatting sqref="O418:O421 O424:O425">
    <cfRule type="cellIs" dxfId="1781" priority="1957" operator="equal">
      <formula>"NO CUMPLE"</formula>
    </cfRule>
    <cfRule type="cellIs" dxfId="1780" priority="1959" stopIfTrue="1" operator="greaterThan">
      <formula>0</formula>
    </cfRule>
  </conditionalFormatting>
  <conditionalFormatting sqref="O418:O421">
    <cfRule type="cellIs" dxfId="1779" priority="1958" stopIfTrue="1" operator="equal">
      <formula>0</formula>
    </cfRule>
  </conditionalFormatting>
  <conditionalFormatting sqref="B422:L423">
    <cfRule type="cellIs" dxfId="1778" priority="1955" stopIfTrue="1" operator="greaterThan">
      <formula>0</formula>
    </cfRule>
  </conditionalFormatting>
  <conditionalFormatting sqref="M422:N423">
    <cfRule type="cellIs" dxfId="1777" priority="1956" stopIfTrue="1" operator="greaterThan">
      <formula>0</formula>
    </cfRule>
  </conditionalFormatting>
  <conditionalFormatting sqref="N422:N423">
    <cfRule type="cellIs" dxfId="1776" priority="1954" operator="equal">
      <formula>0</formula>
    </cfRule>
  </conditionalFormatting>
  <conditionalFormatting sqref="R422:R423">
    <cfRule type="cellIs" dxfId="1775" priority="1953" stopIfTrue="1" operator="greaterThan">
      <formula>0</formula>
    </cfRule>
  </conditionalFormatting>
  <conditionalFormatting sqref="R422:R423">
    <cfRule type="cellIs" dxfId="1774" priority="1951" operator="equal">
      <formula>"CUMPLE"</formula>
    </cfRule>
    <cfRule type="cellIs" dxfId="1773" priority="1952" operator="equal">
      <formula>"NO CUMPLE"</formula>
    </cfRule>
  </conditionalFormatting>
  <conditionalFormatting sqref="Q422:Q423">
    <cfRule type="cellIs" dxfId="1772" priority="1946" operator="equal">
      <formula>"NO CUMPLE"</formula>
    </cfRule>
    <cfRule type="cellIs" dxfId="1771" priority="1950" stopIfTrue="1" operator="greaterThan">
      <formula>0</formula>
    </cfRule>
  </conditionalFormatting>
  <conditionalFormatting sqref="Q422:Q423 O422:O423">
    <cfRule type="cellIs" dxfId="1770" priority="1949" operator="equal">
      <formula>"NO CUMPLE"</formula>
    </cfRule>
  </conditionalFormatting>
  <conditionalFormatting sqref="Q422:R423">
    <cfRule type="cellIs" dxfId="1769" priority="1947" stopIfTrue="1" operator="equal">
      <formula>0</formula>
    </cfRule>
  </conditionalFormatting>
  <conditionalFormatting sqref="Q422:R423 O422:O423">
    <cfRule type="cellIs" dxfId="1768" priority="1948" operator="equal">
      <formula>"CUMPLE"</formula>
    </cfRule>
  </conditionalFormatting>
  <conditionalFormatting sqref="O422:O423">
    <cfRule type="cellIs" dxfId="1767" priority="1943" operator="equal">
      <formula>"NO CUMPLE"</formula>
    </cfRule>
    <cfRule type="cellIs" dxfId="1766" priority="1945" stopIfTrue="1" operator="greaterThan">
      <formula>0</formula>
    </cfRule>
  </conditionalFormatting>
  <conditionalFormatting sqref="O422:O423">
    <cfRule type="cellIs" dxfId="1765" priority="1944" stopIfTrue="1" operator="equal">
      <formula>0</formula>
    </cfRule>
  </conditionalFormatting>
  <conditionalFormatting sqref="S415:S417">
    <cfRule type="cellIs" dxfId="1764" priority="1942" stopIfTrue="1" operator="greaterThan">
      <formula>0</formula>
    </cfRule>
  </conditionalFormatting>
  <conditionalFormatting sqref="S415:S417">
    <cfRule type="cellIs" dxfId="1763" priority="1941" stopIfTrue="1" operator="greaterThan">
      <formula>0</formula>
    </cfRule>
  </conditionalFormatting>
  <conditionalFormatting sqref="S418:S425">
    <cfRule type="cellIs" dxfId="1762" priority="1936" operator="equal">
      <formula>"NO CUMPLE"</formula>
    </cfRule>
    <cfRule type="cellIs" dxfId="1761" priority="1940" stopIfTrue="1" operator="greaterThan">
      <formula>0</formula>
    </cfRule>
  </conditionalFormatting>
  <conditionalFormatting sqref="S418:S425">
    <cfRule type="cellIs" dxfId="1760" priority="1939" operator="equal">
      <formula>"NO CUMPLE"</formula>
    </cfRule>
  </conditionalFormatting>
  <conditionalFormatting sqref="S418:S423">
    <cfRule type="cellIs" dxfId="1759" priority="1937" stopIfTrue="1" operator="equal">
      <formula>0</formula>
    </cfRule>
  </conditionalFormatting>
  <conditionalFormatting sqref="S418:S425">
    <cfRule type="cellIs" dxfId="1758" priority="1938" operator="equal">
      <formula>"CUMPLE"</formula>
    </cfRule>
  </conditionalFormatting>
  <conditionalFormatting sqref="T415:U425">
    <cfRule type="cellIs" dxfId="1757" priority="1935" stopIfTrue="1" operator="greaterThan">
      <formula>0</formula>
    </cfRule>
  </conditionalFormatting>
  <conditionalFormatting sqref="T425:U425">
    <cfRule type="cellIs" dxfId="1756" priority="1931" operator="equal">
      <formula>"NO CUMPLE"</formula>
    </cfRule>
    <cfRule type="cellIs" dxfId="1755" priority="1934" stopIfTrue="1" operator="greaterThan">
      <formula>0</formula>
    </cfRule>
  </conditionalFormatting>
  <conditionalFormatting sqref="T425:U425">
    <cfRule type="cellIs" dxfId="1754" priority="1933" operator="equal">
      <formula>"NO CUMPLE"</formula>
    </cfRule>
  </conditionalFormatting>
  <conditionalFormatting sqref="T425:U425">
    <cfRule type="cellIs" dxfId="1753" priority="1932" operator="equal">
      <formula>"CUMPLE"</formula>
    </cfRule>
  </conditionalFormatting>
  <conditionalFormatting sqref="T418:U424">
    <cfRule type="cellIs" dxfId="1752" priority="1927" operator="equal">
      <formula>"NO CUMPLE"</formula>
    </cfRule>
  </conditionalFormatting>
  <conditionalFormatting sqref="T418:U424">
    <cfRule type="cellIs" dxfId="1751" priority="1930" operator="equal">
      <formula>"NO CUMPLE"</formula>
    </cfRule>
  </conditionalFormatting>
  <conditionalFormatting sqref="T418:U424">
    <cfRule type="cellIs" dxfId="1750" priority="1928" stopIfTrue="1" operator="equal">
      <formula>0</formula>
    </cfRule>
  </conditionalFormatting>
  <conditionalFormatting sqref="T418:U424">
    <cfRule type="cellIs" dxfId="1749" priority="1929" operator="equal">
      <formula>"CUMPLE"</formula>
    </cfRule>
  </conditionalFormatting>
  <conditionalFormatting sqref="M445:N445">
    <cfRule type="cellIs" dxfId="1748" priority="1922" stopIfTrue="1" operator="equal">
      <formula>"NO CUMPLE"</formula>
    </cfRule>
    <cfRule type="cellIs" dxfId="1747" priority="1923" stopIfTrue="1" operator="equal">
      <formula>"CUMPLE"</formula>
    </cfRule>
  </conditionalFormatting>
  <conditionalFormatting sqref="B435:B439 B442:N442 C436:L439">
    <cfRule type="cellIs" dxfId="1746" priority="1924" stopIfTrue="1" operator="greaterThan">
      <formula>0</formula>
    </cfRule>
  </conditionalFormatting>
  <conditionalFormatting sqref="M436:N439">
    <cfRule type="cellIs" dxfId="1745" priority="1925" stopIfTrue="1" operator="greaterThan">
      <formula>0</formula>
    </cfRule>
  </conditionalFormatting>
  <conditionalFormatting sqref="B433:B434 C435 D433:N435 C433 P433:R435">
    <cfRule type="cellIs" dxfId="1744" priority="1926" stopIfTrue="1" operator="greaterThan">
      <formula>0</formula>
    </cfRule>
  </conditionalFormatting>
  <conditionalFormatting sqref="G433:G435">
    <cfRule type="cellIs" dxfId="1743" priority="1921" stopIfTrue="1" operator="greaterThan">
      <formula>0</formula>
    </cfRule>
  </conditionalFormatting>
  <conditionalFormatting sqref="N436:N439">
    <cfRule type="cellIs" dxfId="1742" priority="1920" operator="equal">
      <formula>0</formula>
    </cfRule>
  </conditionalFormatting>
  <conditionalFormatting sqref="R436:R439 R442:R443">
    <cfRule type="cellIs" dxfId="1741" priority="1918" stopIfTrue="1" operator="greaterThan">
      <formula>0</formula>
    </cfRule>
  </conditionalFormatting>
  <conditionalFormatting sqref="R433:R435">
    <cfRule type="cellIs" dxfId="1740" priority="1919" stopIfTrue="1" operator="greaterThan">
      <formula>0</formula>
    </cfRule>
  </conditionalFormatting>
  <conditionalFormatting sqref="R437:R439 R442:R443">
    <cfRule type="cellIs" dxfId="1739" priority="1916" operator="equal">
      <formula>"CUMPLE"</formula>
    </cfRule>
    <cfRule type="cellIs" dxfId="1738" priority="1917" operator="equal">
      <formula>"NO CUMPLE"</formula>
    </cfRule>
  </conditionalFormatting>
  <conditionalFormatting sqref="Q433:Q435">
    <cfRule type="cellIs" dxfId="1737" priority="1915" stopIfTrue="1" operator="greaterThan">
      <formula>0</formula>
    </cfRule>
  </conditionalFormatting>
  <conditionalFormatting sqref="Q436:Q439 Q442:Q443">
    <cfRule type="cellIs" dxfId="1736" priority="1910" operator="equal">
      <formula>"NO CUMPLE"</formula>
    </cfRule>
    <cfRule type="cellIs" dxfId="1735" priority="1914" stopIfTrue="1" operator="greaterThan">
      <formula>0</formula>
    </cfRule>
  </conditionalFormatting>
  <conditionalFormatting sqref="Q436:Q439 O436:O439 O442:O443 Q442:Q443">
    <cfRule type="cellIs" dxfId="1734" priority="1913" operator="equal">
      <formula>"NO CUMPLE"</formula>
    </cfRule>
  </conditionalFormatting>
  <conditionalFormatting sqref="Q436:R439">
    <cfRule type="cellIs" dxfId="1733" priority="1911" stopIfTrue="1" operator="equal">
      <formula>0</formula>
    </cfRule>
  </conditionalFormatting>
  <conditionalFormatting sqref="Q436:R439 O436:O439 O442:O443 Q442:R443">
    <cfRule type="cellIs" dxfId="1732" priority="1912" operator="equal">
      <formula>"CUMPLE"</formula>
    </cfRule>
  </conditionalFormatting>
  <conditionalFormatting sqref="O433:O435">
    <cfRule type="cellIs" dxfId="1731" priority="1909" stopIfTrue="1" operator="greaterThan">
      <formula>0</formula>
    </cfRule>
  </conditionalFormatting>
  <conditionalFormatting sqref="O433:O435">
    <cfRule type="cellIs" dxfId="1730" priority="1908" stopIfTrue="1" operator="greaterThan">
      <formula>0</formula>
    </cfRule>
  </conditionalFormatting>
  <conditionalFormatting sqref="O436:O439 O442:O443">
    <cfRule type="cellIs" dxfId="1729" priority="1905" operator="equal">
      <formula>"NO CUMPLE"</formula>
    </cfRule>
    <cfRule type="cellIs" dxfId="1728" priority="1907" stopIfTrue="1" operator="greaterThan">
      <formula>0</formula>
    </cfRule>
  </conditionalFormatting>
  <conditionalFormatting sqref="O436:O439">
    <cfRule type="cellIs" dxfId="1727" priority="1906" stopIfTrue="1" operator="equal">
      <formula>0</formula>
    </cfRule>
  </conditionalFormatting>
  <conditionalFormatting sqref="B440:L441">
    <cfRule type="cellIs" dxfId="1726" priority="1903" stopIfTrue="1" operator="greaterThan">
      <formula>0</formula>
    </cfRule>
  </conditionalFormatting>
  <conditionalFormatting sqref="M440:N441">
    <cfRule type="cellIs" dxfId="1725" priority="1904" stopIfTrue="1" operator="greaterThan">
      <formula>0</formula>
    </cfRule>
  </conditionalFormatting>
  <conditionalFormatting sqref="N440:N441">
    <cfRule type="cellIs" dxfId="1724" priority="1902" operator="equal">
      <formula>0</formula>
    </cfRule>
  </conditionalFormatting>
  <conditionalFormatting sqref="R440:R441">
    <cfRule type="cellIs" dxfId="1723" priority="1901" stopIfTrue="1" operator="greaterThan">
      <formula>0</formula>
    </cfRule>
  </conditionalFormatting>
  <conditionalFormatting sqref="R440:R441">
    <cfRule type="cellIs" dxfId="1722" priority="1899" operator="equal">
      <formula>"CUMPLE"</formula>
    </cfRule>
    <cfRule type="cellIs" dxfId="1721" priority="1900" operator="equal">
      <formula>"NO CUMPLE"</formula>
    </cfRule>
  </conditionalFormatting>
  <conditionalFormatting sqref="Q440:Q441">
    <cfRule type="cellIs" dxfId="1720" priority="1894" operator="equal">
      <formula>"NO CUMPLE"</formula>
    </cfRule>
    <cfRule type="cellIs" dxfId="1719" priority="1898" stopIfTrue="1" operator="greaterThan">
      <formula>0</formula>
    </cfRule>
  </conditionalFormatting>
  <conditionalFormatting sqref="Q440:Q441 O440:O441">
    <cfRule type="cellIs" dxfId="1718" priority="1897" operator="equal">
      <formula>"NO CUMPLE"</formula>
    </cfRule>
  </conditionalFormatting>
  <conditionalFormatting sqref="Q440:R441">
    <cfRule type="cellIs" dxfId="1717" priority="1895" stopIfTrue="1" operator="equal">
      <formula>0</formula>
    </cfRule>
  </conditionalFormatting>
  <conditionalFormatting sqref="Q440:R441 O440:O441">
    <cfRule type="cellIs" dxfId="1716" priority="1896" operator="equal">
      <formula>"CUMPLE"</formula>
    </cfRule>
  </conditionalFormatting>
  <conditionalFormatting sqref="O440:O441">
    <cfRule type="cellIs" dxfId="1715" priority="1891" operator="equal">
      <formula>"NO CUMPLE"</formula>
    </cfRule>
    <cfRule type="cellIs" dxfId="1714" priority="1893" stopIfTrue="1" operator="greaterThan">
      <formula>0</formula>
    </cfRule>
  </conditionalFormatting>
  <conditionalFormatting sqref="O440:O441">
    <cfRule type="cellIs" dxfId="1713" priority="1892" stopIfTrue="1" operator="equal">
      <formula>0</formula>
    </cfRule>
  </conditionalFormatting>
  <conditionalFormatting sqref="S433:S435">
    <cfRule type="cellIs" dxfId="1712" priority="1890" stopIfTrue="1" operator="greaterThan">
      <formula>0</formula>
    </cfRule>
  </conditionalFormatting>
  <conditionalFormatting sqref="S433:S435">
    <cfRule type="cellIs" dxfId="1711" priority="1889" stopIfTrue="1" operator="greaterThan">
      <formula>0</formula>
    </cfRule>
  </conditionalFormatting>
  <conditionalFormatting sqref="S436:S443">
    <cfRule type="cellIs" dxfId="1710" priority="1884" operator="equal">
      <formula>"NO CUMPLE"</formula>
    </cfRule>
    <cfRule type="cellIs" dxfId="1709" priority="1888" stopIfTrue="1" operator="greaterThan">
      <formula>0</formula>
    </cfRule>
  </conditionalFormatting>
  <conditionalFormatting sqref="S436:S443">
    <cfRule type="cellIs" dxfId="1708" priority="1887" operator="equal">
      <formula>"NO CUMPLE"</formula>
    </cfRule>
  </conditionalFormatting>
  <conditionalFormatting sqref="S436:S441">
    <cfRule type="cellIs" dxfId="1707" priority="1885" stopIfTrue="1" operator="equal">
      <formula>0</formula>
    </cfRule>
  </conditionalFormatting>
  <conditionalFormatting sqref="S436:S443">
    <cfRule type="cellIs" dxfId="1706" priority="1886" operator="equal">
      <formula>"CUMPLE"</formula>
    </cfRule>
  </conditionalFormatting>
  <conditionalFormatting sqref="T433:U443">
    <cfRule type="cellIs" dxfId="1705" priority="1883" stopIfTrue="1" operator="greaterThan">
      <formula>0</formula>
    </cfRule>
  </conditionalFormatting>
  <conditionalFormatting sqref="T443:U443">
    <cfRule type="cellIs" dxfId="1704" priority="1879" operator="equal">
      <formula>"NO CUMPLE"</formula>
    </cfRule>
    <cfRule type="cellIs" dxfId="1703" priority="1882" stopIfTrue="1" operator="greaterThan">
      <formula>0</formula>
    </cfRule>
  </conditionalFormatting>
  <conditionalFormatting sqref="T443:U443">
    <cfRule type="cellIs" dxfId="1702" priority="1881" operator="equal">
      <formula>"NO CUMPLE"</formula>
    </cfRule>
  </conditionalFormatting>
  <conditionalFormatting sqref="T443:U443">
    <cfRule type="cellIs" dxfId="1701" priority="1880" operator="equal">
      <formula>"CUMPLE"</formula>
    </cfRule>
  </conditionalFormatting>
  <conditionalFormatting sqref="T436:U442">
    <cfRule type="cellIs" dxfId="1700" priority="1875" operator="equal">
      <formula>"NO CUMPLE"</formula>
    </cfRule>
  </conditionalFormatting>
  <conditionalFormatting sqref="T436:U442">
    <cfRule type="cellIs" dxfId="1699" priority="1878" operator="equal">
      <formula>"NO CUMPLE"</formula>
    </cfRule>
  </conditionalFormatting>
  <conditionalFormatting sqref="T436:U442">
    <cfRule type="cellIs" dxfId="1698" priority="1876" stopIfTrue="1" operator="equal">
      <formula>0</formula>
    </cfRule>
  </conditionalFormatting>
  <conditionalFormatting sqref="T436:U442">
    <cfRule type="cellIs" dxfId="1697" priority="1877" operator="equal">
      <formula>"CUMPLE"</formula>
    </cfRule>
  </conditionalFormatting>
  <conditionalFormatting sqref="M463:N463">
    <cfRule type="cellIs" dxfId="1696" priority="1870" stopIfTrue="1" operator="equal">
      <formula>"NO CUMPLE"</formula>
    </cfRule>
    <cfRule type="cellIs" dxfId="1695" priority="1871" stopIfTrue="1" operator="equal">
      <formula>"CUMPLE"</formula>
    </cfRule>
  </conditionalFormatting>
  <conditionalFormatting sqref="B453:B457 B460:N460 C454:L457">
    <cfRule type="cellIs" dxfId="1694" priority="1872" stopIfTrue="1" operator="greaterThan">
      <formula>0</formula>
    </cfRule>
  </conditionalFormatting>
  <conditionalFormatting sqref="M454:N457">
    <cfRule type="cellIs" dxfId="1693" priority="1873" stopIfTrue="1" operator="greaterThan">
      <formula>0</formula>
    </cfRule>
  </conditionalFormatting>
  <conditionalFormatting sqref="B451:B452 C453 D451:N453 C451 P451:R453">
    <cfRule type="cellIs" dxfId="1692" priority="1874" stopIfTrue="1" operator="greaterThan">
      <formula>0</formula>
    </cfRule>
  </conditionalFormatting>
  <conditionalFormatting sqref="G451:G453">
    <cfRule type="cellIs" dxfId="1691" priority="1869" stopIfTrue="1" operator="greaterThan">
      <formula>0</formula>
    </cfRule>
  </conditionalFormatting>
  <conditionalFormatting sqref="N454:N457">
    <cfRule type="cellIs" dxfId="1690" priority="1868" operator="equal">
      <formula>0</formula>
    </cfRule>
  </conditionalFormatting>
  <conditionalFormatting sqref="R454:R457 R460:R461">
    <cfRule type="cellIs" dxfId="1689" priority="1866" stopIfTrue="1" operator="greaterThan">
      <formula>0</formula>
    </cfRule>
  </conditionalFormatting>
  <conditionalFormatting sqref="R451:R453">
    <cfRule type="cellIs" dxfId="1688" priority="1867" stopIfTrue="1" operator="greaterThan">
      <formula>0</formula>
    </cfRule>
  </conditionalFormatting>
  <conditionalFormatting sqref="R455:R457 R460:R461">
    <cfRule type="cellIs" dxfId="1687" priority="1864" operator="equal">
      <formula>"CUMPLE"</formula>
    </cfRule>
    <cfRule type="cellIs" dxfId="1686" priority="1865" operator="equal">
      <formula>"NO CUMPLE"</formula>
    </cfRule>
  </conditionalFormatting>
  <conditionalFormatting sqref="Q451:Q453">
    <cfRule type="cellIs" dxfId="1685" priority="1863" stopIfTrue="1" operator="greaterThan">
      <formula>0</formula>
    </cfRule>
  </conditionalFormatting>
  <conditionalFormatting sqref="Q454:Q457 Q460:Q461">
    <cfRule type="cellIs" dxfId="1684" priority="1858" operator="equal">
      <formula>"NO CUMPLE"</formula>
    </cfRule>
    <cfRule type="cellIs" dxfId="1683" priority="1862" stopIfTrue="1" operator="greaterThan">
      <formula>0</formula>
    </cfRule>
  </conditionalFormatting>
  <conditionalFormatting sqref="Q454:Q457 O454:O457 O460:O461 Q460:Q461">
    <cfRule type="cellIs" dxfId="1682" priority="1861" operator="equal">
      <formula>"NO CUMPLE"</formula>
    </cfRule>
  </conditionalFormatting>
  <conditionalFormatting sqref="Q454:R457">
    <cfRule type="cellIs" dxfId="1681" priority="1859" stopIfTrue="1" operator="equal">
      <formula>0</formula>
    </cfRule>
  </conditionalFormatting>
  <conditionalFormatting sqref="Q454:R457 O454:O457 O460:O461 Q460:R461">
    <cfRule type="cellIs" dxfId="1680" priority="1860" operator="equal">
      <formula>"CUMPLE"</formula>
    </cfRule>
  </conditionalFormatting>
  <conditionalFormatting sqref="O451:O453">
    <cfRule type="cellIs" dxfId="1679" priority="1857" stopIfTrue="1" operator="greaterThan">
      <formula>0</formula>
    </cfRule>
  </conditionalFormatting>
  <conditionalFormatting sqref="O451:O453">
    <cfRule type="cellIs" dxfId="1678" priority="1856" stopIfTrue="1" operator="greaterThan">
      <formula>0</formula>
    </cfRule>
  </conditionalFormatting>
  <conditionalFormatting sqref="O454:O457 O460:O461">
    <cfRule type="cellIs" dxfId="1677" priority="1853" operator="equal">
      <formula>"NO CUMPLE"</formula>
    </cfRule>
    <cfRule type="cellIs" dxfId="1676" priority="1855" stopIfTrue="1" operator="greaterThan">
      <formula>0</formula>
    </cfRule>
  </conditionalFormatting>
  <conditionalFormatting sqref="O454:O457">
    <cfRule type="cellIs" dxfId="1675" priority="1854" stopIfTrue="1" operator="equal">
      <formula>0</formula>
    </cfRule>
  </conditionalFormatting>
  <conditionalFormatting sqref="B458:L459">
    <cfRule type="cellIs" dxfId="1674" priority="1851" stopIfTrue="1" operator="greaterThan">
      <formula>0</formula>
    </cfRule>
  </conditionalFormatting>
  <conditionalFormatting sqref="M458:N459">
    <cfRule type="cellIs" dxfId="1673" priority="1852" stopIfTrue="1" operator="greaterThan">
      <formula>0</formula>
    </cfRule>
  </conditionalFormatting>
  <conditionalFormatting sqref="N458:N459">
    <cfRule type="cellIs" dxfId="1672" priority="1850" operator="equal">
      <formula>0</formula>
    </cfRule>
  </conditionalFormatting>
  <conditionalFormatting sqref="R458:R459">
    <cfRule type="cellIs" dxfId="1671" priority="1849" stopIfTrue="1" operator="greaterThan">
      <formula>0</formula>
    </cfRule>
  </conditionalFormatting>
  <conditionalFormatting sqref="R458:R459">
    <cfRule type="cellIs" dxfId="1670" priority="1847" operator="equal">
      <formula>"CUMPLE"</formula>
    </cfRule>
    <cfRule type="cellIs" dxfId="1669" priority="1848" operator="equal">
      <formula>"NO CUMPLE"</formula>
    </cfRule>
  </conditionalFormatting>
  <conditionalFormatting sqref="Q458:Q459">
    <cfRule type="cellIs" dxfId="1668" priority="1842" operator="equal">
      <formula>"NO CUMPLE"</formula>
    </cfRule>
    <cfRule type="cellIs" dxfId="1667" priority="1846" stopIfTrue="1" operator="greaterThan">
      <formula>0</formula>
    </cfRule>
  </conditionalFormatting>
  <conditionalFormatting sqref="Q458:Q459 O458:O459">
    <cfRule type="cellIs" dxfId="1666" priority="1845" operator="equal">
      <formula>"NO CUMPLE"</formula>
    </cfRule>
  </conditionalFormatting>
  <conditionalFormatting sqref="Q458:R459">
    <cfRule type="cellIs" dxfId="1665" priority="1843" stopIfTrue="1" operator="equal">
      <formula>0</formula>
    </cfRule>
  </conditionalFormatting>
  <conditionalFormatting sqref="Q458:R459 O458:O459">
    <cfRule type="cellIs" dxfId="1664" priority="1844" operator="equal">
      <formula>"CUMPLE"</formula>
    </cfRule>
  </conditionalFormatting>
  <conditionalFormatting sqref="O458:O459">
    <cfRule type="cellIs" dxfId="1663" priority="1839" operator="equal">
      <formula>"NO CUMPLE"</formula>
    </cfRule>
    <cfRule type="cellIs" dxfId="1662" priority="1841" stopIfTrue="1" operator="greaterThan">
      <formula>0</formula>
    </cfRule>
  </conditionalFormatting>
  <conditionalFormatting sqref="O458:O459">
    <cfRule type="cellIs" dxfId="1661" priority="1840" stopIfTrue="1" operator="equal">
      <formula>0</formula>
    </cfRule>
  </conditionalFormatting>
  <conditionalFormatting sqref="S451:S453">
    <cfRule type="cellIs" dxfId="1660" priority="1838" stopIfTrue="1" operator="greaterThan">
      <formula>0</formula>
    </cfRule>
  </conditionalFormatting>
  <conditionalFormatting sqref="S451:S453">
    <cfRule type="cellIs" dxfId="1659" priority="1837" stopIfTrue="1" operator="greaterThan">
      <formula>0</formula>
    </cfRule>
  </conditionalFormatting>
  <conditionalFormatting sqref="S454:S461">
    <cfRule type="cellIs" dxfId="1658" priority="1832" operator="equal">
      <formula>"NO CUMPLE"</formula>
    </cfRule>
    <cfRule type="cellIs" dxfId="1657" priority="1836" stopIfTrue="1" operator="greaterThan">
      <formula>0</formula>
    </cfRule>
  </conditionalFormatting>
  <conditionalFormatting sqref="S454:S461">
    <cfRule type="cellIs" dxfId="1656" priority="1835" operator="equal">
      <formula>"NO CUMPLE"</formula>
    </cfRule>
  </conditionalFormatting>
  <conditionalFormatting sqref="S454:S459">
    <cfRule type="cellIs" dxfId="1655" priority="1833" stopIfTrue="1" operator="equal">
      <formula>0</formula>
    </cfRule>
  </conditionalFormatting>
  <conditionalFormatting sqref="S454:S461">
    <cfRule type="cellIs" dxfId="1654" priority="1834" operator="equal">
      <formula>"CUMPLE"</formula>
    </cfRule>
  </conditionalFormatting>
  <conditionalFormatting sqref="T451:U461">
    <cfRule type="cellIs" dxfId="1653" priority="1831" stopIfTrue="1" operator="greaterThan">
      <formula>0</formula>
    </cfRule>
  </conditionalFormatting>
  <conditionalFormatting sqref="T461:U461">
    <cfRule type="cellIs" dxfId="1652" priority="1827" operator="equal">
      <formula>"NO CUMPLE"</formula>
    </cfRule>
    <cfRule type="cellIs" dxfId="1651" priority="1830" stopIfTrue="1" operator="greaterThan">
      <formula>0</formula>
    </cfRule>
  </conditionalFormatting>
  <conditionalFormatting sqref="T461:U461">
    <cfRule type="cellIs" dxfId="1650" priority="1829" operator="equal">
      <formula>"NO CUMPLE"</formula>
    </cfRule>
  </conditionalFormatting>
  <conditionalFormatting sqref="T461:U461">
    <cfRule type="cellIs" dxfId="1649" priority="1828" operator="equal">
      <formula>"CUMPLE"</formula>
    </cfRule>
  </conditionalFormatting>
  <conditionalFormatting sqref="T454:U460">
    <cfRule type="cellIs" dxfId="1648" priority="1823" operator="equal">
      <formula>"NO CUMPLE"</formula>
    </cfRule>
  </conditionalFormatting>
  <conditionalFormatting sqref="T454:U460">
    <cfRule type="cellIs" dxfId="1647" priority="1826" operator="equal">
      <formula>"NO CUMPLE"</formula>
    </cfRule>
  </conditionalFormatting>
  <conditionalFormatting sqref="T454:U460">
    <cfRule type="cellIs" dxfId="1646" priority="1824" stopIfTrue="1" operator="equal">
      <formula>0</formula>
    </cfRule>
  </conditionalFormatting>
  <conditionalFormatting sqref="T454:U460">
    <cfRule type="cellIs" dxfId="1645" priority="1825" operator="equal">
      <formula>"CUMPLE"</formula>
    </cfRule>
  </conditionalFormatting>
  <conditionalFormatting sqref="M481:N481">
    <cfRule type="cellIs" dxfId="1644" priority="1818" stopIfTrue="1" operator="equal">
      <formula>"NO CUMPLE"</formula>
    </cfRule>
    <cfRule type="cellIs" dxfId="1643" priority="1819" stopIfTrue="1" operator="equal">
      <formula>"CUMPLE"</formula>
    </cfRule>
  </conditionalFormatting>
  <conditionalFormatting sqref="B471:B475 B478:N478 C472:L475">
    <cfRule type="cellIs" dxfId="1642" priority="1820" stopIfTrue="1" operator="greaterThan">
      <formula>0</formula>
    </cfRule>
  </conditionalFormatting>
  <conditionalFormatting sqref="M472:N475">
    <cfRule type="cellIs" dxfId="1641" priority="1821" stopIfTrue="1" operator="greaterThan">
      <formula>0</formula>
    </cfRule>
  </conditionalFormatting>
  <conditionalFormatting sqref="B469:B470 C471 D469:N471 C469 P469:R471">
    <cfRule type="cellIs" dxfId="1640" priority="1822" stopIfTrue="1" operator="greaterThan">
      <formula>0</formula>
    </cfRule>
  </conditionalFormatting>
  <conditionalFormatting sqref="G469:G471">
    <cfRule type="cellIs" dxfId="1639" priority="1817" stopIfTrue="1" operator="greaterThan">
      <formula>0</formula>
    </cfRule>
  </conditionalFormatting>
  <conditionalFormatting sqref="N472:N475">
    <cfRule type="cellIs" dxfId="1638" priority="1816" operator="equal">
      <formula>0</formula>
    </cfRule>
  </conditionalFormatting>
  <conditionalFormatting sqref="R472:R475 R478:R479">
    <cfRule type="cellIs" dxfId="1637" priority="1814" stopIfTrue="1" operator="greaterThan">
      <formula>0</formula>
    </cfRule>
  </conditionalFormatting>
  <conditionalFormatting sqref="R469:R471">
    <cfRule type="cellIs" dxfId="1636" priority="1815" stopIfTrue="1" operator="greaterThan">
      <formula>0</formula>
    </cfRule>
  </conditionalFormatting>
  <conditionalFormatting sqref="R473:R475 R478:R479">
    <cfRule type="cellIs" dxfId="1635" priority="1812" operator="equal">
      <formula>"CUMPLE"</formula>
    </cfRule>
    <cfRule type="cellIs" dxfId="1634" priority="1813" operator="equal">
      <formula>"NO CUMPLE"</formula>
    </cfRule>
  </conditionalFormatting>
  <conditionalFormatting sqref="Q469:Q471">
    <cfRule type="cellIs" dxfId="1633" priority="1811" stopIfTrue="1" operator="greaterThan">
      <formula>0</formula>
    </cfRule>
  </conditionalFormatting>
  <conditionalFormatting sqref="Q472:Q475 Q478:Q479">
    <cfRule type="cellIs" dxfId="1632" priority="1806" operator="equal">
      <formula>"NO CUMPLE"</formula>
    </cfRule>
    <cfRule type="cellIs" dxfId="1631" priority="1810" stopIfTrue="1" operator="greaterThan">
      <formula>0</formula>
    </cfRule>
  </conditionalFormatting>
  <conditionalFormatting sqref="Q472:Q475 O472:O475 O478:O479 Q478:Q479">
    <cfRule type="cellIs" dxfId="1630" priority="1809" operator="equal">
      <formula>"NO CUMPLE"</formula>
    </cfRule>
  </conditionalFormatting>
  <conditionalFormatting sqref="Q472:R475">
    <cfRule type="cellIs" dxfId="1629" priority="1807" stopIfTrue="1" operator="equal">
      <formula>0</formula>
    </cfRule>
  </conditionalFormatting>
  <conditionalFormatting sqref="Q472:R475 O472:O475 O478:O479 Q478:R479">
    <cfRule type="cellIs" dxfId="1628" priority="1808" operator="equal">
      <formula>"CUMPLE"</formula>
    </cfRule>
  </conditionalFormatting>
  <conditionalFormatting sqref="O469:O471">
    <cfRule type="cellIs" dxfId="1627" priority="1805" stopIfTrue="1" operator="greaterThan">
      <formula>0</formula>
    </cfRule>
  </conditionalFormatting>
  <conditionalFormatting sqref="O469:O471">
    <cfRule type="cellIs" dxfId="1626" priority="1804" stopIfTrue="1" operator="greaterThan">
      <formula>0</formula>
    </cfRule>
  </conditionalFormatting>
  <conditionalFormatting sqref="O472:O475 O478:O479">
    <cfRule type="cellIs" dxfId="1625" priority="1801" operator="equal">
      <formula>"NO CUMPLE"</formula>
    </cfRule>
    <cfRule type="cellIs" dxfId="1624" priority="1803" stopIfTrue="1" operator="greaterThan">
      <formula>0</formula>
    </cfRule>
  </conditionalFormatting>
  <conditionalFormatting sqref="O472:O475">
    <cfRule type="cellIs" dxfId="1623" priority="1802" stopIfTrue="1" operator="equal">
      <formula>0</formula>
    </cfRule>
  </conditionalFormatting>
  <conditionalFormatting sqref="B476:L477">
    <cfRule type="cellIs" dxfId="1622" priority="1799" stopIfTrue="1" operator="greaterThan">
      <formula>0</formula>
    </cfRule>
  </conditionalFormatting>
  <conditionalFormatting sqref="M476:N477">
    <cfRule type="cellIs" dxfId="1621" priority="1800" stopIfTrue="1" operator="greaterThan">
      <formula>0</formula>
    </cfRule>
  </conditionalFormatting>
  <conditionalFormatting sqref="N476:N477">
    <cfRule type="cellIs" dxfId="1620" priority="1798" operator="equal">
      <formula>0</formula>
    </cfRule>
  </conditionalFormatting>
  <conditionalFormatting sqref="R476:R477">
    <cfRule type="cellIs" dxfId="1619" priority="1797" stopIfTrue="1" operator="greaterThan">
      <formula>0</formula>
    </cfRule>
  </conditionalFormatting>
  <conditionalFormatting sqref="R476:R477">
    <cfRule type="cellIs" dxfId="1618" priority="1795" operator="equal">
      <formula>"CUMPLE"</formula>
    </cfRule>
    <cfRule type="cellIs" dxfId="1617" priority="1796" operator="equal">
      <formula>"NO CUMPLE"</formula>
    </cfRule>
  </conditionalFormatting>
  <conditionalFormatting sqref="Q476:Q477">
    <cfRule type="cellIs" dxfId="1616" priority="1790" operator="equal">
      <formula>"NO CUMPLE"</formula>
    </cfRule>
    <cfRule type="cellIs" dxfId="1615" priority="1794" stopIfTrue="1" operator="greaterThan">
      <formula>0</formula>
    </cfRule>
  </conditionalFormatting>
  <conditionalFormatting sqref="Q476:Q477 O476:O477">
    <cfRule type="cellIs" dxfId="1614" priority="1793" operator="equal">
      <formula>"NO CUMPLE"</formula>
    </cfRule>
  </conditionalFormatting>
  <conditionalFormatting sqref="Q476:R477">
    <cfRule type="cellIs" dxfId="1613" priority="1791" stopIfTrue="1" operator="equal">
      <formula>0</formula>
    </cfRule>
  </conditionalFormatting>
  <conditionalFormatting sqref="Q476:R477 O476:O477">
    <cfRule type="cellIs" dxfId="1612" priority="1792" operator="equal">
      <formula>"CUMPLE"</formula>
    </cfRule>
  </conditionalFormatting>
  <conditionalFormatting sqref="O476:O477">
    <cfRule type="cellIs" dxfId="1611" priority="1787" operator="equal">
      <formula>"NO CUMPLE"</formula>
    </cfRule>
    <cfRule type="cellIs" dxfId="1610" priority="1789" stopIfTrue="1" operator="greaterThan">
      <formula>0</formula>
    </cfRule>
  </conditionalFormatting>
  <conditionalFormatting sqref="O476:O477">
    <cfRule type="cellIs" dxfId="1609" priority="1788" stopIfTrue="1" operator="equal">
      <formula>0</formula>
    </cfRule>
  </conditionalFormatting>
  <conditionalFormatting sqref="S469:S471">
    <cfRule type="cellIs" dxfId="1608" priority="1786" stopIfTrue="1" operator="greaterThan">
      <formula>0</formula>
    </cfRule>
  </conditionalFormatting>
  <conditionalFormatting sqref="S469:S471">
    <cfRule type="cellIs" dxfId="1607" priority="1785" stopIfTrue="1" operator="greaterThan">
      <formula>0</formula>
    </cfRule>
  </conditionalFormatting>
  <conditionalFormatting sqref="S472:S479">
    <cfRule type="cellIs" dxfId="1606" priority="1780" operator="equal">
      <formula>"NO CUMPLE"</formula>
    </cfRule>
    <cfRule type="cellIs" dxfId="1605" priority="1784" stopIfTrue="1" operator="greaterThan">
      <formula>0</formula>
    </cfRule>
  </conditionalFormatting>
  <conditionalFormatting sqref="S472:S479">
    <cfRule type="cellIs" dxfId="1604" priority="1783" operator="equal">
      <formula>"NO CUMPLE"</formula>
    </cfRule>
  </conditionalFormatting>
  <conditionalFormatting sqref="S472:S477">
    <cfRule type="cellIs" dxfId="1603" priority="1781" stopIfTrue="1" operator="equal">
      <formula>0</formula>
    </cfRule>
  </conditionalFormatting>
  <conditionalFormatting sqref="S472:S479">
    <cfRule type="cellIs" dxfId="1602" priority="1782" operator="equal">
      <formula>"CUMPLE"</formula>
    </cfRule>
  </conditionalFormatting>
  <conditionalFormatting sqref="T469:U479">
    <cfRule type="cellIs" dxfId="1601" priority="1779" stopIfTrue="1" operator="greaterThan">
      <formula>0</formula>
    </cfRule>
  </conditionalFormatting>
  <conditionalFormatting sqref="T479:U479">
    <cfRule type="cellIs" dxfId="1600" priority="1775" operator="equal">
      <formula>"NO CUMPLE"</formula>
    </cfRule>
    <cfRule type="cellIs" dxfId="1599" priority="1778" stopIfTrue="1" operator="greaterThan">
      <formula>0</formula>
    </cfRule>
  </conditionalFormatting>
  <conditionalFormatting sqref="T479:U479">
    <cfRule type="cellIs" dxfId="1598" priority="1777" operator="equal">
      <formula>"NO CUMPLE"</formula>
    </cfRule>
  </conditionalFormatting>
  <conditionalFormatting sqref="T479:U479">
    <cfRule type="cellIs" dxfId="1597" priority="1776" operator="equal">
      <formula>"CUMPLE"</formula>
    </cfRule>
  </conditionalFormatting>
  <conditionalFormatting sqref="T472:U478">
    <cfRule type="cellIs" dxfId="1596" priority="1771" operator="equal">
      <formula>"NO CUMPLE"</formula>
    </cfRule>
  </conditionalFormatting>
  <conditionalFormatting sqref="T472:U478">
    <cfRule type="cellIs" dxfId="1595" priority="1774" operator="equal">
      <formula>"NO CUMPLE"</formula>
    </cfRule>
  </conditionalFormatting>
  <conditionalFormatting sqref="T472:U478">
    <cfRule type="cellIs" dxfId="1594" priority="1772" stopIfTrue="1" operator="equal">
      <formula>0</formula>
    </cfRule>
  </conditionalFormatting>
  <conditionalFormatting sqref="T472:U478">
    <cfRule type="cellIs" dxfId="1593" priority="1773" operator="equal">
      <formula>"CUMPLE"</formula>
    </cfRule>
  </conditionalFormatting>
  <conditionalFormatting sqref="M499:N499">
    <cfRule type="cellIs" dxfId="1592" priority="1766" stopIfTrue="1" operator="equal">
      <formula>"NO CUMPLE"</formula>
    </cfRule>
    <cfRule type="cellIs" dxfId="1591" priority="1767" stopIfTrue="1" operator="equal">
      <formula>"CUMPLE"</formula>
    </cfRule>
  </conditionalFormatting>
  <conditionalFormatting sqref="B489:B493 C490:L493 B496:N496">
    <cfRule type="cellIs" dxfId="1590" priority="1768" stopIfTrue="1" operator="greaterThan">
      <formula>0</formula>
    </cfRule>
  </conditionalFormatting>
  <conditionalFormatting sqref="M490:N493">
    <cfRule type="cellIs" dxfId="1589" priority="1769" stopIfTrue="1" operator="greaterThan">
      <formula>0</formula>
    </cfRule>
  </conditionalFormatting>
  <conditionalFormatting sqref="B487:B488 C489 D487:N489 C487 P487:R489">
    <cfRule type="cellIs" dxfId="1588" priority="1770" stopIfTrue="1" operator="greaterThan">
      <formula>0</formula>
    </cfRule>
  </conditionalFormatting>
  <conditionalFormatting sqref="G487:G489">
    <cfRule type="cellIs" dxfId="1587" priority="1765" stopIfTrue="1" operator="greaterThan">
      <formula>0</formula>
    </cfRule>
  </conditionalFormatting>
  <conditionalFormatting sqref="N490:N493">
    <cfRule type="cellIs" dxfId="1586" priority="1764" operator="equal">
      <formula>0</formula>
    </cfRule>
  </conditionalFormatting>
  <conditionalFormatting sqref="R490:R493 R496:R497">
    <cfRule type="cellIs" dxfId="1585" priority="1762" stopIfTrue="1" operator="greaterThan">
      <formula>0</formula>
    </cfRule>
  </conditionalFormatting>
  <conditionalFormatting sqref="R487:R489">
    <cfRule type="cellIs" dxfId="1584" priority="1763" stopIfTrue="1" operator="greaterThan">
      <formula>0</formula>
    </cfRule>
  </conditionalFormatting>
  <conditionalFormatting sqref="R491:R493 R496:R497">
    <cfRule type="cellIs" dxfId="1583" priority="1760" operator="equal">
      <formula>"CUMPLE"</formula>
    </cfRule>
    <cfRule type="cellIs" dxfId="1582" priority="1761" operator="equal">
      <formula>"NO CUMPLE"</formula>
    </cfRule>
  </conditionalFormatting>
  <conditionalFormatting sqref="Q487:Q489">
    <cfRule type="cellIs" dxfId="1581" priority="1759" stopIfTrue="1" operator="greaterThan">
      <formula>0</formula>
    </cfRule>
  </conditionalFormatting>
  <conditionalFormatting sqref="Q490:Q493 Q496:Q497">
    <cfRule type="cellIs" dxfId="1580" priority="1754" operator="equal">
      <formula>"NO CUMPLE"</formula>
    </cfRule>
    <cfRule type="cellIs" dxfId="1579" priority="1758" stopIfTrue="1" operator="greaterThan">
      <formula>0</formula>
    </cfRule>
  </conditionalFormatting>
  <conditionalFormatting sqref="Q490:Q493 O490:O493 O496:O497 Q496:Q497">
    <cfRule type="cellIs" dxfId="1578" priority="1757" operator="equal">
      <formula>"NO CUMPLE"</formula>
    </cfRule>
  </conditionalFormatting>
  <conditionalFormatting sqref="Q490:R493">
    <cfRule type="cellIs" dxfId="1577" priority="1755" stopIfTrue="1" operator="equal">
      <formula>0</formula>
    </cfRule>
  </conditionalFormatting>
  <conditionalFormatting sqref="Q490:R493 O490:O493 O496:O497 Q496:R497">
    <cfRule type="cellIs" dxfId="1576" priority="1756" operator="equal">
      <formula>"CUMPLE"</formula>
    </cfRule>
  </conditionalFormatting>
  <conditionalFormatting sqref="O487:O489">
    <cfRule type="cellIs" dxfId="1575" priority="1753" stopIfTrue="1" operator="greaterThan">
      <formula>0</formula>
    </cfRule>
  </conditionalFormatting>
  <conditionalFormatting sqref="O487:O489">
    <cfRule type="cellIs" dxfId="1574" priority="1752" stopIfTrue="1" operator="greaterThan">
      <formula>0</formula>
    </cfRule>
  </conditionalFormatting>
  <conditionalFormatting sqref="O490:O493 O496:O497">
    <cfRule type="cellIs" dxfId="1573" priority="1749" operator="equal">
      <formula>"NO CUMPLE"</formula>
    </cfRule>
    <cfRule type="cellIs" dxfId="1572" priority="1751" stopIfTrue="1" operator="greaterThan">
      <formula>0</formula>
    </cfRule>
  </conditionalFormatting>
  <conditionalFormatting sqref="O490:O493">
    <cfRule type="cellIs" dxfId="1571" priority="1750" stopIfTrue="1" operator="equal">
      <formula>0</formula>
    </cfRule>
  </conditionalFormatting>
  <conditionalFormatting sqref="B494:L495">
    <cfRule type="cellIs" dxfId="1570" priority="1747" stopIfTrue="1" operator="greaterThan">
      <formula>0</formula>
    </cfRule>
  </conditionalFormatting>
  <conditionalFormatting sqref="M494:N495">
    <cfRule type="cellIs" dxfId="1569" priority="1748" stopIfTrue="1" operator="greaterThan">
      <formula>0</formula>
    </cfRule>
  </conditionalFormatting>
  <conditionalFormatting sqref="N494:N495">
    <cfRule type="cellIs" dxfId="1568" priority="1746" operator="equal">
      <formula>0</formula>
    </cfRule>
  </conditionalFormatting>
  <conditionalFormatting sqref="R494:R495">
    <cfRule type="cellIs" dxfId="1567" priority="1745" stopIfTrue="1" operator="greaterThan">
      <formula>0</formula>
    </cfRule>
  </conditionalFormatting>
  <conditionalFormatting sqref="R494:R495">
    <cfRule type="cellIs" dxfId="1566" priority="1743" operator="equal">
      <formula>"CUMPLE"</formula>
    </cfRule>
    <cfRule type="cellIs" dxfId="1565" priority="1744" operator="equal">
      <formula>"NO CUMPLE"</formula>
    </cfRule>
  </conditionalFormatting>
  <conditionalFormatting sqref="Q494:Q495">
    <cfRule type="cellIs" dxfId="1564" priority="1738" operator="equal">
      <formula>"NO CUMPLE"</formula>
    </cfRule>
    <cfRule type="cellIs" dxfId="1563" priority="1742" stopIfTrue="1" operator="greaterThan">
      <formula>0</formula>
    </cfRule>
  </conditionalFormatting>
  <conditionalFormatting sqref="Q494:Q495 O494:O495">
    <cfRule type="cellIs" dxfId="1562" priority="1741" operator="equal">
      <formula>"NO CUMPLE"</formula>
    </cfRule>
  </conditionalFormatting>
  <conditionalFormatting sqref="Q494:R495">
    <cfRule type="cellIs" dxfId="1561" priority="1739" stopIfTrue="1" operator="equal">
      <formula>0</formula>
    </cfRule>
  </conditionalFormatting>
  <conditionalFormatting sqref="Q494:R495 O494:O495">
    <cfRule type="cellIs" dxfId="1560" priority="1740" operator="equal">
      <formula>"CUMPLE"</formula>
    </cfRule>
  </conditionalFormatting>
  <conditionalFormatting sqref="O494:O495">
    <cfRule type="cellIs" dxfId="1559" priority="1735" operator="equal">
      <formula>"NO CUMPLE"</formula>
    </cfRule>
    <cfRule type="cellIs" dxfId="1558" priority="1737" stopIfTrue="1" operator="greaterThan">
      <formula>0</formula>
    </cfRule>
  </conditionalFormatting>
  <conditionalFormatting sqref="O494:O495">
    <cfRule type="cellIs" dxfId="1557" priority="1736" stopIfTrue="1" operator="equal">
      <formula>0</formula>
    </cfRule>
  </conditionalFormatting>
  <conditionalFormatting sqref="S487:S489">
    <cfRule type="cellIs" dxfId="1556" priority="1734" stopIfTrue="1" operator="greaterThan">
      <formula>0</formula>
    </cfRule>
  </conditionalFormatting>
  <conditionalFormatting sqref="S487:S489">
    <cfRule type="cellIs" dxfId="1555" priority="1733" stopIfTrue="1" operator="greaterThan">
      <formula>0</formula>
    </cfRule>
  </conditionalFormatting>
  <conditionalFormatting sqref="S490:S497">
    <cfRule type="cellIs" dxfId="1554" priority="1728" operator="equal">
      <formula>"NO CUMPLE"</formula>
    </cfRule>
    <cfRule type="cellIs" dxfId="1553" priority="1732" stopIfTrue="1" operator="greaterThan">
      <formula>0</formula>
    </cfRule>
  </conditionalFormatting>
  <conditionalFormatting sqref="S490:S497">
    <cfRule type="cellIs" dxfId="1552" priority="1731" operator="equal">
      <formula>"NO CUMPLE"</formula>
    </cfRule>
  </conditionalFormatting>
  <conditionalFormatting sqref="S490:S495">
    <cfRule type="cellIs" dxfId="1551" priority="1729" stopIfTrue="1" operator="equal">
      <formula>0</formula>
    </cfRule>
  </conditionalFormatting>
  <conditionalFormatting sqref="S490:S497">
    <cfRule type="cellIs" dxfId="1550" priority="1730" operator="equal">
      <formula>"CUMPLE"</formula>
    </cfRule>
  </conditionalFormatting>
  <conditionalFormatting sqref="T487:U497">
    <cfRule type="cellIs" dxfId="1549" priority="1727" stopIfTrue="1" operator="greaterThan">
      <formula>0</formula>
    </cfRule>
  </conditionalFormatting>
  <conditionalFormatting sqref="T497:U497">
    <cfRule type="cellIs" dxfId="1548" priority="1723" operator="equal">
      <formula>"NO CUMPLE"</formula>
    </cfRule>
    <cfRule type="cellIs" dxfId="1547" priority="1726" stopIfTrue="1" operator="greaterThan">
      <formula>0</formula>
    </cfRule>
  </conditionalFormatting>
  <conditionalFormatting sqref="T497:U497">
    <cfRule type="cellIs" dxfId="1546" priority="1725" operator="equal">
      <formula>"NO CUMPLE"</formula>
    </cfRule>
  </conditionalFormatting>
  <conditionalFormatting sqref="T497:U497">
    <cfRule type="cellIs" dxfId="1545" priority="1724" operator="equal">
      <formula>"CUMPLE"</formula>
    </cfRule>
  </conditionalFormatting>
  <conditionalFormatting sqref="T490:U496">
    <cfRule type="cellIs" dxfId="1544" priority="1719" operator="equal">
      <formula>"NO CUMPLE"</formula>
    </cfRule>
  </conditionalFormatting>
  <conditionalFormatting sqref="T490:U496">
    <cfRule type="cellIs" dxfId="1543" priority="1722" operator="equal">
      <formula>"NO CUMPLE"</formula>
    </cfRule>
  </conditionalFormatting>
  <conditionalFormatting sqref="T490:U496">
    <cfRule type="cellIs" dxfId="1542" priority="1720" stopIfTrue="1" operator="equal">
      <formula>0</formula>
    </cfRule>
  </conditionalFormatting>
  <conditionalFormatting sqref="T490:U496">
    <cfRule type="cellIs" dxfId="1541" priority="1721" operator="equal">
      <formula>"CUMPLE"</formula>
    </cfRule>
  </conditionalFormatting>
  <conditionalFormatting sqref="M517:N517">
    <cfRule type="cellIs" dxfId="1540" priority="1714" stopIfTrue="1" operator="equal">
      <formula>"NO CUMPLE"</formula>
    </cfRule>
    <cfRule type="cellIs" dxfId="1539" priority="1715" stopIfTrue="1" operator="equal">
      <formula>"CUMPLE"</formula>
    </cfRule>
  </conditionalFormatting>
  <conditionalFormatting sqref="B507:B511 C508:L511 B514:N514">
    <cfRule type="cellIs" dxfId="1538" priority="1716" stopIfTrue="1" operator="greaterThan">
      <formula>0</formula>
    </cfRule>
  </conditionalFormatting>
  <conditionalFormatting sqref="M508:N511">
    <cfRule type="cellIs" dxfId="1537" priority="1717" stopIfTrue="1" operator="greaterThan">
      <formula>0</formula>
    </cfRule>
  </conditionalFormatting>
  <conditionalFormatting sqref="B505:B506 C507 D505:N507 C505 P505:R507">
    <cfRule type="cellIs" dxfId="1536" priority="1718" stopIfTrue="1" operator="greaterThan">
      <formula>0</formula>
    </cfRule>
  </conditionalFormatting>
  <conditionalFormatting sqref="G505:G507">
    <cfRule type="cellIs" dxfId="1535" priority="1713" stopIfTrue="1" operator="greaterThan">
      <formula>0</formula>
    </cfRule>
  </conditionalFormatting>
  <conditionalFormatting sqref="N508:N511">
    <cfRule type="cellIs" dxfId="1534" priority="1712" operator="equal">
      <formula>0</formula>
    </cfRule>
  </conditionalFormatting>
  <conditionalFormatting sqref="R508:R511 R514:R515">
    <cfRule type="cellIs" dxfId="1533" priority="1710" stopIfTrue="1" operator="greaterThan">
      <formula>0</formula>
    </cfRule>
  </conditionalFormatting>
  <conditionalFormatting sqref="R505:R507">
    <cfRule type="cellIs" dxfId="1532" priority="1711" stopIfTrue="1" operator="greaterThan">
      <formula>0</formula>
    </cfRule>
  </conditionalFormatting>
  <conditionalFormatting sqref="R509:R511 R514:R515">
    <cfRule type="cellIs" dxfId="1531" priority="1708" operator="equal">
      <formula>"CUMPLE"</formula>
    </cfRule>
    <cfRule type="cellIs" dxfId="1530" priority="1709" operator="equal">
      <formula>"NO CUMPLE"</formula>
    </cfRule>
  </conditionalFormatting>
  <conditionalFormatting sqref="Q505:Q507">
    <cfRule type="cellIs" dxfId="1529" priority="1707" stopIfTrue="1" operator="greaterThan">
      <formula>0</formula>
    </cfRule>
  </conditionalFormatting>
  <conditionalFormatting sqref="Q508:Q511 Q514:Q515">
    <cfRule type="cellIs" dxfId="1528" priority="1702" operator="equal">
      <formula>"NO CUMPLE"</formula>
    </cfRule>
    <cfRule type="cellIs" dxfId="1527" priority="1706" stopIfTrue="1" operator="greaterThan">
      <formula>0</formula>
    </cfRule>
  </conditionalFormatting>
  <conditionalFormatting sqref="Q508:Q511 O508:O511 O514:O515 Q514:Q515">
    <cfRule type="cellIs" dxfId="1526" priority="1705" operator="equal">
      <formula>"NO CUMPLE"</formula>
    </cfRule>
  </conditionalFormatting>
  <conditionalFormatting sqref="Q508:R511">
    <cfRule type="cellIs" dxfId="1525" priority="1703" stopIfTrue="1" operator="equal">
      <formula>0</formula>
    </cfRule>
  </conditionalFormatting>
  <conditionalFormatting sqref="Q508:R511 O508:O511 O514:O515 Q514:R515">
    <cfRule type="cellIs" dxfId="1524" priority="1704" operator="equal">
      <formula>"CUMPLE"</formula>
    </cfRule>
  </conditionalFormatting>
  <conditionalFormatting sqref="O505:O507">
    <cfRule type="cellIs" dxfId="1523" priority="1701" stopIfTrue="1" operator="greaterThan">
      <formula>0</formula>
    </cfRule>
  </conditionalFormatting>
  <conditionalFormatting sqref="O505:O507">
    <cfRule type="cellIs" dxfId="1522" priority="1700" stopIfTrue="1" operator="greaterThan">
      <formula>0</formula>
    </cfRule>
  </conditionalFormatting>
  <conditionalFormatting sqref="O508:O511 O514:O515">
    <cfRule type="cellIs" dxfId="1521" priority="1697" operator="equal">
      <formula>"NO CUMPLE"</formula>
    </cfRule>
    <cfRule type="cellIs" dxfId="1520" priority="1699" stopIfTrue="1" operator="greaterThan">
      <formula>0</formula>
    </cfRule>
  </conditionalFormatting>
  <conditionalFormatting sqref="O508:O511">
    <cfRule type="cellIs" dxfId="1519" priority="1698" stopIfTrue="1" operator="equal">
      <formula>0</formula>
    </cfRule>
  </conditionalFormatting>
  <conditionalFormatting sqref="B512:L513">
    <cfRule type="cellIs" dxfId="1518" priority="1695" stopIfTrue="1" operator="greaterThan">
      <formula>0</formula>
    </cfRule>
  </conditionalFormatting>
  <conditionalFormatting sqref="M512:N513">
    <cfRule type="cellIs" dxfId="1517" priority="1696" stopIfTrue="1" operator="greaterThan">
      <formula>0</formula>
    </cfRule>
  </conditionalFormatting>
  <conditionalFormatting sqref="N512:N513">
    <cfRule type="cellIs" dxfId="1516" priority="1694" operator="equal">
      <formula>0</formula>
    </cfRule>
  </conditionalFormatting>
  <conditionalFormatting sqref="R512:R513">
    <cfRule type="cellIs" dxfId="1515" priority="1693" stopIfTrue="1" operator="greaterThan">
      <formula>0</formula>
    </cfRule>
  </conditionalFormatting>
  <conditionalFormatting sqref="R512:R513">
    <cfRule type="cellIs" dxfId="1514" priority="1691" operator="equal">
      <formula>"CUMPLE"</formula>
    </cfRule>
    <cfRule type="cellIs" dxfId="1513" priority="1692" operator="equal">
      <formula>"NO CUMPLE"</formula>
    </cfRule>
  </conditionalFormatting>
  <conditionalFormatting sqref="Q512:Q513">
    <cfRule type="cellIs" dxfId="1512" priority="1686" operator="equal">
      <formula>"NO CUMPLE"</formula>
    </cfRule>
    <cfRule type="cellIs" dxfId="1511" priority="1690" stopIfTrue="1" operator="greaterThan">
      <formula>0</formula>
    </cfRule>
  </conditionalFormatting>
  <conditionalFormatting sqref="Q512:Q513 O512:O513">
    <cfRule type="cellIs" dxfId="1510" priority="1689" operator="equal">
      <formula>"NO CUMPLE"</formula>
    </cfRule>
  </conditionalFormatting>
  <conditionalFormatting sqref="Q512:R513">
    <cfRule type="cellIs" dxfId="1509" priority="1687" stopIfTrue="1" operator="equal">
      <formula>0</formula>
    </cfRule>
  </conditionalFormatting>
  <conditionalFormatting sqref="Q512:R513 O512:O513">
    <cfRule type="cellIs" dxfId="1508" priority="1688" operator="equal">
      <formula>"CUMPLE"</formula>
    </cfRule>
  </conditionalFormatting>
  <conditionalFormatting sqref="O512:O513">
    <cfRule type="cellIs" dxfId="1507" priority="1683" operator="equal">
      <formula>"NO CUMPLE"</formula>
    </cfRule>
    <cfRule type="cellIs" dxfId="1506" priority="1685" stopIfTrue="1" operator="greaterThan">
      <formula>0</formula>
    </cfRule>
  </conditionalFormatting>
  <conditionalFormatting sqref="O512:O513">
    <cfRule type="cellIs" dxfId="1505" priority="1684" stopIfTrue="1" operator="equal">
      <formula>0</formula>
    </cfRule>
  </conditionalFormatting>
  <conditionalFormatting sqref="S505:S507">
    <cfRule type="cellIs" dxfId="1504" priority="1682" stopIfTrue="1" operator="greaterThan">
      <formula>0</formula>
    </cfRule>
  </conditionalFormatting>
  <conditionalFormatting sqref="S505:S507">
    <cfRule type="cellIs" dxfId="1503" priority="1681" stopIfTrue="1" operator="greaterThan">
      <formula>0</formula>
    </cfRule>
  </conditionalFormatting>
  <conditionalFormatting sqref="S508:S515">
    <cfRule type="cellIs" dxfId="1502" priority="1676" operator="equal">
      <formula>"NO CUMPLE"</formula>
    </cfRule>
    <cfRule type="cellIs" dxfId="1501" priority="1680" stopIfTrue="1" operator="greaterThan">
      <formula>0</formula>
    </cfRule>
  </conditionalFormatting>
  <conditionalFormatting sqref="S508:S515">
    <cfRule type="cellIs" dxfId="1500" priority="1679" operator="equal">
      <formula>"NO CUMPLE"</formula>
    </cfRule>
  </conditionalFormatting>
  <conditionalFormatting sqref="S508:S513">
    <cfRule type="cellIs" dxfId="1499" priority="1677" stopIfTrue="1" operator="equal">
      <formula>0</formula>
    </cfRule>
  </conditionalFormatting>
  <conditionalFormatting sqref="S508:S515">
    <cfRule type="cellIs" dxfId="1498" priority="1678" operator="equal">
      <formula>"CUMPLE"</formula>
    </cfRule>
  </conditionalFormatting>
  <conditionalFormatting sqref="T505:U515">
    <cfRule type="cellIs" dxfId="1497" priority="1675" stopIfTrue="1" operator="greaterThan">
      <formula>0</formula>
    </cfRule>
  </conditionalFormatting>
  <conditionalFormatting sqref="T515:U515">
    <cfRule type="cellIs" dxfId="1496" priority="1671" operator="equal">
      <formula>"NO CUMPLE"</formula>
    </cfRule>
    <cfRule type="cellIs" dxfId="1495" priority="1674" stopIfTrue="1" operator="greaterThan">
      <formula>0</formula>
    </cfRule>
  </conditionalFormatting>
  <conditionalFormatting sqref="T515:U515">
    <cfRule type="cellIs" dxfId="1494" priority="1673" operator="equal">
      <formula>"NO CUMPLE"</formula>
    </cfRule>
  </conditionalFormatting>
  <conditionalFormatting sqref="T515:U515">
    <cfRule type="cellIs" dxfId="1493" priority="1672" operator="equal">
      <formula>"CUMPLE"</formula>
    </cfRule>
  </conditionalFormatting>
  <conditionalFormatting sqref="T508:U514">
    <cfRule type="cellIs" dxfId="1492" priority="1667" operator="equal">
      <formula>"NO CUMPLE"</formula>
    </cfRule>
  </conditionalFormatting>
  <conditionalFormatting sqref="T508:U514">
    <cfRule type="cellIs" dxfId="1491" priority="1670" operator="equal">
      <formula>"NO CUMPLE"</formula>
    </cfRule>
  </conditionalFormatting>
  <conditionalFormatting sqref="T508:U514">
    <cfRule type="cellIs" dxfId="1490" priority="1668" stopIfTrue="1" operator="equal">
      <formula>0</formula>
    </cfRule>
  </conditionalFormatting>
  <conditionalFormatting sqref="T508:U514">
    <cfRule type="cellIs" dxfId="1489" priority="1669" operator="equal">
      <formula>"CUMPLE"</formula>
    </cfRule>
  </conditionalFormatting>
  <conditionalFormatting sqref="M535:N535">
    <cfRule type="cellIs" dxfId="1488" priority="1662" stopIfTrue="1" operator="equal">
      <formula>"NO CUMPLE"</formula>
    </cfRule>
    <cfRule type="cellIs" dxfId="1487" priority="1663" stopIfTrue="1" operator="equal">
      <formula>"CUMPLE"</formula>
    </cfRule>
  </conditionalFormatting>
  <conditionalFormatting sqref="B525:B529 B532:N532 C526:L529">
    <cfRule type="cellIs" dxfId="1486" priority="1664" stopIfTrue="1" operator="greaterThan">
      <formula>0</formula>
    </cfRule>
  </conditionalFormatting>
  <conditionalFormatting sqref="M526:N529">
    <cfRule type="cellIs" dxfId="1485" priority="1665" stopIfTrue="1" operator="greaterThan">
      <formula>0</formula>
    </cfRule>
  </conditionalFormatting>
  <conditionalFormatting sqref="B523:B524 C525 D523:N525 C523 P523:R525">
    <cfRule type="cellIs" dxfId="1484" priority="1666" stopIfTrue="1" operator="greaterThan">
      <formula>0</formula>
    </cfRule>
  </conditionalFormatting>
  <conditionalFormatting sqref="G523:G525">
    <cfRule type="cellIs" dxfId="1483" priority="1661" stopIfTrue="1" operator="greaterThan">
      <formula>0</formula>
    </cfRule>
  </conditionalFormatting>
  <conditionalFormatting sqref="N526:N529">
    <cfRule type="cellIs" dxfId="1482" priority="1660" operator="equal">
      <formula>0</formula>
    </cfRule>
  </conditionalFormatting>
  <conditionalFormatting sqref="R526:R529 R532:R533">
    <cfRule type="cellIs" dxfId="1481" priority="1658" stopIfTrue="1" operator="greaterThan">
      <formula>0</formula>
    </cfRule>
  </conditionalFormatting>
  <conditionalFormatting sqref="R523:R525">
    <cfRule type="cellIs" dxfId="1480" priority="1659" stopIfTrue="1" operator="greaterThan">
      <formula>0</formula>
    </cfRule>
  </conditionalFormatting>
  <conditionalFormatting sqref="R527:R529 R532:R533">
    <cfRule type="cellIs" dxfId="1479" priority="1656" operator="equal">
      <formula>"CUMPLE"</formula>
    </cfRule>
    <cfRule type="cellIs" dxfId="1478" priority="1657" operator="equal">
      <formula>"NO CUMPLE"</formula>
    </cfRule>
  </conditionalFormatting>
  <conditionalFormatting sqref="Q523:Q525">
    <cfRule type="cellIs" dxfId="1477" priority="1655" stopIfTrue="1" operator="greaterThan">
      <formula>0</formula>
    </cfRule>
  </conditionalFormatting>
  <conditionalFormatting sqref="Q526:Q529 Q532:Q533">
    <cfRule type="cellIs" dxfId="1476" priority="1650" operator="equal">
      <formula>"NO CUMPLE"</formula>
    </cfRule>
    <cfRule type="cellIs" dxfId="1475" priority="1654" stopIfTrue="1" operator="greaterThan">
      <formula>0</formula>
    </cfRule>
  </conditionalFormatting>
  <conditionalFormatting sqref="Q526:Q529 O526:O529 O532:O533 Q532:Q533">
    <cfRule type="cellIs" dxfId="1474" priority="1653" operator="equal">
      <formula>"NO CUMPLE"</formula>
    </cfRule>
  </conditionalFormatting>
  <conditionalFormatting sqref="Q526:R529">
    <cfRule type="cellIs" dxfId="1473" priority="1651" stopIfTrue="1" operator="equal">
      <formula>0</formula>
    </cfRule>
  </conditionalFormatting>
  <conditionalFormatting sqref="Q526:R529 O526:O529 O532:O533 Q532:R533">
    <cfRule type="cellIs" dxfId="1472" priority="1652" operator="equal">
      <formula>"CUMPLE"</formula>
    </cfRule>
  </conditionalFormatting>
  <conditionalFormatting sqref="O523:O525">
    <cfRule type="cellIs" dxfId="1471" priority="1649" stopIfTrue="1" operator="greaterThan">
      <formula>0</formula>
    </cfRule>
  </conditionalFormatting>
  <conditionalFormatting sqref="O523:O525">
    <cfRule type="cellIs" dxfId="1470" priority="1648" stopIfTrue="1" operator="greaterThan">
      <formula>0</formula>
    </cfRule>
  </conditionalFormatting>
  <conditionalFormatting sqref="O526:O529 O532:O533">
    <cfRule type="cellIs" dxfId="1469" priority="1645" operator="equal">
      <formula>"NO CUMPLE"</formula>
    </cfRule>
    <cfRule type="cellIs" dxfId="1468" priority="1647" stopIfTrue="1" operator="greaterThan">
      <formula>0</formula>
    </cfRule>
  </conditionalFormatting>
  <conditionalFormatting sqref="O526:O529">
    <cfRule type="cellIs" dxfId="1467" priority="1646" stopIfTrue="1" operator="equal">
      <formula>0</formula>
    </cfRule>
  </conditionalFormatting>
  <conditionalFormatting sqref="B530:L531">
    <cfRule type="cellIs" dxfId="1466" priority="1643" stopIfTrue="1" operator="greaterThan">
      <formula>0</formula>
    </cfRule>
  </conditionalFormatting>
  <conditionalFormatting sqref="M530:N531">
    <cfRule type="cellIs" dxfId="1465" priority="1644" stopIfTrue="1" operator="greaterThan">
      <formula>0</formula>
    </cfRule>
  </conditionalFormatting>
  <conditionalFormatting sqref="N530:N531">
    <cfRule type="cellIs" dxfId="1464" priority="1642" operator="equal">
      <formula>0</formula>
    </cfRule>
  </conditionalFormatting>
  <conditionalFormatting sqref="R530:R531">
    <cfRule type="cellIs" dxfId="1463" priority="1641" stopIfTrue="1" operator="greaterThan">
      <formula>0</formula>
    </cfRule>
  </conditionalFormatting>
  <conditionalFormatting sqref="R530:R531">
    <cfRule type="cellIs" dxfId="1462" priority="1639" operator="equal">
      <formula>"CUMPLE"</formula>
    </cfRule>
    <cfRule type="cellIs" dxfId="1461" priority="1640" operator="equal">
      <formula>"NO CUMPLE"</formula>
    </cfRule>
  </conditionalFormatting>
  <conditionalFormatting sqref="Q530:Q531">
    <cfRule type="cellIs" dxfId="1460" priority="1634" operator="equal">
      <formula>"NO CUMPLE"</formula>
    </cfRule>
    <cfRule type="cellIs" dxfId="1459" priority="1638" stopIfTrue="1" operator="greaterThan">
      <formula>0</formula>
    </cfRule>
  </conditionalFormatting>
  <conditionalFormatting sqref="Q530:Q531 O530:O531">
    <cfRule type="cellIs" dxfId="1458" priority="1637" operator="equal">
      <formula>"NO CUMPLE"</formula>
    </cfRule>
  </conditionalFormatting>
  <conditionalFormatting sqref="Q530:R531">
    <cfRule type="cellIs" dxfId="1457" priority="1635" stopIfTrue="1" operator="equal">
      <formula>0</formula>
    </cfRule>
  </conditionalFormatting>
  <conditionalFormatting sqref="Q530:R531 O530:O531">
    <cfRule type="cellIs" dxfId="1456" priority="1636" operator="equal">
      <formula>"CUMPLE"</formula>
    </cfRule>
  </conditionalFormatting>
  <conditionalFormatting sqref="O530:O531">
    <cfRule type="cellIs" dxfId="1455" priority="1631" operator="equal">
      <formula>"NO CUMPLE"</formula>
    </cfRule>
    <cfRule type="cellIs" dxfId="1454" priority="1633" stopIfTrue="1" operator="greaterThan">
      <formula>0</formula>
    </cfRule>
  </conditionalFormatting>
  <conditionalFormatting sqref="O530:O531">
    <cfRule type="cellIs" dxfId="1453" priority="1632" stopIfTrue="1" operator="equal">
      <formula>0</formula>
    </cfRule>
  </conditionalFormatting>
  <conditionalFormatting sqref="S523:S525">
    <cfRule type="cellIs" dxfId="1452" priority="1630" stopIfTrue="1" operator="greaterThan">
      <formula>0</formula>
    </cfRule>
  </conditionalFormatting>
  <conditionalFormatting sqref="S523:S525">
    <cfRule type="cellIs" dxfId="1451" priority="1629" stopIfTrue="1" operator="greaterThan">
      <formula>0</formula>
    </cfRule>
  </conditionalFormatting>
  <conditionalFormatting sqref="S526:S533">
    <cfRule type="cellIs" dxfId="1450" priority="1624" operator="equal">
      <formula>"NO CUMPLE"</formula>
    </cfRule>
    <cfRule type="cellIs" dxfId="1449" priority="1628" stopIfTrue="1" operator="greaterThan">
      <formula>0</formula>
    </cfRule>
  </conditionalFormatting>
  <conditionalFormatting sqref="S526:S533">
    <cfRule type="cellIs" dxfId="1448" priority="1627" operator="equal">
      <formula>"NO CUMPLE"</formula>
    </cfRule>
  </conditionalFormatting>
  <conditionalFormatting sqref="S526:S531">
    <cfRule type="cellIs" dxfId="1447" priority="1625" stopIfTrue="1" operator="equal">
      <formula>0</formula>
    </cfRule>
  </conditionalFormatting>
  <conditionalFormatting sqref="S526:S533">
    <cfRule type="cellIs" dxfId="1446" priority="1626" operator="equal">
      <formula>"CUMPLE"</formula>
    </cfRule>
  </conditionalFormatting>
  <conditionalFormatting sqref="T523:U533">
    <cfRule type="cellIs" dxfId="1445" priority="1623" stopIfTrue="1" operator="greaterThan">
      <formula>0</formula>
    </cfRule>
  </conditionalFormatting>
  <conditionalFormatting sqref="T533:U533">
    <cfRule type="cellIs" dxfId="1444" priority="1619" operator="equal">
      <formula>"NO CUMPLE"</formula>
    </cfRule>
    <cfRule type="cellIs" dxfId="1443" priority="1622" stopIfTrue="1" operator="greaterThan">
      <formula>0</formula>
    </cfRule>
  </conditionalFormatting>
  <conditionalFormatting sqref="T533:U533">
    <cfRule type="cellIs" dxfId="1442" priority="1621" operator="equal">
      <formula>"NO CUMPLE"</formula>
    </cfRule>
  </conditionalFormatting>
  <conditionalFormatting sqref="T533:U533">
    <cfRule type="cellIs" dxfId="1441" priority="1620" operator="equal">
      <formula>"CUMPLE"</formula>
    </cfRule>
  </conditionalFormatting>
  <conditionalFormatting sqref="T526:U532">
    <cfRule type="cellIs" dxfId="1440" priority="1615" operator="equal">
      <formula>"NO CUMPLE"</formula>
    </cfRule>
  </conditionalFormatting>
  <conditionalFormatting sqref="T526:U532">
    <cfRule type="cellIs" dxfId="1439" priority="1618" operator="equal">
      <formula>"NO CUMPLE"</formula>
    </cfRule>
  </conditionalFormatting>
  <conditionalFormatting sqref="T526:U532">
    <cfRule type="cellIs" dxfId="1438" priority="1616" stopIfTrue="1" operator="equal">
      <formula>0</formula>
    </cfRule>
  </conditionalFormatting>
  <conditionalFormatting sqref="T526:U532">
    <cfRule type="cellIs" dxfId="1437" priority="1617" operator="equal">
      <formula>"CUMPLE"</formula>
    </cfRule>
  </conditionalFormatting>
  <conditionalFormatting sqref="M553:N553">
    <cfRule type="cellIs" dxfId="1436" priority="1610" stopIfTrue="1" operator="equal">
      <formula>"NO CUMPLE"</formula>
    </cfRule>
    <cfRule type="cellIs" dxfId="1435" priority="1611" stopIfTrue="1" operator="equal">
      <formula>"CUMPLE"</formula>
    </cfRule>
  </conditionalFormatting>
  <conditionalFormatting sqref="B543:B547 C544:L547 B550:N550">
    <cfRule type="cellIs" dxfId="1434" priority="1612" stopIfTrue="1" operator="greaterThan">
      <formula>0</formula>
    </cfRule>
  </conditionalFormatting>
  <conditionalFormatting sqref="M544:N547">
    <cfRule type="cellIs" dxfId="1433" priority="1613" stopIfTrue="1" operator="greaterThan">
      <formula>0</formula>
    </cfRule>
  </conditionalFormatting>
  <conditionalFormatting sqref="B541:B542 C543 D541:N543 C541 P541:R543">
    <cfRule type="cellIs" dxfId="1432" priority="1614" stopIfTrue="1" operator="greaterThan">
      <formula>0</formula>
    </cfRule>
  </conditionalFormatting>
  <conditionalFormatting sqref="G541:G543">
    <cfRule type="cellIs" dxfId="1431" priority="1609" stopIfTrue="1" operator="greaterThan">
      <formula>0</formula>
    </cfRule>
  </conditionalFormatting>
  <conditionalFormatting sqref="N544:N547">
    <cfRule type="cellIs" dxfId="1430" priority="1608" operator="equal">
      <formula>0</formula>
    </cfRule>
  </conditionalFormatting>
  <conditionalFormatting sqref="R544:R547 R550:R551">
    <cfRule type="cellIs" dxfId="1429" priority="1606" stopIfTrue="1" operator="greaterThan">
      <formula>0</formula>
    </cfRule>
  </conditionalFormatting>
  <conditionalFormatting sqref="R541:R543">
    <cfRule type="cellIs" dxfId="1428" priority="1607" stopIfTrue="1" operator="greaterThan">
      <formula>0</formula>
    </cfRule>
  </conditionalFormatting>
  <conditionalFormatting sqref="R545:R547 R550:R551">
    <cfRule type="cellIs" dxfId="1427" priority="1604" operator="equal">
      <formula>"CUMPLE"</formula>
    </cfRule>
    <cfRule type="cellIs" dxfId="1426" priority="1605" operator="equal">
      <formula>"NO CUMPLE"</formula>
    </cfRule>
  </conditionalFormatting>
  <conditionalFormatting sqref="Q541:Q543">
    <cfRule type="cellIs" dxfId="1425" priority="1603" stopIfTrue="1" operator="greaterThan">
      <formula>0</formula>
    </cfRule>
  </conditionalFormatting>
  <conditionalFormatting sqref="Q544:Q547 Q550:Q551">
    <cfRule type="cellIs" dxfId="1424" priority="1598" operator="equal">
      <formula>"NO CUMPLE"</formula>
    </cfRule>
    <cfRule type="cellIs" dxfId="1423" priority="1602" stopIfTrue="1" operator="greaterThan">
      <formula>0</formula>
    </cfRule>
  </conditionalFormatting>
  <conditionalFormatting sqref="Q544:Q547 O544:O547 O550:O551 Q550:Q551">
    <cfRule type="cellIs" dxfId="1422" priority="1601" operator="equal">
      <formula>"NO CUMPLE"</formula>
    </cfRule>
  </conditionalFormatting>
  <conditionalFormatting sqref="Q544:R547">
    <cfRule type="cellIs" dxfId="1421" priority="1599" stopIfTrue="1" operator="equal">
      <formula>0</formula>
    </cfRule>
  </conditionalFormatting>
  <conditionalFormatting sqref="Q544:R547 O544:O547 O550:O551 Q550:R551">
    <cfRule type="cellIs" dxfId="1420" priority="1600" operator="equal">
      <formula>"CUMPLE"</formula>
    </cfRule>
  </conditionalFormatting>
  <conditionalFormatting sqref="O541:O543">
    <cfRule type="cellIs" dxfId="1419" priority="1597" stopIfTrue="1" operator="greaterThan">
      <formula>0</formula>
    </cfRule>
  </conditionalFormatting>
  <conditionalFormatting sqref="O541:O543">
    <cfRule type="cellIs" dxfId="1418" priority="1596" stopIfTrue="1" operator="greaterThan">
      <formula>0</formula>
    </cfRule>
  </conditionalFormatting>
  <conditionalFormatting sqref="O544:O547 O550:O551">
    <cfRule type="cellIs" dxfId="1417" priority="1593" operator="equal">
      <formula>"NO CUMPLE"</formula>
    </cfRule>
    <cfRule type="cellIs" dxfId="1416" priority="1595" stopIfTrue="1" operator="greaterThan">
      <formula>0</formula>
    </cfRule>
  </conditionalFormatting>
  <conditionalFormatting sqref="O544:O547">
    <cfRule type="cellIs" dxfId="1415" priority="1594" stopIfTrue="1" operator="equal">
      <formula>0</formula>
    </cfRule>
  </conditionalFormatting>
  <conditionalFormatting sqref="B548:L549">
    <cfRule type="cellIs" dxfId="1414" priority="1591" stopIfTrue="1" operator="greaterThan">
      <formula>0</formula>
    </cfRule>
  </conditionalFormatting>
  <conditionalFormatting sqref="M548:N549">
    <cfRule type="cellIs" dxfId="1413" priority="1592" stopIfTrue="1" operator="greaterThan">
      <formula>0</formula>
    </cfRule>
  </conditionalFormatting>
  <conditionalFormatting sqref="N548:N549">
    <cfRule type="cellIs" dxfId="1412" priority="1590" operator="equal">
      <formula>0</formula>
    </cfRule>
  </conditionalFormatting>
  <conditionalFormatting sqref="R548:R549">
    <cfRule type="cellIs" dxfId="1411" priority="1589" stopIfTrue="1" operator="greaterThan">
      <formula>0</formula>
    </cfRule>
  </conditionalFormatting>
  <conditionalFormatting sqref="R548:R549">
    <cfRule type="cellIs" dxfId="1410" priority="1587" operator="equal">
      <formula>"CUMPLE"</formula>
    </cfRule>
    <cfRule type="cellIs" dxfId="1409" priority="1588" operator="equal">
      <formula>"NO CUMPLE"</formula>
    </cfRule>
  </conditionalFormatting>
  <conditionalFormatting sqref="Q548:Q549">
    <cfRule type="cellIs" dxfId="1408" priority="1582" operator="equal">
      <formula>"NO CUMPLE"</formula>
    </cfRule>
    <cfRule type="cellIs" dxfId="1407" priority="1586" stopIfTrue="1" operator="greaterThan">
      <formula>0</formula>
    </cfRule>
  </conditionalFormatting>
  <conditionalFormatting sqref="Q548:Q549 O548:O549">
    <cfRule type="cellIs" dxfId="1406" priority="1585" operator="equal">
      <formula>"NO CUMPLE"</formula>
    </cfRule>
  </conditionalFormatting>
  <conditionalFormatting sqref="Q548:R549">
    <cfRule type="cellIs" dxfId="1405" priority="1583" stopIfTrue="1" operator="equal">
      <formula>0</formula>
    </cfRule>
  </conditionalFormatting>
  <conditionalFormatting sqref="Q548:R549 O548:O549">
    <cfRule type="cellIs" dxfId="1404" priority="1584" operator="equal">
      <formula>"CUMPLE"</formula>
    </cfRule>
  </conditionalFormatting>
  <conditionalFormatting sqref="O548:O549">
    <cfRule type="cellIs" dxfId="1403" priority="1579" operator="equal">
      <formula>"NO CUMPLE"</formula>
    </cfRule>
    <cfRule type="cellIs" dxfId="1402" priority="1581" stopIfTrue="1" operator="greaterThan">
      <formula>0</formula>
    </cfRule>
  </conditionalFormatting>
  <conditionalFormatting sqref="O548:O549">
    <cfRule type="cellIs" dxfId="1401" priority="1580" stopIfTrue="1" operator="equal">
      <formula>0</formula>
    </cfRule>
  </conditionalFormatting>
  <conditionalFormatting sqref="S541:S543">
    <cfRule type="cellIs" dxfId="1400" priority="1578" stopIfTrue="1" operator="greaterThan">
      <formula>0</formula>
    </cfRule>
  </conditionalFormatting>
  <conditionalFormatting sqref="S541:S543">
    <cfRule type="cellIs" dxfId="1399" priority="1577" stopIfTrue="1" operator="greaterThan">
      <formula>0</formula>
    </cfRule>
  </conditionalFormatting>
  <conditionalFormatting sqref="S544:S551">
    <cfRule type="cellIs" dxfId="1398" priority="1572" operator="equal">
      <formula>"NO CUMPLE"</formula>
    </cfRule>
    <cfRule type="cellIs" dxfId="1397" priority="1576" stopIfTrue="1" operator="greaterThan">
      <formula>0</formula>
    </cfRule>
  </conditionalFormatting>
  <conditionalFormatting sqref="S544:S551">
    <cfRule type="cellIs" dxfId="1396" priority="1575" operator="equal">
      <formula>"NO CUMPLE"</formula>
    </cfRule>
  </conditionalFormatting>
  <conditionalFormatting sqref="S544:S549">
    <cfRule type="cellIs" dxfId="1395" priority="1573" stopIfTrue="1" operator="equal">
      <formula>0</formula>
    </cfRule>
  </conditionalFormatting>
  <conditionalFormatting sqref="S544:S551">
    <cfRule type="cellIs" dxfId="1394" priority="1574" operator="equal">
      <formula>"CUMPLE"</formula>
    </cfRule>
  </conditionalFormatting>
  <conditionalFormatting sqref="T541:U551">
    <cfRule type="cellIs" dxfId="1393" priority="1571" stopIfTrue="1" operator="greaterThan">
      <formula>0</formula>
    </cfRule>
  </conditionalFormatting>
  <conditionalFormatting sqref="T551:U551">
    <cfRule type="cellIs" dxfId="1392" priority="1567" operator="equal">
      <formula>"NO CUMPLE"</formula>
    </cfRule>
    <cfRule type="cellIs" dxfId="1391" priority="1570" stopIfTrue="1" operator="greaterThan">
      <formula>0</formula>
    </cfRule>
  </conditionalFormatting>
  <conditionalFormatting sqref="T551:U551">
    <cfRule type="cellIs" dxfId="1390" priority="1569" operator="equal">
      <formula>"NO CUMPLE"</formula>
    </cfRule>
  </conditionalFormatting>
  <conditionalFormatting sqref="T551:U551">
    <cfRule type="cellIs" dxfId="1389" priority="1568" operator="equal">
      <formula>"CUMPLE"</formula>
    </cfRule>
  </conditionalFormatting>
  <conditionalFormatting sqref="T544:U550">
    <cfRule type="cellIs" dxfId="1388" priority="1563" operator="equal">
      <formula>"NO CUMPLE"</formula>
    </cfRule>
  </conditionalFormatting>
  <conditionalFormatting sqref="T544:U550">
    <cfRule type="cellIs" dxfId="1387" priority="1566" operator="equal">
      <formula>"NO CUMPLE"</formula>
    </cfRule>
  </conditionalFormatting>
  <conditionalFormatting sqref="T544:U550">
    <cfRule type="cellIs" dxfId="1386" priority="1564" stopIfTrue="1" operator="equal">
      <formula>0</formula>
    </cfRule>
  </conditionalFormatting>
  <conditionalFormatting sqref="T544:U550">
    <cfRule type="cellIs" dxfId="1385" priority="1565" operator="equal">
      <formula>"CUMPLE"</formula>
    </cfRule>
  </conditionalFormatting>
  <conditionalFormatting sqref="M571:N571">
    <cfRule type="cellIs" dxfId="1384" priority="1558" stopIfTrue="1" operator="equal">
      <formula>"NO CUMPLE"</formula>
    </cfRule>
    <cfRule type="cellIs" dxfId="1383" priority="1559" stopIfTrue="1" operator="equal">
      <formula>"CUMPLE"</formula>
    </cfRule>
  </conditionalFormatting>
  <conditionalFormatting sqref="B561:B565 B568:N568 C562:L565">
    <cfRule type="cellIs" dxfId="1382" priority="1560" stopIfTrue="1" operator="greaterThan">
      <formula>0</formula>
    </cfRule>
  </conditionalFormatting>
  <conditionalFormatting sqref="M562:N565">
    <cfRule type="cellIs" dxfId="1381" priority="1561" stopIfTrue="1" operator="greaterThan">
      <formula>0</formula>
    </cfRule>
  </conditionalFormatting>
  <conditionalFormatting sqref="B559:B560 C561 D559:N561 C559 P559:R561">
    <cfRule type="cellIs" dxfId="1380" priority="1562" stopIfTrue="1" operator="greaterThan">
      <formula>0</formula>
    </cfRule>
  </conditionalFormatting>
  <conditionalFormatting sqref="G559:G561">
    <cfRule type="cellIs" dxfId="1379" priority="1557" stopIfTrue="1" operator="greaterThan">
      <formula>0</formula>
    </cfRule>
  </conditionalFormatting>
  <conditionalFormatting sqref="N562:N565">
    <cfRule type="cellIs" dxfId="1378" priority="1556" operator="equal">
      <formula>0</formula>
    </cfRule>
  </conditionalFormatting>
  <conditionalFormatting sqref="R562:R565 R568:R569">
    <cfRule type="cellIs" dxfId="1377" priority="1554" stopIfTrue="1" operator="greaterThan">
      <formula>0</formula>
    </cfRule>
  </conditionalFormatting>
  <conditionalFormatting sqref="R559:R561">
    <cfRule type="cellIs" dxfId="1376" priority="1555" stopIfTrue="1" operator="greaterThan">
      <formula>0</formula>
    </cfRule>
  </conditionalFormatting>
  <conditionalFormatting sqref="R563:R565 R568:R569">
    <cfRule type="cellIs" dxfId="1375" priority="1552" operator="equal">
      <formula>"CUMPLE"</formula>
    </cfRule>
    <cfRule type="cellIs" dxfId="1374" priority="1553" operator="equal">
      <formula>"NO CUMPLE"</formula>
    </cfRule>
  </conditionalFormatting>
  <conditionalFormatting sqref="Q559:Q561">
    <cfRule type="cellIs" dxfId="1373" priority="1551" stopIfTrue="1" operator="greaterThan">
      <formula>0</formula>
    </cfRule>
  </conditionalFormatting>
  <conditionalFormatting sqref="Q562:Q565 Q568:Q569">
    <cfRule type="cellIs" dxfId="1372" priority="1546" operator="equal">
      <formula>"NO CUMPLE"</formula>
    </cfRule>
    <cfRule type="cellIs" dxfId="1371" priority="1550" stopIfTrue="1" operator="greaterThan">
      <formula>0</formula>
    </cfRule>
  </conditionalFormatting>
  <conditionalFormatting sqref="Q562:Q565 O568:O569 Q568:Q569 O562:O565">
    <cfRule type="cellIs" dxfId="1370" priority="1549" operator="equal">
      <formula>"NO CUMPLE"</formula>
    </cfRule>
  </conditionalFormatting>
  <conditionalFormatting sqref="Q562:R565">
    <cfRule type="cellIs" dxfId="1369" priority="1547" stopIfTrue="1" operator="equal">
      <formula>0</formula>
    </cfRule>
  </conditionalFormatting>
  <conditionalFormatting sqref="Q562:R565 O568:O569 Q568:R569 O562:O565">
    <cfRule type="cellIs" dxfId="1368" priority="1548" operator="equal">
      <formula>"CUMPLE"</formula>
    </cfRule>
  </conditionalFormatting>
  <conditionalFormatting sqref="O559:O561">
    <cfRule type="cellIs" dxfId="1367" priority="1545" stopIfTrue="1" operator="greaterThan">
      <formula>0</formula>
    </cfRule>
  </conditionalFormatting>
  <conditionalFormatting sqref="O559:O561">
    <cfRule type="cellIs" dxfId="1366" priority="1544" stopIfTrue="1" operator="greaterThan">
      <formula>0</formula>
    </cfRule>
  </conditionalFormatting>
  <conditionalFormatting sqref="O568:O569 O562:O565">
    <cfRule type="cellIs" dxfId="1365" priority="1541" operator="equal">
      <formula>"NO CUMPLE"</formula>
    </cfRule>
    <cfRule type="cellIs" dxfId="1364" priority="1543" stopIfTrue="1" operator="greaterThan">
      <formula>0</formula>
    </cfRule>
  </conditionalFormatting>
  <conditionalFormatting sqref="O562:O565">
    <cfRule type="cellIs" dxfId="1363" priority="1542" stopIfTrue="1" operator="equal">
      <formula>0</formula>
    </cfRule>
  </conditionalFormatting>
  <conditionalFormatting sqref="B566:L567">
    <cfRule type="cellIs" dxfId="1362" priority="1539" stopIfTrue="1" operator="greaterThan">
      <formula>0</formula>
    </cfRule>
  </conditionalFormatting>
  <conditionalFormatting sqref="M566:N567">
    <cfRule type="cellIs" dxfId="1361" priority="1540" stopIfTrue="1" operator="greaterThan">
      <formula>0</formula>
    </cfRule>
  </conditionalFormatting>
  <conditionalFormatting sqref="N566:N567">
    <cfRule type="cellIs" dxfId="1360" priority="1538" operator="equal">
      <formula>0</formula>
    </cfRule>
  </conditionalFormatting>
  <conditionalFormatting sqref="R566:R567">
    <cfRule type="cellIs" dxfId="1359" priority="1537" stopIfTrue="1" operator="greaterThan">
      <formula>0</formula>
    </cfRule>
  </conditionalFormatting>
  <conditionalFormatting sqref="R566:R567">
    <cfRule type="cellIs" dxfId="1358" priority="1535" operator="equal">
      <formula>"CUMPLE"</formula>
    </cfRule>
    <cfRule type="cellIs" dxfId="1357" priority="1536" operator="equal">
      <formula>"NO CUMPLE"</formula>
    </cfRule>
  </conditionalFormatting>
  <conditionalFormatting sqref="Q566:Q567">
    <cfRule type="cellIs" dxfId="1356" priority="1530" operator="equal">
      <formula>"NO CUMPLE"</formula>
    </cfRule>
    <cfRule type="cellIs" dxfId="1355" priority="1534" stopIfTrue="1" operator="greaterThan">
      <formula>0</formula>
    </cfRule>
  </conditionalFormatting>
  <conditionalFormatting sqref="Q566:Q567 O566:O567">
    <cfRule type="cellIs" dxfId="1354" priority="1533" operator="equal">
      <formula>"NO CUMPLE"</formula>
    </cfRule>
  </conditionalFormatting>
  <conditionalFormatting sqref="Q566:R567">
    <cfRule type="cellIs" dxfId="1353" priority="1531" stopIfTrue="1" operator="equal">
      <formula>0</formula>
    </cfRule>
  </conditionalFormatting>
  <conditionalFormatting sqref="Q566:R567 O566:O567">
    <cfRule type="cellIs" dxfId="1352" priority="1532" operator="equal">
      <formula>"CUMPLE"</formula>
    </cfRule>
  </conditionalFormatting>
  <conditionalFormatting sqref="O566:O567">
    <cfRule type="cellIs" dxfId="1351" priority="1527" operator="equal">
      <formula>"NO CUMPLE"</formula>
    </cfRule>
    <cfRule type="cellIs" dxfId="1350" priority="1529" stopIfTrue="1" operator="greaterThan">
      <formula>0</formula>
    </cfRule>
  </conditionalFormatting>
  <conditionalFormatting sqref="O566:O567">
    <cfRule type="cellIs" dxfId="1349" priority="1528" stopIfTrue="1" operator="equal">
      <formula>0</formula>
    </cfRule>
  </conditionalFormatting>
  <conditionalFormatting sqref="S559:S561">
    <cfRule type="cellIs" dxfId="1348" priority="1526" stopIfTrue="1" operator="greaterThan">
      <formula>0</formula>
    </cfRule>
  </conditionalFormatting>
  <conditionalFormatting sqref="S559:S561">
    <cfRule type="cellIs" dxfId="1347" priority="1525" stopIfTrue="1" operator="greaterThan">
      <formula>0</formula>
    </cfRule>
  </conditionalFormatting>
  <conditionalFormatting sqref="S562:S569">
    <cfRule type="cellIs" dxfId="1346" priority="1520" operator="equal">
      <formula>"NO CUMPLE"</formula>
    </cfRule>
    <cfRule type="cellIs" dxfId="1345" priority="1524" stopIfTrue="1" operator="greaterThan">
      <formula>0</formula>
    </cfRule>
  </conditionalFormatting>
  <conditionalFormatting sqref="S562:S569">
    <cfRule type="cellIs" dxfId="1344" priority="1523" operator="equal">
      <formula>"NO CUMPLE"</formula>
    </cfRule>
  </conditionalFormatting>
  <conditionalFormatting sqref="S562:S567">
    <cfRule type="cellIs" dxfId="1343" priority="1521" stopIfTrue="1" operator="equal">
      <formula>0</formula>
    </cfRule>
  </conditionalFormatting>
  <conditionalFormatting sqref="S562:S569">
    <cfRule type="cellIs" dxfId="1342" priority="1522" operator="equal">
      <formula>"CUMPLE"</formula>
    </cfRule>
  </conditionalFormatting>
  <conditionalFormatting sqref="T559:U569">
    <cfRule type="cellIs" dxfId="1341" priority="1519" stopIfTrue="1" operator="greaterThan">
      <formula>0</formula>
    </cfRule>
  </conditionalFormatting>
  <conditionalFormatting sqref="T569:U569">
    <cfRule type="cellIs" dxfId="1340" priority="1515" operator="equal">
      <formula>"NO CUMPLE"</formula>
    </cfRule>
    <cfRule type="cellIs" dxfId="1339" priority="1518" stopIfTrue="1" operator="greaterThan">
      <formula>0</formula>
    </cfRule>
  </conditionalFormatting>
  <conditionalFormatting sqref="T569:U569">
    <cfRule type="cellIs" dxfId="1338" priority="1517" operator="equal">
      <formula>"NO CUMPLE"</formula>
    </cfRule>
  </conditionalFormatting>
  <conditionalFormatting sqref="T569:U569">
    <cfRule type="cellIs" dxfId="1337" priority="1516" operator="equal">
      <formula>"CUMPLE"</formula>
    </cfRule>
  </conditionalFormatting>
  <conditionalFormatting sqref="T562:U568">
    <cfRule type="cellIs" dxfId="1336" priority="1511" operator="equal">
      <formula>"NO CUMPLE"</formula>
    </cfRule>
  </conditionalFormatting>
  <conditionalFormatting sqref="T562:U568">
    <cfRule type="cellIs" dxfId="1335" priority="1514" operator="equal">
      <formula>"NO CUMPLE"</formula>
    </cfRule>
  </conditionalFormatting>
  <conditionalFormatting sqref="T562:U568">
    <cfRule type="cellIs" dxfId="1334" priority="1512" stopIfTrue="1" operator="equal">
      <formula>0</formula>
    </cfRule>
  </conditionalFormatting>
  <conditionalFormatting sqref="T562:U568">
    <cfRule type="cellIs" dxfId="1333" priority="1513" operator="equal">
      <formula>"CUMPLE"</formula>
    </cfRule>
  </conditionalFormatting>
  <conditionalFormatting sqref="M589:N589">
    <cfRule type="cellIs" dxfId="1332" priority="1506" stopIfTrue="1" operator="equal">
      <formula>"NO CUMPLE"</formula>
    </cfRule>
    <cfRule type="cellIs" dxfId="1331" priority="1507" stopIfTrue="1" operator="equal">
      <formula>"CUMPLE"</formula>
    </cfRule>
  </conditionalFormatting>
  <conditionalFormatting sqref="B579:B583 B586:N586 C580:L583">
    <cfRule type="cellIs" dxfId="1330" priority="1508" stopIfTrue="1" operator="greaterThan">
      <formula>0</formula>
    </cfRule>
  </conditionalFormatting>
  <conditionalFormatting sqref="M580:N583">
    <cfRule type="cellIs" dxfId="1329" priority="1509" stopIfTrue="1" operator="greaterThan">
      <formula>0</formula>
    </cfRule>
  </conditionalFormatting>
  <conditionalFormatting sqref="B577:B578 C579 D577:N579 C577 P577:R579">
    <cfRule type="cellIs" dxfId="1328" priority="1510" stopIfTrue="1" operator="greaterThan">
      <formula>0</formula>
    </cfRule>
  </conditionalFormatting>
  <conditionalFormatting sqref="G577:G579">
    <cfRule type="cellIs" dxfId="1327" priority="1505" stopIfTrue="1" operator="greaterThan">
      <formula>0</formula>
    </cfRule>
  </conditionalFormatting>
  <conditionalFormatting sqref="N580:N583">
    <cfRule type="cellIs" dxfId="1326" priority="1504" operator="equal">
      <formula>0</formula>
    </cfRule>
  </conditionalFormatting>
  <conditionalFormatting sqref="R580:R583 R586:R587">
    <cfRule type="cellIs" dxfId="1325" priority="1502" stopIfTrue="1" operator="greaterThan">
      <formula>0</formula>
    </cfRule>
  </conditionalFormatting>
  <conditionalFormatting sqref="R577:R579">
    <cfRule type="cellIs" dxfId="1324" priority="1503" stopIfTrue="1" operator="greaterThan">
      <formula>0</formula>
    </cfRule>
  </conditionalFormatting>
  <conditionalFormatting sqref="R581:R583 R586:R587">
    <cfRule type="cellIs" dxfId="1323" priority="1500" operator="equal">
      <formula>"CUMPLE"</formula>
    </cfRule>
    <cfRule type="cellIs" dxfId="1322" priority="1501" operator="equal">
      <formula>"NO CUMPLE"</formula>
    </cfRule>
  </conditionalFormatting>
  <conditionalFormatting sqref="Q577:Q579">
    <cfRule type="cellIs" dxfId="1321" priority="1499" stopIfTrue="1" operator="greaterThan">
      <formula>0</formula>
    </cfRule>
  </conditionalFormatting>
  <conditionalFormatting sqref="Q580:Q583 Q586:Q587">
    <cfRule type="cellIs" dxfId="1320" priority="1494" operator="equal">
      <formula>"NO CUMPLE"</formula>
    </cfRule>
    <cfRule type="cellIs" dxfId="1319" priority="1498" stopIfTrue="1" operator="greaterThan">
      <formula>0</formula>
    </cfRule>
  </conditionalFormatting>
  <conditionalFormatting sqref="Q580:Q583 O580:O583 O586:O587 Q586:Q587">
    <cfRule type="cellIs" dxfId="1318" priority="1497" operator="equal">
      <formula>"NO CUMPLE"</formula>
    </cfRule>
  </conditionalFormatting>
  <conditionalFormatting sqref="Q580:R583">
    <cfRule type="cellIs" dxfId="1317" priority="1495" stopIfTrue="1" operator="equal">
      <formula>0</formula>
    </cfRule>
  </conditionalFormatting>
  <conditionalFormatting sqref="Q580:R583 O580:O583 O586:O587 Q586:R587">
    <cfRule type="cellIs" dxfId="1316" priority="1496" operator="equal">
      <formula>"CUMPLE"</formula>
    </cfRule>
  </conditionalFormatting>
  <conditionalFormatting sqref="O577:O579">
    <cfRule type="cellIs" dxfId="1315" priority="1493" stopIfTrue="1" operator="greaterThan">
      <formula>0</formula>
    </cfRule>
  </conditionalFormatting>
  <conditionalFormatting sqref="O577:O579">
    <cfRule type="cellIs" dxfId="1314" priority="1492" stopIfTrue="1" operator="greaterThan">
      <formula>0</formula>
    </cfRule>
  </conditionalFormatting>
  <conditionalFormatting sqref="O580:O583 O586:O587">
    <cfRule type="cellIs" dxfId="1313" priority="1489" operator="equal">
      <formula>"NO CUMPLE"</formula>
    </cfRule>
    <cfRule type="cellIs" dxfId="1312" priority="1491" stopIfTrue="1" operator="greaterThan">
      <formula>0</formula>
    </cfRule>
  </conditionalFormatting>
  <conditionalFormatting sqref="O580:O583">
    <cfRule type="cellIs" dxfId="1311" priority="1490" stopIfTrue="1" operator="equal">
      <formula>0</formula>
    </cfRule>
  </conditionalFormatting>
  <conditionalFormatting sqref="B584:L585">
    <cfRule type="cellIs" dxfId="1310" priority="1487" stopIfTrue="1" operator="greaterThan">
      <formula>0</formula>
    </cfRule>
  </conditionalFormatting>
  <conditionalFormatting sqref="M584:N585">
    <cfRule type="cellIs" dxfId="1309" priority="1488" stopIfTrue="1" operator="greaterThan">
      <formula>0</formula>
    </cfRule>
  </conditionalFormatting>
  <conditionalFormatting sqref="N584:N585">
    <cfRule type="cellIs" dxfId="1308" priority="1486" operator="equal">
      <formula>0</formula>
    </cfRule>
  </conditionalFormatting>
  <conditionalFormatting sqref="R584:R585">
    <cfRule type="cellIs" dxfId="1307" priority="1485" stopIfTrue="1" operator="greaterThan">
      <formula>0</formula>
    </cfRule>
  </conditionalFormatting>
  <conditionalFormatting sqref="R584:R585">
    <cfRule type="cellIs" dxfId="1306" priority="1483" operator="equal">
      <formula>"CUMPLE"</formula>
    </cfRule>
    <cfRule type="cellIs" dxfId="1305" priority="1484" operator="equal">
      <formula>"NO CUMPLE"</formula>
    </cfRule>
  </conditionalFormatting>
  <conditionalFormatting sqref="Q584:Q585">
    <cfRule type="cellIs" dxfId="1304" priority="1478" operator="equal">
      <formula>"NO CUMPLE"</formula>
    </cfRule>
    <cfRule type="cellIs" dxfId="1303" priority="1482" stopIfTrue="1" operator="greaterThan">
      <formula>0</formula>
    </cfRule>
  </conditionalFormatting>
  <conditionalFormatting sqref="Q584:Q585 O584:O585">
    <cfRule type="cellIs" dxfId="1302" priority="1481" operator="equal">
      <formula>"NO CUMPLE"</formula>
    </cfRule>
  </conditionalFormatting>
  <conditionalFormatting sqref="Q584:R585">
    <cfRule type="cellIs" dxfId="1301" priority="1479" stopIfTrue="1" operator="equal">
      <formula>0</formula>
    </cfRule>
  </conditionalFormatting>
  <conditionalFormatting sqref="Q584:R585 O584:O585">
    <cfRule type="cellIs" dxfId="1300" priority="1480" operator="equal">
      <formula>"CUMPLE"</formula>
    </cfRule>
  </conditionalFormatting>
  <conditionalFormatting sqref="O584:O585">
    <cfRule type="cellIs" dxfId="1299" priority="1475" operator="equal">
      <formula>"NO CUMPLE"</formula>
    </cfRule>
    <cfRule type="cellIs" dxfId="1298" priority="1477" stopIfTrue="1" operator="greaterThan">
      <formula>0</formula>
    </cfRule>
  </conditionalFormatting>
  <conditionalFormatting sqref="O584:O585">
    <cfRule type="cellIs" dxfId="1297" priority="1476" stopIfTrue="1" operator="equal">
      <formula>0</formula>
    </cfRule>
  </conditionalFormatting>
  <conditionalFormatting sqref="S577:S579">
    <cfRule type="cellIs" dxfId="1296" priority="1474" stopIfTrue="1" operator="greaterThan">
      <formula>0</formula>
    </cfRule>
  </conditionalFormatting>
  <conditionalFormatting sqref="S577:S579">
    <cfRule type="cellIs" dxfId="1295" priority="1473" stopIfTrue="1" operator="greaterThan">
      <formula>0</formula>
    </cfRule>
  </conditionalFormatting>
  <conditionalFormatting sqref="S580:S587">
    <cfRule type="cellIs" dxfId="1294" priority="1468" operator="equal">
      <formula>"NO CUMPLE"</formula>
    </cfRule>
    <cfRule type="cellIs" dxfId="1293" priority="1472" stopIfTrue="1" operator="greaterThan">
      <formula>0</formula>
    </cfRule>
  </conditionalFormatting>
  <conditionalFormatting sqref="S580:S587">
    <cfRule type="cellIs" dxfId="1292" priority="1471" operator="equal">
      <formula>"NO CUMPLE"</formula>
    </cfRule>
  </conditionalFormatting>
  <conditionalFormatting sqref="S580:S585">
    <cfRule type="cellIs" dxfId="1291" priority="1469" stopIfTrue="1" operator="equal">
      <formula>0</formula>
    </cfRule>
  </conditionalFormatting>
  <conditionalFormatting sqref="S580:S587">
    <cfRule type="cellIs" dxfId="1290" priority="1470" operator="equal">
      <formula>"CUMPLE"</formula>
    </cfRule>
  </conditionalFormatting>
  <conditionalFormatting sqref="T577:U587">
    <cfRule type="cellIs" dxfId="1289" priority="1467" stopIfTrue="1" operator="greaterThan">
      <formula>0</formula>
    </cfRule>
  </conditionalFormatting>
  <conditionalFormatting sqref="T587:U587">
    <cfRule type="cellIs" dxfId="1288" priority="1463" operator="equal">
      <formula>"NO CUMPLE"</formula>
    </cfRule>
    <cfRule type="cellIs" dxfId="1287" priority="1466" stopIfTrue="1" operator="greaterThan">
      <formula>0</formula>
    </cfRule>
  </conditionalFormatting>
  <conditionalFormatting sqref="T587:U587">
    <cfRule type="cellIs" dxfId="1286" priority="1465" operator="equal">
      <formula>"NO CUMPLE"</formula>
    </cfRule>
  </conditionalFormatting>
  <conditionalFormatting sqref="T587:U587">
    <cfRule type="cellIs" dxfId="1285" priority="1464" operator="equal">
      <formula>"CUMPLE"</formula>
    </cfRule>
  </conditionalFormatting>
  <conditionalFormatting sqref="T580:U586">
    <cfRule type="cellIs" dxfId="1284" priority="1459" operator="equal">
      <formula>"NO CUMPLE"</formula>
    </cfRule>
  </conditionalFormatting>
  <conditionalFormatting sqref="T580:U586">
    <cfRule type="cellIs" dxfId="1283" priority="1462" operator="equal">
      <formula>"NO CUMPLE"</formula>
    </cfRule>
  </conditionalFormatting>
  <conditionalFormatting sqref="T580:U586">
    <cfRule type="cellIs" dxfId="1282" priority="1460" stopIfTrue="1" operator="equal">
      <formula>0</formula>
    </cfRule>
  </conditionalFormatting>
  <conditionalFormatting sqref="T580:U586">
    <cfRule type="cellIs" dxfId="1281" priority="1461" operator="equal">
      <formula>"CUMPLE"</formula>
    </cfRule>
  </conditionalFormatting>
  <conditionalFormatting sqref="M607:N607">
    <cfRule type="cellIs" dxfId="1280" priority="1454" stopIfTrue="1" operator="equal">
      <formula>"NO CUMPLE"</formula>
    </cfRule>
    <cfRule type="cellIs" dxfId="1279" priority="1455" stopIfTrue="1" operator="equal">
      <formula>"CUMPLE"</formula>
    </cfRule>
  </conditionalFormatting>
  <conditionalFormatting sqref="B597:B601 C598:L601 B604:N604">
    <cfRule type="cellIs" dxfId="1278" priority="1456" stopIfTrue="1" operator="greaterThan">
      <formula>0</formula>
    </cfRule>
  </conditionalFormatting>
  <conditionalFormatting sqref="M598:N601">
    <cfRule type="cellIs" dxfId="1277" priority="1457" stopIfTrue="1" operator="greaterThan">
      <formula>0</formula>
    </cfRule>
  </conditionalFormatting>
  <conditionalFormatting sqref="B595:B596 C597 D595:N597 C595 P595:R597">
    <cfRule type="cellIs" dxfId="1276" priority="1458" stopIfTrue="1" operator="greaterThan">
      <formula>0</formula>
    </cfRule>
  </conditionalFormatting>
  <conditionalFormatting sqref="G595:G597">
    <cfRule type="cellIs" dxfId="1275" priority="1453" stopIfTrue="1" operator="greaterThan">
      <formula>0</formula>
    </cfRule>
  </conditionalFormatting>
  <conditionalFormatting sqref="N598:N601">
    <cfRule type="cellIs" dxfId="1274" priority="1452" operator="equal">
      <formula>0</formula>
    </cfRule>
  </conditionalFormatting>
  <conditionalFormatting sqref="R598:R601 R604:R605">
    <cfRule type="cellIs" dxfId="1273" priority="1450" stopIfTrue="1" operator="greaterThan">
      <formula>0</formula>
    </cfRule>
  </conditionalFormatting>
  <conditionalFormatting sqref="R595:R597">
    <cfRule type="cellIs" dxfId="1272" priority="1451" stopIfTrue="1" operator="greaterThan">
      <formula>0</formula>
    </cfRule>
  </conditionalFormatting>
  <conditionalFormatting sqref="R599:R601 R604:R605">
    <cfRule type="cellIs" dxfId="1271" priority="1448" operator="equal">
      <formula>"CUMPLE"</formula>
    </cfRule>
    <cfRule type="cellIs" dxfId="1270" priority="1449" operator="equal">
      <formula>"NO CUMPLE"</formula>
    </cfRule>
  </conditionalFormatting>
  <conditionalFormatting sqref="Q595:Q597">
    <cfRule type="cellIs" dxfId="1269" priority="1447" stopIfTrue="1" operator="greaterThan">
      <formula>0</formula>
    </cfRule>
  </conditionalFormatting>
  <conditionalFormatting sqref="Q598:Q601 Q604:Q605">
    <cfRule type="cellIs" dxfId="1268" priority="1442" operator="equal">
      <formula>"NO CUMPLE"</formula>
    </cfRule>
    <cfRule type="cellIs" dxfId="1267" priority="1446" stopIfTrue="1" operator="greaterThan">
      <formula>0</formula>
    </cfRule>
  </conditionalFormatting>
  <conditionalFormatting sqref="Q598:Q601 O598:O601 O604:O605 Q604:Q605">
    <cfRule type="cellIs" dxfId="1266" priority="1445" operator="equal">
      <formula>"NO CUMPLE"</formula>
    </cfRule>
  </conditionalFormatting>
  <conditionalFormatting sqref="Q598:R601">
    <cfRule type="cellIs" dxfId="1265" priority="1443" stopIfTrue="1" operator="equal">
      <formula>0</formula>
    </cfRule>
  </conditionalFormatting>
  <conditionalFormatting sqref="Q598:R601 O598:O601 O604:O605 Q604:R605">
    <cfRule type="cellIs" dxfId="1264" priority="1444" operator="equal">
      <formula>"CUMPLE"</formula>
    </cfRule>
  </conditionalFormatting>
  <conditionalFormatting sqref="O595:O597">
    <cfRule type="cellIs" dxfId="1263" priority="1441" stopIfTrue="1" operator="greaterThan">
      <formula>0</formula>
    </cfRule>
  </conditionalFormatting>
  <conditionalFormatting sqref="O595:O597">
    <cfRule type="cellIs" dxfId="1262" priority="1440" stopIfTrue="1" operator="greaterThan">
      <formula>0</formula>
    </cfRule>
  </conditionalFormatting>
  <conditionalFormatting sqref="O598:O601 O604:O605">
    <cfRule type="cellIs" dxfId="1261" priority="1437" operator="equal">
      <formula>"NO CUMPLE"</formula>
    </cfRule>
    <cfRule type="cellIs" dxfId="1260" priority="1439" stopIfTrue="1" operator="greaterThan">
      <formula>0</formula>
    </cfRule>
  </conditionalFormatting>
  <conditionalFormatting sqref="O598:O601">
    <cfRule type="cellIs" dxfId="1259" priority="1438" stopIfTrue="1" operator="equal">
      <formula>0</formula>
    </cfRule>
  </conditionalFormatting>
  <conditionalFormatting sqref="B602:L603">
    <cfRule type="cellIs" dxfId="1258" priority="1435" stopIfTrue="1" operator="greaterThan">
      <formula>0</formula>
    </cfRule>
  </conditionalFormatting>
  <conditionalFormatting sqref="M602:N603">
    <cfRule type="cellIs" dxfId="1257" priority="1436" stopIfTrue="1" operator="greaterThan">
      <formula>0</formula>
    </cfRule>
  </conditionalFormatting>
  <conditionalFormatting sqref="N602:N603">
    <cfRule type="cellIs" dxfId="1256" priority="1434" operator="equal">
      <formula>0</formula>
    </cfRule>
  </conditionalFormatting>
  <conditionalFormatting sqref="R602:R603">
    <cfRule type="cellIs" dxfId="1255" priority="1433" stopIfTrue="1" operator="greaterThan">
      <formula>0</formula>
    </cfRule>
  </conditionalFormatting>
  <conditionalFormatting sqref="R602:R603">
    <cfRule type="cellIs" dxfId="1254" priority="1431" operator="equal">
      <formula>"CUMPLE"</formula>
    </cfRule>
    <cfRule type="cellIs" dxfId="1253" priority="1432" operator="equal">
      <formula>"NO CUMPLE"</formula>
    </cfRule>
  </conditionalFormatting>
  <conditionalFormatting sqref="Q602:Q603">
    <cfRule type="cellIs" dxfId="1252" priority="1426" operator="equal">
      <formula>"NO CUMPLE"</formula>
    </cfRule>
    <cfRule type="cellIs" dxfId="1251" priority="1430" stopIfTrue="1" operator="greaterThan">
      <formula>0</formula>
    </cfRule>
  </conditionalFormatting>
  <conditionalFormatting sqref="Q602:Q603 O602:O603">
    <cfRule type="cellIs" dxfId="1250" priority="1429" operator="equal">
      <formula>"NO CUMPLE"</formula>
    </cfRule>
  </conditionalFormatting>
  <conditionalFormatting sqref="Q602:R603">
    <cfRule type="cellIs" dxfId="1249" priority="1427" stopIfTrue="1" operator="equal">
      <formula>0</formula>
    </cfRule>
  </conditionalFormatting>
  <conditionalFormatting sqref="Q602:R603 O602:O603">
    <cfRule type="cellIs" dxfId="1248" priority="1428" operator="equal">
      <formula>"CUMPLE"</formula>
    </cfRule>
  </conditionalFormatting>
  <conditionalFormatting sqref="O602:O603">
    <cfRule type="cellIs" dxfId="1247" priority="1423" operator="equal">
      <formula>"NO CUMPLE"</formula>
    </cfRule>
    <cfRule type="cellIs" dxfId="1246" priority="1425" stopIfTrue="1" operator="greaterThan">
      <formula>0</formula>
    </cfRule>
  </conditionalFormatting>
  <conditionalFormatting sqref="O602:O603">
    <cfRule type="cellIs" dxfId="1245" priority="1424" stopIfTrue="1" operator="equal">
      <formula>0</formula>
    </cfRule>
  </conditionalFormatting>
  <conditionalFormatting sqref="S595:S597">
    <cfRule type="cellIs" dxfId="1244" priority="1422" stopIfTrue="1" operator="greaterThan">
      <formula>0</formula>
    </cfRule>
  </conditionalFormatting>
  <conditionalFormatting sqref="S595:S597">
    <cfRule type="cellIs" dxfId="1243" priority="1421" stopIfTrue="1" operator="greaterThan">
      <formula>0</formula>
    </cfRule>
  </conditionalFormatting>
  <conditionalFormatting sqref="S598:S605">
    <cfRule type="cellIs" dxfId="1242" priority="1416" operator="equal">
      <formula>"NO CUMPLE"</formula>
    </cfRule>
    <cfRule type="cellIs" dxfId="1241" priority="1420" stopIfTrue="1" operator="greaterThan">
      <formula>0</formula>
    </cfRule>
  </conditionalFormatting>
  <conditionalFormatting sqref="S598:S605">
    <cfRule type="cellIs" dxfId="1240" priority="1419" operator="equal">
      <formula>"NO CUMPLE"</formula>
    </cfRule>
  </conditionalFormatting>
  <conditionalFormatting sqref="S598:S603">
    <cfRule type="cellIs" dxfId="1239" priority="1417" stopIfTrue="1" operator="equal">
      <formula>0</formula>
    </cfRule>
  </conditionalFormatting>
  <conditionalFormatting sqref="S598:S605">
    <cfRule type="cellIs" dxfId="1238" priority="1418" operator="equal">
      <formula>"CUMPLE"</formula>
    </cfRule>
  </conditionalFormatting>
  <conditionalFormatting sqref="T595:U605">
    <cfRule type="cellIs" dxfId="1237" priority="1415" stopIfTrue="1" operator="greaterThan">
      <formula>0</formula>
    </cfRule>
  </conditionalFormatting>
  <conditionalFormatting sqref="T605:U605">
    <cfRule type="cellIs" dxfId="1236" priority="1411" operator="equal">
      <formula>"NO CUMPLE"</formula>
    </cfRule>
    <cfRule type="cellIs" dxfId="1235" priority="1414" stopIfTrue="1" operator="greaterThan">
      <formula>0</formula>
    </cfRule>
  </conditionalFormatting>
  <conditionalFormatting sqref="T605:U605">
    <cfRule type="cellIs" dxfId="1234" priority="1413" operator="equal">
      <formula>"NO CUMPLE"</formula>
    </cfRule>
  </conditionalFormatting>
  <conditionalFormatting sqref="T605:U605">
    <cfRule type="cellIs" dxfId="1233" priority="1412" operator="equal">
      <formula>"CUMPLE"</formula>
    </cfRule>
  </conditionalFormatting>
  <conditionalFormatting sqref="T598:U604">
    <cfRule type="cellIs" dxfId="1232" priority="1407" operator="equal">
      <formula>"NO CUMPLE"</formula>
    </cfRule>
  </conditionalFormatting>
  <conditionalFormatting sqref="T598:U604">
    <cfRule type="cellIs" dxfId="1231" priority="1410" operator="equal">
      <formula>"NO CUMPLE"</formula>
    </cfRule>
  </conditionalFormatting>
  <conditionalFormatting sqref="T598:U604">
    <cfRule type="cellIs" dxfId="1230" priority="1408" stopIfTrue="1" operator="equal">
      <formula>0</formula>
    </cfRule>
  </conditionalFormatting>
  <conditionalFormatting sqref="T598:U604">
    <cfRule type="cellIs" dxfId="1229" priority="1409" operator="equal">
      <formula>"CUMPLE"</formula>
    </cfRule>
  </conditionalFormatting>
  <conditionalFormatting sqref="M625:N625">
    <cfRule type="cellIs" dxfId="1228" priority="1402" stopIfTrue="1" operator="equal">
      <formula>"NO CUMPLE"</formula>
    </cfRule>
    <cfRule type="cellIs" dxfId="1227" priority="1403" stopIfTrue="1" operator="equal">
      <formula>"CUMPLE"</formula>
    </cfRule>
  </conditionalFormatting>
  <conditionalFormatting sqref="B615:B619 B622:N622 C616:L619">
    <cfRule type="cellIs" dxfId="1226" priority="1404" stopIfTrue="1" operator="greaterThan">
      <formula>0</formula>
    </cfRule>
  </conditionalFormatting>
  <conditionalFormatting sqref="M616:N619">
    <cfRule type="cellIs" dxfId="1225" priority="1405" stopIfTrue="1" operator="greaterThan">
      <formula>0</formula>
    </cfRule>
  </conditionalFormatting>
  <conditionalFormatting sqref="B613:B614 C615 D613:N615 C613 P613:R615">
    <cfRule type="cellIs" dxfId="1224" priority="1406" stopIfTrue="1" operator="greaterThan">
      <formula>0</formula>
    </cfRule>
  </conditionalFormatting>
  <conditionalFormatting sqref="G613:G615">
    <cfRule type="cellIs" dxfId="1223" priority="1401" stopIfTrue="1" operator="greaterThan">
      <formula>0</formula>
    </cfRule>
  </conditionalFormatting>
  <conditionalFormatting sqref="N616:N619">
    <cfRule type="cellIs" dxfId="1222" priority="1400" operator="equal">
      <formula>0</formula>
    </cfRule>
  </conditionalFormatting>
  <conditionalFormatting sqref="R616:R619 R622:R623">
    <cfRule type="cellIs" dxfId="1221" priority="1398" stopIfTrue="1" operator="greaterThan">
      <formula>0</formula>
    </cfRule>
  </conditionalFormatting>
  <conditionalFormatting sqref="R613:R615">
    <cfRule type="cellIs" dxfId="1220" priority="1399" stopIfTrue="1" operator="greaterThan">
      <formula>0</formula>
    </cfRule>
  </conditionalFormatting>
  <conditionalFormatting sqref="R617:R619 R622:R623">
    <cfRule type="cellIs" dxfId="1219" priority="1396" operator="equal">
      <formula>"CUMPLE"</formula>
    </cfRule>
    <cfRule type="cellIs" dxfId="1218" priority="1397" operator="equal">
      <formula>"NO CUMPLE"</formula>
    </cfRule>
  </conditionalFormatting>
  <conditionalFormatting sqref="Q613:Q615">
    <cfRule type="cellIs" dxfId="1217" priority="1395" stopIfTrue="1" operator="greaterThan">
      <formula>0</formula>
    </cfRule>
  </conditionalFormatting>
  <conditionalFormatting sqref="Q616:Q619 Q622:Q623">
    <cfRule type="cellIs" dxfId="1216" priority="1390" operator="equal">
      <formula>"NO CUMPLE"</formula>
    </cfRule>
    <cfRule type="cellIs" dxfId="1215" priority="1394" stopIfTrue="1" operator="greaterThan">
      <formula>0</formula>
    </cfRule>
  </conditionalFormatting>
  <conditionalFormatting sqref="Q616:Q619 O616:O619 O622:O623 Q622:Q623">
    <cfRule type="cellIs" dxfId="1214" priority="1393" operator="equal">
      <formula>"NO CUMPLE"</formula>
    </cfRule>
  </conditionalFormatting>
  <conditionalFormatting sqref="Q616:R619">
    <cfRule type="cellIs" dxfId="1213" priority="1391" stopIfTrue="1" operator="equal">
      <formula>0</formula>
    </cfRule>
  </conditionalFormatting>
  <conditionalFormatting sqref="Q616:R619 O616:O619 O622:O623 Q622:R623">
    <cfRule type="cellIs" dxfId="1212" priority="1392" operator="equal">
      <formula>"CUMPLE"</formula>
    </cfRule>
  </conditionalFormatting>
  <conditionalFormatting sqref="O613:O615">
    <cfRule type="cellIs" dxfId="1211" priority="1389" stopIfTrue="1" operator="greaterThan">
      <formula>0</formula>
    </cfRule>
  </conditionalFormatting>
  <conditionalFormatting sqref="O613:O615">
    <cfRule type="cellIs" dxfId="1210" priority="1388" stopIfTrue="1" operator="greaterThan">
      <formula>0</formula>
    </cfRule>
  </conditionalFormatting>
  <conditionalFormatting sqref="O616:O619 O622:O623">
    <cfRule type="cellIs" dxfId="1209" priority="1385" operator="equal">
      <formula>"NO CUMPLE"</formula>
    </cfRule>
    <cfRule type="cellIs" dxfId="1208" priority="1387" stopIfTrue="1" operator="greaterThan">
      <formula>0</formula>
    </cfRule>
  </conditionalFormatting>
  <conditionalFormatting sqref="O616:O619">
    <cfRule type="cellIs" dxfId="1207" priority="1386" stopIfTrue="1" operator="equal">
      <formula>0</formula>
    </cfRule>
  </conditionalFormatting>
  <conditionalFormatting sqref="B620:L621">
    <cfRule type="cellIs" dxfId="1206" priority="1383" stopIfTrue="1" operator="greaterThan">
      <formula>0</formula>
    </cfRule>
  </conditionalFormatting>
  <conditionalFormatting sqref="M620:N621">
    <cfRule type="cellIs" dxfId="1205" priority="1384" stopIfTrue="1" operator="greaterThan">
      <formula>0</formula>
    </cfRule>
  </conditionalFormatting>
  <conditionalFormatting sqref="N620:N621">
    <cfRule type="cellIs" dxfId="1204" priority="1382" operator="equal">
      <formula>0</formula>
    </cfRule>
  </conditionalFormatting>
  <conditionalFormatting sqref="R620:R621">
    <cfRule type="cellIs" dxfId="1203" priority="1381" stopIfTrue="1" operator="greaterThan">
      <formula>0</formula>
    </cfRule>
  </conditionalFormatting>
  <conditionalFormatting sqref="R620:R621">
    <cfRule type="cellIs" dxfId="1202" priority="1379" operator="equal">
      <formula>"CUMPLE"</formula>
    </cfRule>
    <cfRule type="cellIs" dxfId="1201" priority="1380" operator="equal">
      <formula>"NO CUMPLE"</formula>
    </cfRule>
  </conditionalFormatting>
  <conditionalFormatting sqref="Q620:Q621">
    <cfRule type="cellIs" dxfId="1200" priority="1374" operator="equal">
      <formula>"NO CUMPLE"</formula>
    </cfRule>
    <cfRule type="cellIs" dxfId="1199" priority="1378" stopIfTrue="1" operator="greaterThan">
      <formula>0</formula>
    </cfRule>
  </conditionalFormatting>
  <conditionalFormatting sqref="Q620:Q621 O620:O621">
    <cfRule type="cellIs" dxfId="1198" priority="1377" operator="equal">
      <formula>"NO CUMPLE"</formula>
    </cfRule>
  </conditionalFormatting>
  <conditionalFormatting sqref="Q620:R621">
    <cfRule type="cellIs" dxfId="1197" priority="1375" stopIfTrue="1" operator="equal">
      <formula>0</formula>
    </cfRule>
  </conditionalFormatting>
  <conditionalFormatting sqref="Q620:R621 O620:O621">
    <cfRule type="cellIs" dxfId="1196" priority="1376" operator="equal">
      <formula>"CUMPLE"</formula>
    </cfRule>
  </conditionalFormatting>
  <conditionalFormatting sqref="O620:O621">
    <cfRule type="cellIs" dxfId="1195" priority="1371" operator="equal">
      <formula>"NO CUMPLE"</formula>
    </cfRule>
    <cfRule type="cellIs" dxfId="1194" priority="1373" stopIfTrue="1" operator="greaterThan">
      <formula>0</formula>
    </cfRule>
  </conditionalFormatting>
  <conditionalFormatting sqref="O620:O621">
    <cfRule type="cellIs" dxfId="1193" priority="1372" stopIfTrue="1" operator="equal">
      <formula>0</formula>
    </cfRule>
  </conditionalFormatting>
  <conditionalFormatting sqref="S613:S615">
    <cfRule type="cellIs" dxfId="1192" priority="1370" stopIfTrue="1" operator="greaterThan">
      <formula>0</formula>
    </cfRule>
  </conditionalFormatting>
  <conditionalFormatting sqref="S613:S615">
    <cfRule type="cellIs" dxfId="1191" priority="1369" stopIfTrue="1" operator="greaterThan">
      <formula>0</formula>
    </cfRule>
  </conditionalFormatting>
  <conditionalFormatting sqref="S616:S623">
    <cfRule type="cellIs" dxfId="1190" priority="1364" operator="equal">
      <formula>"NO CUMPLE"</formula>
    </cfRule>
    <cfRule type="cellIs" dxfId="1189" priority="1368" stopIfTrue="1" operator="greaterThan">
      <formula>0</formula>
    </cfRule>
  </conditionalFormatting>
  <conditionalFormatting sqref="S616:S623">
    <cfRule type="cellIs" dxfId="1188" priority="1367" operator="equal">
      <formula>"NO CUMPLE"</formula>
    </cfRule>
  </conditionalFormatting>
  <conditionalFormatting sqref="S616:S621">
    <cfRule type="cellIs" dxfId="1187" priority="1365" stopIfTrue="1" operator="equal">
      <formula>0</formula>
    </cfRule>
  </conditionalFormatting>
  <conditionalFormatting sqref="S616:S623">
    <cfRule type="cellIs" dxfId="1186" priority="1366" operator="equal">
      <formula>"CUMPLE"</formula>
    </cfRule>
  </conditionalFormatting>
  <conditionalFormatting sqref="T613:U623">
    <cfRule type="cellIs" dxfId="1185" priority="1363" stopIfTrue="1" operator="greaterThan">
      <formula>0</formula>
    </cfRule>
  </conditionalFormatting>
  <conditionalFormatting sqref="T623:U623">
    <cfRule type="cellIs" dxfId="1184" priority="1359" operator="equal">
      <formula>"NO CUMPLE"</formula>
    </cfRule>
    <cfRule type="cellIs" dxfId="1183" priority="1362" stopIfTrue="1" operator="greaterThan">
      <formula>0</formula>
    </cfRule>
  </conditionalFormatting>
  <conditionalFormatting sqref="T623:U623">
    <cfRule type="cellIs" dxfId="1182" priority="1361" operator="equal">
      <formula>"NO CUMPLE"</formula>
    </cfRule>
  </conditionalFormatting>
  <conditionalFormatting sqref="T623:U623">
    <cfRule type="cellIs" dxfId="1181" priority="1360" operator="equal">
      <formula>"CUMPLE"</formula>
    </cfRule>
  </conditionalFormatting>
  <conditionalFormatting sqref="T616:U622">
    <cfRule type="cellIs" dxfId="1180" priority="1355" operator="equal">
      <formula>"NO CUMPLE"</formula>
    </cfRule>
  </conditionalFormatting>
  <conditionalFormatting sqref="T616:U622">
    <cfRule type="cellIs" dxfId="1179" priority="1358" operator="equal">
      <formula>"NO CUMPLE"</formula>
    </cfRule>
  </conditionalFormatting>
  <conditionalFormatting sqref="T616:U622">
    <cfRule type="cellIs" dxfId="1178" priority="1356" stopIfTrue="1" operator="equal">
      <formula>0</formula>
    </cfRule>
  </conditionalFormatting>
  <conditionalFormatting sqref="T616:U622">
    <cfRule type="cellIs" dxfId="1177" priority="1357" operator="equal">
      <formula>"CUMPLE"</formula>
    </cfRule>
  </conditionalFormatting>
  <conditionalFormatting sqref="M643:N643">
    <cfRule type="cellIs" dxfId="1176" priority="1350" stopIfTrue="1" operator="equal">
      <formula>"NO CUMPLE"</formula>
    </cfRule>
    <cfRule type="cellIs" dxfId="1175" priority="1351" stopIfTrue="1" operator="equal">
      <formula>"CUMPLE"</formula>
    </cfRule>
  </conditionalFormatting>
  <conditionalFormatting sqref="B633:B637 C634:L637 B640:N640">
    <cfRule type="cellIs" dxfId="1174" priority="1352" stopIfTrue="1" operator="greaterThan">
      <formula>0</formula>
    </cfRule>
  </conditionalFormatting>
  <conditionalFormatting sqref="M634:N637">
    <cfRule type="cellIs" dxfId="1173" priority="1353" stopIfTrue="1" operator="greaterThan">
      <formula>0</formula>
    </cfRule>
  </conditionalFormatting>
  <conditionalFormatting sqref="B631:B632 C633 D631:N633 C631 P631:R633">
    <cfRule type="cellIs" dxfId="1172" priority="1354" stopIfTrue="1" operator="greaterThan">
      <formula>0</formula>
    </cfRule>
  </conditionalFormatting>
  <conditionalFormatting sqref="G631:G633">
    <cfRule type="cellIs" dxfId="1171" priority="1349" stopIfTrue="1" operator="greaterThan">
      <formula>0</formula>
    </cfRule>
  </conditionalFormatting>
  <conditionalFormatting sqref="N634:N637">
    <cfRule type="cellIs" dxfId="1170" priority="1348" operator="equal">
      <formula>0</formula>
    </cfRule>
  </conditionalFormatting>
  <conditionalFormatting sqref="R634:R637 R640:R641">
    <cfRule type="cellIs" dxfId="1169" priority="1346" stopIfTrue="1" operator="greaterThan">
      <formula>0</formula>
    </cfRule>
  </conditionalFormatting>
  <conditionalFormatting sqref="R631:R633">
    <cfRule type="cellIs" dxfId="1168" priority="1347" stopIfTrue="1" operator="greaterThan">
      <formula>0</formula>
    </cfRule>
  </conditionalFormatting>
  <conditionalFormatting sqref="R635:R637 R640:R641">
    <cfRule type="cellIs" dxfId="1167" priority="1344" operator="equal">
      <formula>"CUMPLE"</formula>
    </cfRule>
    <cfRule type="cellIs" dxfId="1166" priority="1345" operator="equal">
      <formula>"NO CUMPLE"</formula>
    </cfRule>
  </conditionalFormatting>
  <conditionalFormatting sqref="Q631:Q633">
    <cfRule type="cellIs" dxfId="1165" priority="1343" stopIfTrue="1" operator="greaterThan">
      <formula>0</formula>
    </cfRule>
  </conditionalFormatting>
  <conditionalFormatting sqref="Q634:Q637 Q640:Q641">
    <cfRule type="cellIs" dxfId="1164" priority="1338" operator="equal">
      <formula>"NO CUMPLE"</formula>
    </cfRule>
    <cfRule type="cellIs" dxfId="1163" priority="1342" stopIfTrue="1" operator="greaterThan">
      <formula>0</formula>
    </cfRule>
  </conditionalFormatting>
  <conditionalFormatting sqref="Q634:Q637 O634:O637 O640:O641 Q640:Q641">
    <cfRule type="cellIs" dxfId="1162" priority="1341" operator="equal">
      <formula>"NO CUMPLE"</formula>
    </cfRule>
  </conditionalFormatting>
  <conditionalFormatting sqref="Q634:R637">
    <cfRule type="cellIs" dxfId="1161" priority="1339" stopIfTrue="1" operator="equal">
      <formula>0</formula>
    </cfRule>
  </conditionalFormatting>
  <conditionalFormatting sqref="Q634:R637 O634:O637 O640:O641 Q640:R641">
    <cfRule type="cellIs" dxfId="1160" priority="1340" operator="equal">
      <formula>"CUMPLE"</formula>
    </cfRule>
  </conditionalFormatting>
  <conditionalFormatting sqref="O631:O633">
    <cfRule type="cellIs" dxfId="1159" priority="1337" stopIfTrue="1" operator="greaterThan">
      <formula>0</formula>
    </cfRule>
  </conditionalFormatting>
  <conditionalFormatting sqref="O631:O633">
    <cfRule type="cellIs" dxfId="1158" priority="1336" stopIfTrue="1" operator="greaterThan">
      <formula>0</formula>
    </cfRule>
  </conditionalFormatting>
  <conditionalFormatting sqref="O634:O637 O640:O641">
    <cfRule type="cellIs" dxfId="1157" priority="1333" operator="equal">
      <formula>"NO CUMPLE"</formula>
    </cfRule>
    <cfRule type="cellIs" dxfId="1156" priority="1335" stopIfTrue="1" operator="greaterThan">
      <formula>0</formula>
    </cfRule>
  </conditionalFormatting>
  <conditionalFormatting sqref="O634:O637">
    <cfRule type="cellIs" dxfId="1155" priority="1334" stopIfTrue="1" operator="equal">
      <formula>0</formula>
    </cfRule>
  </conditionalFormatting>
  <conditionalFormatting sqref="B638:L639">
    <cfRule type="cellIs" dxfId="1154" priority="1331" stopIfTrue="1" operator="greaterThan">
      <formula>0</formula>
    </cfRule>
  </conditionalFormatting>
  <conditionalFormatting sqref="M638:N639">
    <cfRule type="cellIs" dxfId="1153" priority="1332" stopIfTrue="1" operator="greaterThan">
      <formula>0</formula>
    </cfRule>
  </conditionalFormatting>
  <conditionalFormatting sqref="N638:N639">
    <cfRule type="cellIs" dxfId="1152" priority="1330" operator="equal">
      <formula>0</formula>
    </cfRule>
  </conditionalFormatting>
  <conditionalFormatting sqref="R638:R639">
    <cfRule type="cellIs" dxfId="1151" priority="1329" stopIfTrue="1" operator="greaterThan">
      <formula>0</formula>
    </cfRule>
  </conditionalFormatting>
  <conditionalFormatting sqref="R638:R639">
    <cfRule type="cellIs" dxfId="1150" priority="1327" operator="equal">
      <formula>"CUMPLE"</formula>
    </cfRule>
    <cfRule type="cellIs" dxfId="1149" priority="1328" operator="equal">
      <formula>"NO CUMPLE"</formula>
    </cfRule>
  </conditionalFormatting>
  <conditionalFormatting sqref="Q638:Q639">
    <cfRule type="cellIs" dxfId="1148" priority="1322" operator="equal">
      <formula>"NO CUMPLE"</formula>
    </cfRule>
    <cfRule type="cellIs" dxfId="1147" priority="1326" stopIfTrue="1" operator="greaterThan">
      <formula>0</formula>
    </cfRule>
  </conditionalFormatting>
  <conditionalFormatting sqref="Q638:Q639 O638:O639">
    <cfRule type="cellIs" dxfId="1146" priority="1325" operator="equal">
      <formula>"NO CUMPLE"</formula>
    </cfRule>
  </conditionalFormatting>
  <conditionalFormatting sqref="Q638:R639">
    <cfRule type="cellIs" dxfId="1145" priority="1323" stopIfTrue="1" operator="equal">
      <formula>0</formula>
    </cfRule>
  </conditionalFormatting>
  <conditionalFormatting sqref="Q638:R639 O638:O639">
    <cfRule type="cellIs" dxfId="1144" priority="1324" operator="equal">
      <formula>"CUMPLE"</formula>
    </cfRule>
  </conditionalFormatting>
  <conditionalFormatting sqref="O638:O639">
    <cfRule type="cellIs" dxfId="1143" priority="1319" operator="equal">
      <formula>"NO CUMPLE"</formula>
    </cfRule>
    <cfRule type="cellIs" dxfId="1142" priority="1321" stopIfTrue="1" operator="greaterThan">
      <formula>0</formula>
    </cfRule>
  </conditionalFormatting>
  <conditionalFormatting sqref="O638:O639">
    <cfRule type="cellIs" dxfId="1141" priority="1320" stopIfTrue="1" operator="equal">
      <formula>0</formula>
    </cfRule>
  </conditionalFormatting>
  <conditionalFormatting sqref="S631:S633">
    <cfRule type="cellIs" dxfId="1140" priority="1318" stopIfTrue="1" operator="greaterThan">
      <formula>0</formula>
    </cfRule>
  </conditionalFormatting>
  <conditionalFormatting sqref="S631:S633">
    <cfRule type="cellIs" dxfId="1139" priority="1317" stopIfTrue="1" operator="greaterThan">
      <formula>0</formula>
    </cfRule>
  </conditionalFormatting>
  <conditionalFormatting sqref="S634:S641">
    <cfRule type="cellIs" dxfId="1138" priority="1312" operator="equal">
      <formula>"NO CUMPLE"</formula>
    </cfRule>
    <cfRule type="cellIs" dxfId="1137" priority="1316" stopIfTrue="1" operator="greaterThan">
      <formula>0</formula>
    </cfRule>
  </conditionalFormatting>
  <conditionalFormatting sqref="S634:S641">
    <cfRule type="cellIs" dxfId="1136" priority="1315" operator="equal">
      <formula>"NO CUMPLE"</formula>
    </cfRule>
  </conditionalFormatting>
  <conditionalFormatting sqref="S634:S639">
    <cfRule type="cellIs" dxfId="1135" priority="1313" stopIfTrue="1" operator="equal">
      <formula>0</formula>
    </cfRule>
  </conditionalFormatting>
  <conditionalFormatting sqref="S634:S641">
    <cfRule type="cellIs" dxfId="1134" priority="1314" operator="equal">
      <formula>"CUMPLE"</formula>
    </cfRule>
  </conditionalFormatting>
  <conditionalFormatting sqref="T631:U641">
    <cfRule type="cellIs" dxfId="1133" priority="1311" stopIfTrue="1" operator="greaterThan">
      <formula>0</formula>
    </cfRule>
  </conditionalFormatting>
  <conditionalFormatting sqref="T641:U641">
    <cfRule type="cellIs" dxfId="1132" priority="1307" operator="equal">
      <formula>"NO CUMPLE"</formula>
    </cfRule>
    <cfRule type="cellIs" dxfId="1131" priority="1310" stopIfTrue="1" operator="greaterThan">
      <formula>0</formula>
    </cfRule>
  </conditionalFormatting>
  <conditionalFormatting sqref="T641:U641">
    <cfRule type="cellIs" dxfId="1130" priority="1309" operator="equal">
      <formula>"NO CUMPLE"</formula>
    </cfRule>
  </conditionalFormatting>
  <conditionalFormatting sqref="T641:U641">
    <cfRule type="cellIs" dxfId="1129" priority="1308" operator="equal">
      <formula>"CUMPLE"</formula>
    </cfRule>
  </conditionalFormatting>
  <conditionalFormatting sqref="T634:U640">
    <cfRule type="cellIs" dxfId="1128" priority="1303" operator="equal">
      <formula>"NO CUMPLE"</formula>
    </cfRule>
  </conditionalFormatting>
  <conditionalFormatting sqref="T634:U640">
    <cfRule type="cellIs" dxfId="1127" priority="1306" operator="equal">
      <formula>"NO CUMPLE"</formula>
    </cfRule>
  </conditionalFormatting>
  <conditionalFormatting sqref="T634:U640">
    <cfRule type="cellIs" dxfId="1126" priority="1304" stopIfTrue="1" operator="equal">
      <formula>0</formula>
    </cfRule>
  </conditionalFormatting>
  <conditionalFormatting sqref="T634:U640">
    <cfRule type="cellIs" dxfId="1125" priority="1305" operator="equal">
      <formula>"CUMPLE"</formula>
    </cfRule>
  </conditionalFormatting>
  <conditionalFormatting sqref="M661:N661">
    <cfRule type="cellIs" dxfId="1124" priority="1298" stopIfTrue="1" operator="equal">
      <formula>"NO CUMPLE"</formula>
    </cfRule>
    <cfRule type="cellIs" dxfId="1123" priority="1299" stopIfTrue="1" operator="equal">
      <formula>"CUMPLE"</formula>
    </cfRule>
  </conditionalFormatting>
  <conditionalFormatting sqref="B651:B655 C652:L655 B658:N658">
    <cfRule type="cellIs" dxfId="1122" priority="1300" stopIfTrue="1" operator="greaterThan">
      <formula>0</formula>
    </cfRule>
  </conditionalFormatting>
  <conditionalFormatting sqref="M652:N655">
    <cfRule type="cellIs" dxfId="1121" priority="1301" stopIfTrue="1" operator="greaterThan">
      <formula>0</formula>
    </cfRule>
  </conditionalFormatting>
  <conditionalFormatting sqref="B649:B650 C651 D649:N651 C649 P649:R651">
    <cfRule type="cellIs" dxfId="1120" priority="1302" stopIfTrue="1" operator="greaterThan">
      <formula>0</formula>
    </cfRule>
  </conditionalFormatting>
  <conditionalFormatting sqref="G649:G651">
    <cfRule type="cellIs" dxfId="1119" priority="1297" stopIfTrue="1" operator="greaterThan">
      <formula>0</formula>
    </cfRule>
  </conditionalFormatting>
  <conditionalFormatting sqref="N652:N655">
    <cfRule type="cellIs" dxfId="1118" priority="1296" operator="equal">
      <formula>0</formula>
    </cfRule>
  </conditionalFormatting>
  <conditionalFormatting sqref="R652:R655 R658:R659">
    <cfRule type="cellIs" dxfId="1117" priority="1294" stopIfTrue="1" operator="greaterThan">
      <formula>0</formula>
    </cfRule>
  </conditionalFormatting>
  <conditionalFormatting sqref="R649:R651">
    <cfRule type="cellIs" dxfId="1116" priority="1295" stopIfTrue="1" operator="greaterThan">
      <formula>0</formula>
    </cfRule>
  </conditionalFormatting>
  <conditionalFormatting sqref="R653:R655 R658:R659">
    <cfRule type="cellIs" dxfId="1115" priority="1292" operator="equal">
      <formula>"CUMPLE"</formula>
    </cfRule>
    <cfRule type="cellIs" dxfId="1114" priority="1293" operator="equal">
      <formula>"NO CUMPLE"</formula>
    </cfRule>
  </conditionalFormatting>
  <conditionalFormatting sqref="Q649:Q651">
    <cfRule type="cellIs" dxfId="1113" priority="1291" stopIfTrue="1" operator="greaterThan">
      <formula>0</formula>
    </cfRule>
  </conditionalFormatting>
  <conditionalFormatting sqref="Q652:Q655 Q658:Q659">
    <cfRule type="cellIs" dxfId="1112" priority="1286" operator="equal">
      <formula>"NO CUMPLE"</formula>
    </cfRule>
    <cfRule type="cellIs" dxfId="1111" priority="1290" stopIfTrue="1" operator="greaterThan">
      <formula>0</formula>
    </cfRule>
  </conditionalFormatting>
  <conditionalFormatting sqref="Q652:Q655 O652:O655 O658:O659 Q658:Q659">
    <cfRule type="cellIs" dxfId="1110" priority="1289" operator="equal">
      <formula>"NO CUMPLE"</formula>
    </cfRule>
  </conditionalFormatting>
  <conditionalFormatting sqref="Q652:R655">
    <cfRule type="cellIs" dxfId="1109" priority="1287" stopIfTrue="1" operator="equal">
      <formula>0</formula>
    </cfRule>
  </conditionalFormatting>
  <conditionalFormatting sqref="Q652:R655 O652:O655 O658:O659 Q658:R659">
    <cfRule type="cellIs" dxfId="1108" priority="1288" operator="equal">
      <formula>"CUMPLE"</formula>
    </cfRule>
  </conditionalFormatting>
  <conditionalFormatting sqref="O649:O651">
    <cfRule type="cellIs" dxfId="1107" priority="1285" stopIfTrue="1" operator="greaterThan">
      <formula>0</formula>
    </cfRule>
  </conditionalFormatting>
  <conditionalFormatting sqref="O649:O651">
    <cfRule type="cellIs" dxfId="1106" priority="1284" stopIfTrue="1" operator="greaterThan">
      <formula>0</formula>
    </cfRule>
  </conditionalFormatting>
  <conditionalFormatting sqref="O652:O655 O658:O659">
    <cfRule type="cellIs" dxfId="1105" priority="1281" operator="equal">
      <formula>"NO CUMPLE"</formula>
    </cfRule>
    <cfRule type="cellIs" dxfId="1104" priority="1283" stopIfTrue="1" operator="greaterThan">
      <formula>0</formula>
    </cfRule>
  </conditionalFormatting>
  <conditionalFormatting sqref="O652:O655">
    <cfRule type="cellIs" dxfId="1103" priority="1282" stopIfTrue="1" operator="equal">
      <formula>0</formula>
    </cfRule>
  </conditionalFormatting>
  <conditionalFormatting sqref="B656:L657">
    <cfRule type="cellIs" dxfId="1102" priority="1279" stopIfTrue="1" operator="greaterThan">
      <formula>0</formula>
    </cfRule>
  </conditionalFormatting>
  <conditionalFormatting sqref="M656:N657">
    <cfRule type="cellIs" dxfId="1101" priority="1280" stopIfTrue="1" operator="greaterThan">
      <formula>0</formula>
    </cfRule>
  </conditionalFormatting>
  <conditionalFormatting sqref="N656:N657">
    <cfRule type="cellIs" dxfId="1100" priority="1278" operator="equal">
      <formula>0</formula>
    </cfRule>
  </conditionalFormatting>
  <conditionalFormatting sqref="R656:R657">
    <cfRule type="cellIs" dxfId="1099" priority="1277" stopIfTrue="1" operator="greaterThan">
      <formula>0</formula>
    </cfRule>
  </conditionalFormatting>
  <conditionalFormatting sqref="R656:R657">
    <cfRule type="cellIs" dxfId="1098" priority="1275" operator="equal">
      <formula>"CUMPLE"</formula>
    </cfRule>
    <cfRule type="cellIs" dxfId="1097" priority="1276" operator="equal">
      <formula>"NO CUMPLE"</formula>
    </cfRule>
  </conditionalFormatting>
  <conditionalFormatting sqref="Q656:Q657">
    <cfRule type="cellIs" dxfId="1096" priority="1270" operator="equal">
      <formula>"NO CUMPLE"</formula>
    </cfRule>
    <cfRule type="cellIs" dxfId="1095" priority="1274" stopIfTrue="1" operator="greaterThan">
      <formula>0</formula>
    </cfRule>
  </conditionalFormatting>
  <conditionalFormatting sqref="Q656:Q657 O656:O657">
    <cfRule type="cellIs" dxfId="1094" priority="1273" operator="equal">
      <formula>"NO CUMPLE"</formula>
    </cfRule>
  </conditionalFormatting>
  <conditionalFormatting sqref="Q656:R657">
    <cfRule type="cellIs" dxfId="1093" priority="1271" stopIfTrue="1" operator="equal">
      <formula>0</formula>
    </cfRule>
  </conditionalFormatting>
  <conditionalFormatting sqref="Q656:R657 O656:O657">
    <cfRule type="cellIs" dxfId="1092" priority="1272" operator="equal">
      <formula>"CUMPLE"</formula>
    </cfRule>
  </conditionalFormatting>
  <conditionalFormatting sqref="O656:O657">
    <cfRule type="cellIs" dxfId="1091" priority="1267" operator="equal">
      <formula>"NO CUMPLE"</formula>
    </cfRule>
    <cfRule type="cellIs" dxfId="1090" priority="1269" stopIfTrue="1" operator="greaterThan">
      <formula>0</formula>
    </cfRule>
  </conditionalFormatting>
  <conditionalFormatting sqref="O656:O657">
    <cfRule type="cellIs" dxfId="1089" priority="1268" stopIfTrue="1" operator="equal">
      <formula>0</formula>
    </cfRule>
  </conditionalFormatting>
  <conditionalFormatting sqref="S649:S651">
    <cfRule type="cellIs" dxfId="1088" priority="1266" stopIfTrue="1" operator="greaterThan">
      <formula>0</formula>
    </cfRule>
  </conditionalFormatting>
  <conditionalFormatting sqref="S649:S651">
    <cfRule type="cellIs" dxfId="1087" priority="1265" stopIfTrue="1" operator="greaterThan">
      <formula>0</formula>
    </cfRule>
  </conditionalFormatting>
  <conditionalFormatting sqref="S652:S659">
    <cfRule type="cellIs" dxfId="1086" priority="1260" operator="equal">
      <formula>"NO CUMPLE"</formula>
    </cfRule>
    <cfRule type="cellIs" dxfId="1085" priority="1264" stopIfTrue="1" operator="greaterThan">
      <formula>0</formula>
    </cfRule>
  </conditionalFormatting>
  <conditionalFormatting sqref="S652:S659">
    <cfRule type="cellIs" dxfId="1084" priority="1263" operator="equal">
      <formula>"NO CUMPLE"</formula>
    </cfRule>
  </conditionalFormatting>
  <conditionalFormatting sqref="S652:S657">
    <cfRule type="cellIs" dxfId="1083" priority="1261" stopIfTrue="1" operator="equal">
      <formula>0</formula>
    </cfRule>
  </conditionalFormatting>
  <conditionalFormatting sqref="S652:S659">
    <cfRule type="cellIs" dxfId="1082" priority="1262" operator="equal">
      <formula>"CUMPLE"</formula>
    </cfRule>
  </conditionalFormatting>
  <conditionalFormatting sqref="T649:U659">
    <cfRule type="cellIs" dxfId="1081" priority="1259" stopIfTrue="1" operator="greaterThan">
      <formula>0</formula>
    </cfRule>
  </conditionalFormatting>
  <conditionalFormatting sqref="T659:U659">
    <cfRule type="cellIs" dxfId="1080" priority="1255" operator="equal">
      <formula>"NO CUMPLE"</formula>
    </cfRule>
    <cfRule type="cellIs" dxfId="1079" priority="1258" stopIfTrue="1" operator="greaterThan">
      <formula>0</formula>
    </cfRule>
  </conditionalFormatting>
  <conditionalFormatting sqref="T659:U659">
    <cfRule type="cellIs" dxfId="1078" priority="1257" operator="equal">
      <formula>"NO CUMPLE"</formula>
    </cfRule>
  </conditionalFormatting>
  <conditionalFormatting sqref="T659:U659">
    <cfRule type="cellIs" dxfId="1077" priority="1256" operator="equal">
      <formula>"CUMPLE"</formula>
    </cfRule>
  </conditionalFormatting>
  <conditionalFormatting sqref="T652:U658">
    <cfRule type="cellIs" dxfId="1076" priority="1251" operator="equal">
      <formula>"NO CUMPLE"</formula>
    </cfRule>
  </conditionalFormatting>
  <conditionalFormatting sqref="T652:U658">
    <cfRule type="cellIs" dxfId="1075" priority="1254" operator="equal">
      <formula>"NO CUMPLE"</formula>
    </cfRule>
  </conditionalFormatting>
  <conditionalFormatting sqref="T652:U658">
    <cfRule type="cellIs" dxfId="1074" priority="1252" stopIfTrue="1" operator="equal">
      <formula>0</formula>
    </cfRule>
  </conditionalFormatting>
  <conditionalFormatting sqref="T652:U658">
    <cfRule type="cellIs" dxfId="1073" priority="1253" operator="equal">
      <formula>"CUMPLE"</formula>
    </cfRule>
  </conditionalFormatting>
  <conditionalFormatting sqref="W19:W20">
    <cfRule type="cellIs" dxfId="1072" priority="1042" stopIfTrue="1" operator="greaterThan">
      <formula>0</formula>
    </cfRule>
  </conditionalFormatting>
  <conditionalFormatting sqref="W19:W20">
    <cfRule type="cellIs" dxfId="1071" priority="1041" stopIfTrue="1" operator="greaterThan">
      <formula>0</formula>
    </cfRule>
  </conditionalFormatting>
  <conditionalFormatting sqref="W39:AA39 W38 Y38:AA38">
    <cfRule type="cellIs" dxfId="1070" priority="1034" stopIfTrue="1" operator="greaterThan">
      <formula>0</formula>
    </cfRule>
  </conditionalFormatting>
  <conditionalFormatting sqref="W39:AA39 W38 Y38:AA38">
    <cfRule type="cellIs" dxfId="1069" priority="1033" stopIfTrue="1" operator="greaterThan">
      <formula>0</formula>
    </cfRule>
  </conditionalFormatting>
  <conditionalFormatting sqref="W57:AA57 W56 Y56:AA56">
    <cfRule type="cellIs" dxfId="1068" priority="1030" stopIfTrue="1" operator="greaterThan">
      <formula>0</formula>
    </cfRule>
  </conditionalFormatting>
  <conditionalFormatting sqref="W57:AA57 W56 Y56:AA56">
    <cfRule type="cellIs" dxfId="1067" priority="1029" stopIfTrue="1" operator="greaterThan">
      <formula>0</formula>
    </cfRule>
  </conditionalFormatting>
  <conditionalFormatting sqref="W651:AA651 W650 Y650:AA650">
    <cfRule type="cellIs" dxfId="1066" priority="874" stopIfTrue="1" operator="greaterThan">
      <formula>0</formula>
    </cfRule>
  </conditionalFormatting>
  <conditionalFormatting sqref="W651:AA651 W650 Y650:AA650">
    <cfRule type="cellIs" dxfId="1065" priority="873" stopIfTrue="1" operator="greaterThan">
      <formula>0</formula>
    </cfRule>
  </conditionalFormatting>
  <conditionalFormatting sqref="W597:AA597 W596 Y596:AA596">
    <cfRule type="cellIs" dxfId="1064" priority="880" stopIfTrue="1" operator="greaterThan">
      <formula>0</formula>
    </cfRule>
  </conditionalFormatting>
  <conditionalFormatting sqref="W597:AA597 W596 Y596:AA596">
    <cfRule type="cellIs" dxfId="1063" priority="879" stopIfTrue="1" operator="greaterThan">
      <formula>0</formula>
    </cfRule>
  </conditionalFormatting>
  <conditionalFormatting sqref="W615:AA615 W614 Y614:AA614">
    <cfRule type="cellIs" dxfId="1062" priority="878" stopIfTrue="1" operator="greaterThan">
      <formula>0</formula>
    </cfRule>
  </conditionalFormatting>
  <conditionalFormatting sqref="W615:AA615 W614 Y614:AA614">
    <cfRule type="cellIs" dxfId="1061" priority="877" stopIfTrue="1" operator="greaterThan">
      <formula>0</formula>
    </cfRule>
  </conditionalFormatting>
  <conditionalFormatting sqref="W75:AA75 W74 Y74:AA74">
    <cfRule type="cellIs" dxfId="1060" priority="1008" stopIfTrue="1" operator="greaterThan">
      <formula>0</formula>
    </cfRule>
  </conditionalFormatting>
  <conditionalFormatting sqref="W75:AA75 W74 Y74:AA74">
    <cfRule type="cellIs" dxfId="1059" priority="1007" stopIfTrue="1" operator="greaterThan">
      <formula>0</formula>
    </cfRule>
  </conditionalFormatting>
  <conditionalFormatting sqref="W93:AA93 W92 Y92:AA92">
    <cfRule type="cellIs" dxfId="1058" priority="1006" stopIfTrue="1" operator="greaterThan">
      <formula>0</formula>
    </cfRule>
  </conditionalFormatting>
  <conditionalFormatting sqref="W93:AA93 W92 Y92:AA92">
    <cfRule type="cellIs" dxfId="1057" priority="1005" stopIfTrue="1" operator="greaterThan">
      <formula>0</formula>
    </cfRule>
  </conditionalFormatting>
  <conditionalFormatting sqref="W111:AA111 W110 Y110:AA110">
    <cfRule type="cellIs" dxfId="1056" priority="1004" stopIfTrue="1" operator="greaterThan">
      <formula>0</formula>
    </cfRule>
  </conditionalFormatting>
  <conditionalFormatting sqref="W111:AA111 W110 Y110:AA110">
    <cfRule type="cellIs" dxfId="1055" priority="1003" stopIfTrue="1" operator="greaterThan">
      <formula>0</formula>
    </cfRule>
  </conditionalFormatting>
  <conditionalFormatting sqref="W129:AA129 W128 Y128:AA128">
    <cfRule type="cellIs" dxfId="1054" priority="990" stopIfTrue="1" operator="greaterThan">
      <formula>0</formula>
    </cfRule>
  </conditionalFormatting>
  <conditionalFormatting sqref="W129:AA129 W128 Y128:AA128">
    <cfRule type="cellIs" dxfId="1053" priority="989" stopIfTrue="1" operator="greaterThan">
      <formula>0</formula>
    </cfRule>
  </conditionalFormatting>
  <conditionalFormatting sqref="W147:AA147 W146 Y146:AA146">
    <cfRule type="cellIs" dxfId="1052" priority="988" stopIfTrue="1" operator="greaterThan">
      <formula>0</formula>
    </cfRule>
  </conditionalFormatting>
  <conditionalFormatting sqref="W147:AA147 W146 Y146:AA146">
    <cfRule type="cellIs" dxfId="1051" priority="987" stopIfTrue="1" operator="greaterThan">
      <formula>0</formula>
    </cfRule>
  </conditionalFormatting>
  <conditionalFormatting sqref="W165:AA165 W164 Y164:AA164">
    <cfRule type="cellIs" dxfId="1050" priority="986" stopIfTrue="1" operator="greaterThan">
      <formula>0</formula>
    </cfRule>
  </conditionalFormatting>
  <conditionalFormatting sqref="W165:AA165 W164 Y164:AA164">
    <cfRule type="cellIs" dxfId="1049" priority="985" stopIfTrue="1" operator="greaterThan">
      <formula>0</formula>
    </cfRule>
  </conditionalFormatting>
  <conditionalFormatting sqref="W183:AA183 W182 Y182:AA182">
    <cfRule type="cellIs" dxfId="1048" priority="984" stopIfTrue="1" operator="greaterThan">
      <formula>0</formula>
    </cfRule>
  </conditionalFormatting>
  <conditionalFormatting sqref="W183:AA183 W182 Y182:AA182">
    <cfRule type="cellIs" dxfId="1047" priority="983" stopIfTrue="1" operator="greaterThan">
      <formula>0</formula>
    </cfRule>
  </conditionalFormatting>
  <conditionalFormatting sqref="W201:AA201 W200 Y200:AA200">
    <cfRule type="cellIs" dxfId="1046" priority="982" stopIfTrue="1" operator="greaterThan">
      <formula>0</formula>
    </cfRule>
  </conditionalFormatting>
  <conditionalFormatting sqref="W201:AA201 W200 Y200:AA200">
    <cfRule type="cellIs" dxfId="1045" priority="981" stopIfTrue="1" operator="greaterThan">
      <formula>0</formula>
    </cfRule>
  </conditionalFormatting>
  <conditionalFormatting sqref="W219:AA219 W218 Y218:AA218">
    <cfRule type="cellIs" dxfId="1044" priority="980" stopIfTrue="1" operator="greaterThan">
      <formula>0</formula>
    </cfRule>
  </conditionalFormatting>
  <conditionalFormatting sqref="W219:AA219 W218 Y218:AA218">
    <cfRule type="cellIs" dxfId="1043" priority="979" stopIfTrue="1" operator="greaterThan">
      <formula>0</formula>
    </cfRule>
  </conditionalFormatting>
  <conditionalFormatting sqref="W543:AA543 W542 Y542:AA542">
    <cfRule type="cellIs" dxfId="1042" priority="886" stopIfTrue="1" operator="greaterThan">
      <formula>0</formula>
    </cfRule>
  </conditionalFormatting>
  <conditionalFormatting sqref="W543:AA543 W542 Y542:AA542">
    <cfRule type="cellIs" dxfId="1041" priority="885" stopIfTrue="1" operator="greaterThan">
      <formula>0</formula>
    </cfRule>
  </conditionalFormatting>
  <conditionalFormatting sqref="W561:AA561 W560 Y560:AA560">
    <cfRule type="cellIs" dxfId="1040" priority="884" stopIfTrue="1" operator="greaterThan">
      <formula>0</formula>
    </cfRule>
  </conditionalFormatting>
  <conditionalFormatting sqref="W561:AA561 W560 Y560:AA560">
    <cfRule type="cellIs" dxfId="1039" priority="883" stopIfTrue="1" operator="greaterThan">
      <formula>0</formula>
    </cfRule>
  </conditionalFormatting>
  <conditionalFormatting sqref="W579:AA579 W578 Y578:AA578">
    <cfRule type="cellIs" dxfId="1038" priority="882" stopIfTrue="1" operator="greaterThan">
      <formula>0</formula>
    </cfRule>
  </conditionalFormatting>
  <conditionalFormatting sqref="W579:AA579 W578 Y578:AA578">
    <cfRule type="cellIs" dxfId="1037" priority="881" stopIfTrue="1" operator="greaterThan">
      <formula>0</formula>
    </cfRule>
  </conditionalFormatting>
  <conditionalFormatting sqref="W633:AA633 W632 Y632:AA632">
    <cfRule type="cellIs" dxfId="1036" priority="876" stopIfTrue="1" operator="greaterThan">
      <formula>0</formula>
    </cfRule>
  </conditionalFormatting>
  <conditionalFormatting sqref="W633:AA633 W632 Y632:AA632">
    <cfRule type="cellIs" dxfId="1035" priority="875" stopIfTrue="1" operator="greaterThan">
      <formula>0</formula>
    </cfRule>
  </conditionalFormatting>
  <conditionalFormatting sqref="W237:AA237 W236 Y236:AA236">
    <cfRule type="cellIs" dxfId="1034" priority="954" stopIfTrue="1" operator="greaterThan">
      <formula>0</formula>
    </cfRule>
  </conditionalFormatting>
  <conditionalFormatting sqref="W237:AA237 W236 Y236:AA236">
    <cfRule type="cellIs" dxfId="1033" priority="953" stopIfTrue="1" operator="greaterThan">
      <formula>0</formula>
    </cfRule>
  </conditionalFormatting>
  <conditionalFormatting sqref="W255:AA255 W254 Y254:AA254">
    <cfRule type="cellIs" dxfId="1032" priority="952" stopIfTrue="1" operator="greaterThan">
      <formula>0</formula>
    </cfRule>
  </conditionalFormatting>
  <conditionalFormatting sqref="W255:AA255 W254 Y254:AA254">
    <cfRule type="cellIs" dxfId="1031" priority="951" stopIfTrue="1" operator="greaterThan">
      <formula>0</formula>
    </cfRule>
  </conditionalFormatting>
  <conditionalFormatting sqref="W273:AA273 W272 Y272:AA272">
    <cfRule type="cellIs" dxfId="1030" priority="950" stopIfTrue="1" operator="greaterThan">
      <formula>0</formula>
    </cfRule>
  </conditionalFormatting>
  <conditionalFormatting sqref="W273:AA273 W272 Y272:AA272">
    <cfRule type="cellIs" dxfId="1029" priority="949" stopIfTrue="1" operator="greaterThan">
      <formula>0</formula>
    </cfRule>
  </conditionalFormatting>
  <conditionalFormatting sqref="W291:AA291 W290 Y290:AA290">
    <cfRule type="cellIs" dxfId="1028" priority="948" stopIfTrue="1" operator="greaterThan">
      <formula>0</formula>
    </cfRule>
  </conditionalFormatting>
  <conditionalFormatting sqref="W291:AA291 W290 Y290:AA290">
    <cfRule type="cellIs" dxfId="1027" priority="947" stopIfTrue="1" operator="greaterThan">
      <formula>0</formula>
    </cfRule>
  </conditionalFormatting>
  <conditionalFormatting sqref="W309:AA309 W308 Y308:AA308">
    <cfRule type="cellIs" dxfId="1026" priority="946" stopIfTrue="1" operator="greaterThan">
      <formula>0</formula>
    </cfRule>
  </conditionalFormatting>
  <conditionalFormatting sqref="W309:AA309 W308 Y308:AA308">
    <cfRule type="cellIs" dxfId="1025" priority="945" stopIfTrue="1" operator="greaterThan">
      <formula>0</formula>
    </cfRule>
  </conditionalFormatting>
  <conditionalFormatting sqref="W327:AA327 W326 Y326:AA326">
    <cfRule type="cellIs" dxfId="1024" priority="944" stopIfTrue="1" operator="greaterThan">
      <formula>0</formula>
    </cfRule>
  </conditionalFormatting>
  <conditionalFormatting sqref="W327:AA327 W326 Y326:AA326">
    <cfRule type="cellIs" dxfId="1023" priority="943" stopIfTrue="1" operator="greaterThan">
      <formula>0</formula>
    </cfRule>
  </conditionalFormatting>
  <conditionalFormatting sqref="W345:AA345 W344 Y344:AA344">
    <cfRule type="cellIs" dxfId="1022" priority="942" stopIfTrue="1" operator="greaterThan">
      <formula>0</formula>
    </cfRule>
  </conditionalFormatting>
  <conditionalFormatting sqref="W345:AA345 W344 Y344:AA344">
    <cfRule type="cellIs" dxfId="1021" priority="941" stopIfTrue="1" operator="greaterThan">
      <formula>0</formula>
    </cfRule>
  </conditionalFormatting>
  <conditionalFormatting sqref="W363:AA363 W362 Y362:AA362">
    <cfRule type="cellIs" dxfId="1020" priority="940" stopIfTrue="1" operator="greaterThan">
      <formula>0</formula>
    </cfRule>
  </conditionalFormatting>
  <conditionalFormatting sqref="W363:AA363 W362 Y362:AA362">
    <cfRule type="cellIs" dxfId="1019" priority="939" stopIfTrue="1" operator="greaterThan">
      <formula>0</formula>
    </cfRule>
  </conditionalFormatting>
  <conditionalFormatting sqref="W381:AA381 W380 Y380:AA380">
    <cfRule type="cellIs" dxfId="1018" priority="938" stopIfTrue="1" operator="greaterThan">
      <formula>0</formula>
    </cfRule>
  </conditionalFormatting>
  <conditionalFormatting sqref="W381:AA381 W380 Y380:AA380">
    <cfRule type="cellIs" dxfId="1017" priority="937" stopIfTrue="1" operator="greaterThan">
      <formula>0</formula>
    </cfRule>
  </conditionalFormatting>
  <conditionalFormatting sqref="W399:AA399 W398 Y398:AA398">
    <cfRule type="cellIs" dxfId="1016" priority="936" stopIfTrue="1" operator="greaterThan">
      <formula>0</formula>
    </cfRule>
  </conditionalFormatting>
  <conditionalFormatting sqref="W399:AA399 W398 Y398:AA398">
    <cfRule type="cellIs" dxfId="1015" priority="935" stopIfTrue="1" operator="greaterThan">
      <formula>0</formula>
    </cfRule>
  </conditionalFormatting>
  <conditionalFormatting sqref="W417:AA417 W416 Y416:AA416">
    <cfRule type="cellIs" dxfId="1014" priority="934" stopIfTrue="1" operator="greaterThan">
      <formula>0</formula>
    </cfRule>
  </conditionalFormatting>
  <conditionalFormatting sqref="W417:AA417 W416 Y416:AA416">
    <cfRule type="cellIs" dxfId="1013" priority="933" stopIfTrue="1" operator="greaterThan">
      <formula>0</formula>
    </cfRule>
  </conditionalFormatting>
  <conditionalFormatting sqref="W435:AA435 W434 Y434:AA434">
    <cfRule type="cellIs" dxfId="1012" priority="932" stopIfTrue="1" operator="greaterThan">
      <formula>0</formula>
    </cfRule>
  </conditionalFormatting>
  <conditionalFormatting sqref="W435:AA435 W434 Y434:AA434">
    <cfRule type="cellIs" dxfId="1011" priority="931" stopIfTrue="1" operator="greaterThan">
      <formula>0</formula>
    </cfRule>
  </conditionalFormatting>
  <conditionalFormatting sqref="W453:AA453 W452 Y452:AA452">
    <cfRule type="cellIs" dxfId="1010" priority="896" stopIfTrue="1" operator="greaterThan">
      <formula>0</formula>
    </cfRule>
  </conditionalFormatting>
  <conditionalFormatting sqref="W453:AA453 W452 Y452:AA452">
    <cfRule type="cellIs" dxfId="1009" priority="895" stopIfTrue="1" operator="greaterThan">
      <formula>0</formula>
    </cfRule>
  </conditionalFormatting>
  <conditionalFormatting sqref="W471:AA471 W470 Y470:AA470">
    <cfRule type="cellIs" dxfId="1008" priority="894" stopIfTrue="1" operator="greaterThan">
      <formula>0</formula>
    </cfRule>
  </conditionalFormatting>
  <conditionalFormatting sqref="W471:AA471 W470 Y470:AA470">
    <cfRule type="cellIs" dxfId="1007" priority="893" stopIfTrue="1" operator="greaterThan">
      <formula>0</formula>
    </cfRule>
  </conditionalFormatting>
  <conditionalFormatting sqref="W489:AA489 W488 Y488:AA488">
    <cfRule type="cellIs" dxfId="1006" priority="892" stopIfTrue="1" operator="greaterThan">
      <formula>0</formula>
    </cfRule>
  </conditionalFormatting>
  <conditionalFormatting sqref="W489:AA489 W488 Y488:AA488">
    <cfRule type="cellIs" dxfId="1005" priority="891" stopIfTrue="1" operator="greaterThan">
      <formula>0</formula>
    </cfRule>
  </conditionalFormatting>
  <conditionalFormatting sqref="W507:AA507 W506 Y506:AA506">
    <cfRule type="cellIs" dxfId="1004" priority="890" stopIfTrue="1" operator="greaterThan">
      <formula>0</formula>
    </cfRule>
  </conditionalFormatting>
  <conditionalFormatting sqref="W507:AA507 W506 Y506:AA506">
    <cfRule type="cellIs" dxfId="1003" priority="889" stopIfTrue="1" operator="greaterThan">
      <formula>0</formula>
    </cfRule>
  </conditionalFormatting>
  <conditionalFormatting sqref="W525:AA525 W524 Y524:AA524">
    <cfRule type="cellIs" dxfId="1002" priority="888" stopIfTrue="1" operator="greaterThan">
      <formula>0</formula>
    </cfRule>
  </conditionalFormatting>
  <conditionalFormatting sqref="W525:AA525 W524 Y524:AA524">
    <cfRule type="cellIs" dxfId="1001" priority="887" stopIfTrue="1" operator="greaterThan">
      <formula>0</formula>
    </cfRule>
  </conditionalFormatting>
  <conditionalFormatting sqref="S22:U27">
    <cfRule type="cellIs" dxfId="1000" priority="3244" operator="equal">
      <formula>"NO CUMPLE"</formula>
    </cfRule>
    <cfRule type="cellIs" dxfId="999" priority="3245" stopIfTrue="1" operator="equal">
      <formula>0</formula>
    </cfRule>
    <cfRule type="cellIs" dxfId="998" priority="3246" operator="equal">
      <formula>"CUMPLE"</formula>
    </cfRule>
  </conditionalFormatting>
  <conditionalFormatting sqref="W29:Z29 W22:Z27 W28:AA28 AF22:AF29">
    <cfRule type="cellIs" dxfId="997" priority="860" operator="equal">
      <formula>"NO CUMPLE"</formula>
    </cfRule>
    <cfRule type="cellIs" dxfId="996" priority="861" operator="equal">
      <formula>"CUMPLE"</formula>
    </cfRule>
    <cfRule type="cellIs" dxfId="995" priority="862" operator="equal">
      <formula>""""""</formula>
    </cfRule>
  </conditionalFormatting>
  <conditionalFormatting sqref="AA29">
    <cfRule type="cellIs" dxfId="994" priority="859" stopIfTrue="1" operator="greaterThan">
      <formula>0</formula>
    </cfRule>
  </conditionalFormatting>
  <conditionalFormatting sqref="AA29">
    <cfRule type="cellIs" dxfId="993" priority="858" operator="equal">
      <formula>"NO CUMPLE"</formula>
    </cfRule>
  </conditionalFormatting>
  <conditionalFormatting sqref="AA22:AA29 W219:AC219 W221:AC224 W220:AA220 W226:AC226 W225:AA225 AC220 AB221:AC226">
    <cfRule type="cellIs" dxfId="992" priority="855" operator="equal">
      <formula>"CUMPLE"</formula>
    </cfRule>
    <cfRule type="cellIs" dxfId="991" priority="856" operator="equal">
      <formula>"NO CUMPLE"</formula>
    </cfRule>
  </conditionalFormatting>
  <conditionalFormatting sqref="Q29">
    <cfRule type="cellIs" dxfId="990" priority="854" stopIfTrue="1" operator="greaterThan">
      <formula>0</formula>
    </cfRule>
  </conditionalFormatting>
  <conditionalFormatting sqref="Q29">
    <cfRule type="cellIs" dxfId="989" priority="852" operator="equal">
      <formula>"CUMPLE"</formula>
    </cfRule>
    <cfRule type="cellIs" dxfId="988" priority="853" operator="equal">
      <formula>"NO CUMPLE"</formula>
    </cfRule>
  </conditionalFormatting>
  <conditionalFormatting sqref="AA47">
    <cfRule type="cellIs" dxfId="987" priority="847" stopIfTrue="1" operator="greaterThan">
      <formula>0</formula>
    </cfRule>
  </conditionalFormatting>
  <conditionalFormatting sqref="AA47">
    <cfRule type="cellIs" dxfId="986" priority="846" operator="equal">
      <formula>"NO CUMPLE"</formula>
    </cfRule>
  </conditionalFormatting>
  <conditionalFormatting sqref="AA47">
    <cfRule type="cellIs" dxfId="985" priority="844" operator="equal">
      <formula>"CUMPLE"</formula>
    </cfRule>
    <cfRule type="cellIs" dxfId="984" priority="845" operator="equal">
      <formula>"NO CUMPLE"</formula>
    </cfRule>
  </conditionalFormatting>
  <conditionalFormatting sqref="AA65">
    <cfRule type="cellIs" dxfId="983" priority="839" stopIfTrue="1" operator="greaterThan">
      <formula>0</formula>
    </cfRule>
  </conditionalFormatting>
  <conditionalFormatting sqref="AA65">
    <cfRule type="cellIs" dxfId="982" priority="838" operator="equal">
      <formula>"NO CUMPLE"</formula>
    </cfRule>
  </conditionalFormatting>
  <conditionalFormatting sqref="AA65">
    <cfRule type="cellIs" dxfId="981" priority="836" operator="equal">
      <formula>"CUMPLE"</formula>
    </cfRule>
    <cfRule type="cellIs" dxfId="980" priority="837" operator="equal">
      <formula>"NO CUMPLE"</formula>
    </cfRule>
  </conditionalFormatting>
  <conditionalFormatting sqref="AA83">
    <cfRule type="cellIs" dxfId="979" priority="831" stopIfTrue="1" operator="greaterThan">
      <formula>0</formula>
    </cfRule>
  </conditionalFormatting>
  <conditionalFormatting sqref="AA83">
    <cfRule type="cellIs" dxfId="978" priority="830" operator="equal">
      <formula>"NO CUMPLE"</formula>
    </cfRule>
  </conditionalFormatting>
  <conditionalFormatting sqref="AA83">
    <cfRule type="cellIs" dxfId="977" priority="828" operator="equal">
      <formula>"CUMPLE"</formula>
    </cfRule>
    <cfRule type="cellIs" dxfId="976" priority="829" operator="equal">
      <formula>"NO CUMPLE"</formula>
    </cfRule>
  </conditionalFormatting>
  <conditionalFormatting sqref="AA155">
    <cfRule type="cellIs" dxfId="975" priority="799" stopIfTrue="1" operator="greaterThan">
      <formula>0</formula>
    </cfRule>
  </conditionalFormatting>
  <conditionalFormatting sqref="AA155">
    <cfRule type="cellIs" dxfId="974" priority="798" operator="equal">
      <formula>"NO CUMPLE"</formula>
    </cfRule>
  </conditionalFormatting>
  <conditionalFormatting sqref="AA155">
    <cfRule type="cellIs" dxfId="973" priority="796" operator="equal">
      <formula>"CUMPLE"</formula>
    </cfRule>
    <cfRule type="cellIs" dxfId="972" priority="797" operator="equal">
      <formula>"NO CUMPLE"</formula>
    </cfRule>
  </conditionalFormatting>
  <conditionalFormatting sqref="AA281">
    <cfRule type="cellIs" dxfId="971" priority="743" stopIfTrue="1" operator="greaterThan">
      <formula>0</formula>
    </cfRule>
  </conditionalFormatting>
  <conditionalFormatting sqref="AA281">
    <cfRule type="cellIs" dxfId="970" priority="742" operator="equal">
      <formula>"NO CUMPLE"</formula>
    </cfRule>
  </conditionalFormatting>
  <conditionalFormatting sqref="AA281">
    <cfRule type="cellIs" dxfId="969" priority="740" operator="equal">
      <formula>"CUMPLE"</formula>
    </cfRule>
    <cfRule type="cellIs" dxfId="968" priority="741" operator="equal">
      <formula>"NO CUMPLE"</formula>
    </cfRule>
  </conditionalFormatting>
  <conditionalFormatting sqref="AA479 AA461 AA443 AA425 AA407 AA389 AA371 AA353 AA335 AA317">
    <cfRule type="cellIs" dxfId="967" priority="727" stopIfTrue="1" operator="greaterThan">
      <formula>0</formula>
    </cfRule>
  </conditionalFormatting>
  <conditionalFormatting sqref="AA479 AA461 AA443 AA425 AA407 AA389 AA371 AA353 AA335 AA317">
    <cfRule type="cellIs" dxfId="966" priority="726" operator="equal">
      <formula>"NO CUMPLE"</formula>
    </cfRule>
  </conditionalFormatting>
  <conditionalFormatting sqref="AA479 AA461 AA443 AA425 AA407 AA389 AA371 AA353 AA335 AA317">
    <cfRule type="cellIs" dxfId="965" priority="724" operator="equal">
      <formula>"CUMPLE"</formula>
    </cfRule>
    <cfRule type="cellIs" dxfId="964" priority="725" operator="equal">
      <formula>"NO CUMPLE"</formula>
    </cfRule>
  </conditionalFormatting>
  <conditionalFormatting sqref="AA659 AA641 AA623 AA605 AA587 AA569 AA551 AA533 AA515">
    <cfRule type="cellIs" dxfId="963" priority="711" stopIfTrue="1" operator="greaterThan">
      <formula>0</formula>
    </cfRule>
  </conditionalFormatting>
  <conditionalFormatting sqref="AA659 AA641 AA623 AA605 AA587 AA569 AA551 AA533 AA515">
    <cfRule type="cellIs" dxfId="962" priority="710" operator="equal">
      <formula>"NO CUMPLE"</formula>
    </cfRule>
  </conditionalFormatting>
  <conditionalFormatting sqref="AA659 AA641 AA623 AA605 AA587 AA569 AA551 AA533 AA515">
    <cfRule type="cellIs" dxfId="961" priority="708" operator="equal">
      <formula>"CUMPLE"</formula>
    </cfRule>
    <cfRule type="cellIs" dxfId="960" priority="709" operator="equal">
      <formula>"NO CUMPLE"</formula>
    </cfRule>
  </conditionalFormatting>
  <conditionalFormatting sqref="AA101">
    <cfRule type="cellIs" dxfId="959" priority="823" stopIfTrue="1" operator="greaterThan">
      <formula>0</formula>
    </cfRule>
  </conditionalFormatting>
  <conditionalFormatting sqref="AA101">
    <cfRule type="cellIs" dxfId="958" priority="822" operator="equal">
      <formula>"NO CUMPLE"</formula>
    </cfRule>
  </conditionalFormatting>
  <conditionalFormatting sqref="AA101">
    <cfRule type="cellIs" dxfId="957" priority="820" operator="equal">
      <formula>"CUMPLE"</formula>
    </cfRule>
    <cfRule type="cellIs" dxfId="956" priority="821" operator="equal">
      <formula>"NO CUMPLE"</formula>
    </cfRule>
  </conditionalFormatting>
  <conditionalFormatting sqref="AA119">
    <cfRule type="cellIs" dxfId="955" priority="815" stopIfTrue="1" operator="greaterThan">
      <formula>0</formula>
    </cfRule>
  </conditionalFormatting>
  <conditionalFormatting sqref="AA119">
    <cfRule type="cellIs" dxfId="954" priority="814" operator="equal">
      <formula>"NO CUMPLE"</formula>
    </cfRule>
  </conditionalFormatting>
  <conditionalFormatting sqref="AA119">
    <cfRule type="cellIs" dxfId="953" priority="812" operator="equal">
      <formula>"CUMPLE"</formula>
    </cfRule>
    <cfRule type="cellIs" dxfId="952" priority="813" operator="equal">
      <formula>"NO CUMPLE"</formula>
    </cfRule>
  </conditionalFormatting>
  <conditionalFormatting sqref="AA137">
    <cfRule type="cellIs" dxfId="951" priority="807" stopIfTrue="1" operator="greaterThan">
      <formula>0</formula>
    </cfRule>
  </conditionalFormatting>
  <conditionalFormatting sqref="AA137">
    <cfRule type="cellIs" dxfId="950" priority="806" operator="equal">
      <formula>"NO CUMPLE"</formula>
    </cfRule>
  </conditionalFormatting>
  <conditionalFormatting sqref="AA137">
    <cfRule type="cellIs" dxfId="949" priority="804" operator="equal">
      <formula>"CUMPLE"</formula>
    </cfRule>
    <cfRule type="cellIs" dxfId="948" priority="805" operator="equal">
      <formula>"NO CUMPLE"</formula>
    </cfRule>
  </conditionalFormatting>
  <conditionalFormatting sqref="AA173">
    <cfRule type="cellIs" dxfId="947" priority="791" stopIfTrue="1" operator="greaterThan">
      <formula>0</formula>
    </cfRule>
  </conditionalFormatting>
  <conditionalFormatting sqref="AA173">
    <cfRule type="cellIs" dxfId="946" priority="790" operator="equal">
      <formula>"NO CUMPLE"</formula>
    </cfRule>
  </conditionalFormatting>
  <conditionalFormatting sqref="AA173">
    <cfRule type="cellIs" dxfId="945" priority="788" operator="equal">
      <formula>"CUMPLE"</formula>
    </cfRule>
    <cfRule type="cellIs" dxfId="944" priority="789" operator="equal">
      <formula>"NO CUMPLE"</formula>
    </cfRule>
  </conditionalFormatting>
  <conditionalFormatting sqref="AA191">
    <cfRule type="cellIs" dxfId="943" priority="783" stopIfTrue="1" operator="greaterThan">
      <formula>0</formula>
    </cfRule>
  </conditionalFormatting>
  <conditionalFormatting sqref="AA191">
    <cfRule type="cellIs" dxfId="942" priority="782" operator="equal">
      <formula>"NO CUMPLE"</formula>
    </cfRule>
  </conditionalFormatting>
  <conditionalFormatting sqref="AA191">
    <cfRule type="cellIs" dxfId="941" priority="780" operator="equal">
      <formula>"CUMPLE"</formula>
    </cfRule>
    <cfRule type="cellIs" dxfId="940" priority="781" operator="equal">
      <formula>"NO CUMPLE"</formula>
    </cfRule>
  </conditionalFormatting>
  <conditionalFormatting sqref="AA209">
    <cfRule type="cellIs" dxfId="939" priority="775" stopIfTrue="1" operator="greaterThan">
      <formula>0</formula>
    </cfRule>
  </conditionalFormatting>
  <conditionalFormatting sqref="AA209">
    <cfRule type="cellIs" dxfId="938" priority="774" operator="equal">
      <formula>"NO CUMPLE"</formula>
    </cfRule>
  </conditionalFormatting>
  <conditionalFormatting sqref="AA209">
    <cfRule type="cellIs" dxfId="937" priority="772" operator="equal">
      <formula>"CUMPLE"</formula>
    </cfRule>
    <cfRule type="cellIs" dxfId="936" priority="773" operator="equal">
      <formula>"NO CUMPLE"</formula>
    </cfRule>
  </conditionalFormatting>
  <conditionalFormatting sqref="AA227">
    <cfRule type="cellIs" dxfId="935" priority="767" stopIfTrue="1" operator="greaterThan">
      <formula>0</formula>
    </cfRule>
  </conditionalFormatting>
  <conditionalFormatting sqref="AA227">
    <cfRule type="cellIs" dxfId="934" priority="766" operator="equal">
      <formula>"NO CUMPLE"</formula>
    </cfRule>
  </conditionalFormatting>
  <conditionalFormatting sqref="AA227">
    <cfRule type="cellIs" dxfId="933" priority="764" operator="equal">
      <formula>"CUMPLE"</formula>
    </cfRule>
    <cfRule type="cellIs" dxfId="932" priority="765" operator="equal">
      <formula>"NO CUMPLE"</formula>
    </cfRule>
  </conditionalFormatting>
  <conditionalFormatting sqref="AA245">
    <cfRule type="cellIs" dxfId="931" priority="759" stopIfTrue="1" operator="greaterThan">
      <formula>0</formula>
    </cfRule>
  </conditionalFormatting>
  <conditionalFormatting sqref="AA245">
    <cfRule type="cellIs" dxfId="930" priority="758" operator="equal">
      <formula>"NO CUMPLE"</formula>
    </cfRule>
  </conditionalFormatting>
  <conditionalFormatting sqref="AA245">
    <cfRule type="cellIs" dxfId="929" priority="756" operator="equal">
      <formula>"CUMPLE"</formula>
    </cfRule>
    <cfRule type="cellIs" dxfId="928" priority="757" operator="equal">
      <formula>"NO CUMPLE"</formula>
    </cfRule>
  </conditionalFormatting>
  <conditionalFormatting sqref="AA263">
    <cfRule type="cellIs" dxfId="927" priority="751" stopIfTrue="1" operator="greaterThan">
      <formula>0</formula>
    </cfRule>
  </conditionalFormatting>
  <conditionalFormatting sqref="AA263">
    <cfRule type="cellIs" dxfId="926" priority="750" operator="equal">
      <formula>"NO CUMPLE"</formula>
    </cfRule>
  </conditionalFormatting>
  <conditionalFormatting sqref="AA263">
    <cfRule type="cellIs" dxfId="925" priority="748" operator="equal">
      <formula>"CUMPLE"</formula>
    </cfRule>
    <cfRule type="cellIs" dxfId="924" priority="749" operator="equal">
      <formula>"NO CUMPLE"</formula>
    </cfRule>
  </conditionalFormatting>
  <conditionalFormatting sqref="AA299">
    <cfRule type="cellIs" dxfId="923" priority="735" stopIfTrue="1" operator="greaterThan">
      <formula>0</formula>
    </cfRule>
  </conditionalFormatting>
  <conditionalFormatting sqref="AA299">
    <cfRule type="cellIs" dxfId="922" priority="734" operator="equal">
      <formula>"NO CUMPLE"</formula>
    </cfRule>
  </conditionalFormatting>
  <conditionalFormatting sqref="AA299">
    <cfRule type="cellIs" dxfId="921" priority="732" operator="equal">
      <formula>"CUMPLE"</formula>
    </cfRule>
    <cfRule type="cellIs" dxfId="920" priority="733" operator="equal">
      <formula>"NO CUMPLE"</formula>
    </cfRule>
  </conditionalFormatting>
  <conditionalFormatting sqref="AA497">
    <cfRule type="cellIs" dxfId="919" priority="719" stopIfTrue="1" operator="greaterThan">
      <formula>0</formula>
    </cfRule>
  </conditionalFormatting>
  <conditionalFormatting sqref="AA497">
    <cfRule type="cellIs" dxfId="918" priority="718" operator="equal">
      <formula>"NO CUMPLE"</formula>
    </cfRule>
  </conditionalFormatting>
  <conditionalFormatting sqref="AA497">
    <cfRule type="cellIs" dxfId="917" priority="716" operator="equal">
      <formula>"CUMPLE"</formula>
    </cfRule>
    <cfRule type="cellIs" dxfId="916" priority="717" operator="equal">
      <formula>"NO CUMPLE"</formula>
    </cfRule>
  </conditionalFormatting>
  <conditionalFormatting sqref="Q22">
    <cfRule type="cellIs" dxfId="915" priority="707" stopIfTrue="1" operator="greaterThan">
      <formula>0</formula>
    </cfRule>
  </conditionalFormatting>
  <conditionalFormatting sqref="Q22">
    <cfRule type="cellIs" dxfId="914" priority="706" operator="equal">
      <formula>"NO CUMPLE"</formula>
    </cfRule>
  </conditionalFormatting>
  <conditionalFormatting sqref="Q22">
    <cfRule type="cellIs" dxfId="913" priority="703" operator="equal">
      <formula>"NO CUMPLE"</formula>
    </cfRule>
    <cfRule type="cellIs" dxfId="912" priority="704" stopIfTrue="1" operator="equal">
      <formula>0</formula>
    </cfRule>
    <cfRule type="cellIs" dxfId="911" priority="705" operator="equal">
      <formula>"CUMPLE"</formula>
    </cfRule>
  </conditionalFormatting>
  <conditionalFormatting sqref="Q23:Q28">
    <cfRule type="cellIs" dxfId="910" priority="702" stopIfTrue="1" operator="greaterThan">
      <formula>0</formula>
    </cfRule>
  </conditionalFormatting>
  <conditionalFormatting sqref="Q23:Q28">
    <cfRule type="cellIs" dxfId="909" priority="701" operator="equal">
      <formula>"NO CUMPLE"</formula>
    </cfRule>
  </conditionalFormatting>
  <conditionalFormatting sqref="Q23:Q28">
    <cfRule type="cellIs" dxfId="908" priority="698" operator="equal">
      <formula>"NO CUMPLE"</formula>
    </cfRule>
    <cfRule type="cellIs" dxfId="907" priority="699" stopIfTrue="1" operator="equal">
      <formula>0</formula>
    </cfRule>
    <cfRule type="cellIs" dxfId="906" priority="700" operator="equal">
      <formula>"CUMPLE"</formula>
    </cfRule>
  </conditionalFormatting>
  <conditionalFormatting sqref="R23:R25">
    <cfRule type="cellIs" dxfId="905" priority="697" stopIfTrue="1" operator="greaterThan">
      <formula>0</formula>
    </cfRule>
  </conditionalFormatting>
  <conditionalFormatting sqref="R23:R25">
    <cfRule type="cellIs" dxfId="904" priority="695" operator="equal">
      <formula>"CUMPLE"</formula>
    </cfRule>
    <cfRule type="cellIs" dxfId="903" priority="696" operator="equal">
      <formula>"NO CUMPLE"</formula>
    </cfRule>
  </conditionalFormatting>
  <conditionalFormatting sqref="R23:R25">
    <cfRule type="cellIs" dxfId="902" priority="693" stopIfTrue="1" operator="equal">
      <formula>0</formula>
    </cfRule>
  </conditionalFormatting>
  <conditionalFormatting sqref="R23:R25">
    <cfRule type="cellIs" dxfId="901" priority="694" operator="equal">
      <formula>"CUMPLE"</formula>
    </cfRule>
  </conditionalFormatting>
  <conditionalFormatting sqref="AB21:AC21 AB20">
    <cfRule type="cellIs" dxfId="900" priority="692" stopIfTrue="1" operator="greaterThan">
      <formula>0</formula>
    </cfRule>
  </conditionalFormatting>
  <conditionalFormatting sqref="AB28:AC28">
    <cfRule type="cellIs" dxfId="899" priority="689" operator="equal">
      <formula>"NO CUMPLE"</formula>
    </cfRule>
    <cfRule type="cellIs" dxfId="898" priority="690" operator="equal">
      <formula>"CUMPLE"</formula>
    </cfRule>
    <cfRule type="cellIs" dxfId="897" priority="691" operator="equal">
      <formula>""""""</formula>
    </cfRule>
  </conditionalFormatting>
  <conditionalFormatting sqref="AB29">
    <cfRule type="cellIs" dxfId="896" priority="688" stopIfTrue="1" operator="greaterThan">
      <formula>0</formula>
    </cfRule>
  </conditionalFormatting>
  <conditionalFormatting sqref="AB29">
    <cfRule type="cellIs" dxfId="895" priority="687" operator="equal">
      <formula>"NO CUMPLE"</formula>
    </cfRule>
  </conditionalFormatting>
  <conditionalFormatting sqref="AF22:AF660 W30:AC36 W29:AB29 W22:AC28 W39:AC46 W38:AB38 W57:AC64 W56:AB56 W75:AC82 W74:AB74 W93:AC100 W92:AB92 W111:AC118 W110:AB110 W129:AC136 W128:AB128 W147:AC154 W146:AB146 W138:AC144 W137:AB137 W120:AC126 W119:AB119 W48:AC54 W47:AB47 W66:AC72 W65:AB65 W84:AC90 W83:AB83 W102:AC108 W101:AB101 W165:AC172 W164:AB164 W174:AC180 W173:AB173 W182:AB182 W192:AC198 W191:AB191 W201:AC208 W200:AB200 W210:AC216 W209:AB209 W218:AB218 W228:AC234 W227:AB227 W237:AC244 W236:AB236 W246:AC252 W245:AB245 W255:AC262 W254:AB254 W264:AC270 W263:AB263 W273:AC280 W272:AB272 W282:AC288 W281:AB281 W291:AC298 W290:AB290 W300:AC306 W299:AB299 W309:AC316 W308:AB308 W318:AC324 W317:AB317 W327:AC334 W326:AB326 W336:AC342 W335:AB335 W345:AC352 W344:AB344 W354:AC360 W353:AB353 W363:AC370 W362:AB362 W372:AC378 W371:AB371 W381:AC388 W380:AB380 W390:AC396 W389:AB389 W399:AC406 W398:AB398 W408:AC414 W407:AB407 W417:AC424 W416:AB416 W426:AC432 W425:AB425 W435:AC442 W434:AB434 W444:AC450 W443:AB443 W453:AC460 W452:AB452 W462:AC468 W461:AB461 W471:AC478 W470:AB470 W480:AC486 W479:AB479 W489:AC496 W488:AB488 W498:AC504 W497:AB497 W507:AC514 W506:AB506 W516:AC522 W515:AB515 W525:AC532 W524:AB524 W534:AC540 W533:AB533 W543:AC550 W542:AB542 W552:AC558 W551:AB551 W561:AC568 W560:AB560 W570:AC576 W569:AB569 W579:AC586 W578:AB578 W588:AC594 W587:AB587 W597:AC604 W596:AB596 W606:AC612 W605:AB605 W615:AC622 W614:AB614 W624:AC630 W623:AB623 W633:AC640 W632:AB632 W642:AC648 W641:AB641 W651:AC658 W650:AB650 W660:AC660 W659:AB659 W183:AC190 W156:AC162 W155:AB155">
    <cfRule type="cellIs" dxfId="894" priority="685" operator="equal">
      <formula>"CUMPLE"</formula>
    </cfRule>
    <cfRule type="cellIs" dxfId="893" priority="686" operator="equal">
      <formula>"NO CUMPLE"</formula>
    </cfRule>
  </conditionalFormatting>
  <conditionalFormatting sqref="AB39:AC39 AB38">
    <cfRule type="cellIs" dxfId="892" priority="684" stopIfTrue="1" operator="greaterThan">
      <formula>0</formula>
    </cfRule>
  </conditionalFormatting>
  <conditionalFormatting sqref="AB46:AC46">
    <cfRule type="cellIs" dxfId="891" priority="681" operator="equal">
      <formula>"NO CUMPLE"</formula>
    </cfRule>
    <cfRule type="cellIs" dxfId="890" priority="682" operator="equal">
      <formula>"CUMPLE"</formula>
    </cfRule>
    <cfRule type="cellIs" dxfId="889" priority="683" operator="equal">
      <formula>""""""</formula>
    </cfRule>
  </conditionalFormatting>
  <conditionalFormatting sqref="AB47">
    <cfRule type="cellIs" dxfId="888" priority="680" stopIfTrue="1" operator="greaterThan">
      <formula>0</formula>
    </cfRule>
  </conditionalFormatting>
  <conditionalFormatting sqref="AB47">
    <cfRule type="cellIs" dxfId="887" priority="679" operator="equal">
      <formula>"NO CUMPLE"</formula>
    </cfRule>
  </conditionalFormatting>
  <conditionalFormatting sqref="AB40:AC46 AB47">
    <cfRule type="cellIs" dxfId="886" priority="677" operator="equal">
      <formula>"CUMPLE"</formula>
    </cfRule>
    <cfRule type="cellIs" dxfId="885" priority="678" operator="equal">
      <formula>"NO CUMPLE"</formula>
    </cfRule>
  </conditionalFormatting>
  <conditionalFormatting sqref="AB57:AC57 AB56">
    <cfRule type="cellIs" dxfId="884" priority="676" stopIfTrue="1" operator="greaterThan">
      <formula>0</formula>
    </cfRule>
  </conditionalFormatting>
  <conditionalFormatting sqref="AB64:AC64">
    <cfRule type="cellIs" dxfId="883" priority="673" operator="equal">
      <formula>"NO CUMPLE"</formula>
    </cfRule>
    <cfRule type="cellIs" dxfId="882" priority="674" operator="equal">
      <formula>"CUMPLE"</formula>
    </cfRule>
    <cfRule type="cellIs" dxfId="881" priority="675" operator="equal">
      <formula>""""""</formula>
    </cfRule>
  </conditionalFormatting>
  <conditionalFormatting sqref="AB65">
    <cfRule type="cellIs" dxfId="880" priority="672" stopIfTrue="1" operator="greaterThan">
      <formula>0</formula>
    </cfRule>
  </conditionalFormatting>
  <conditionalFormatting sqref="AB65">
    <cfRule type="cellIs" dxfId="879" priority="671" operator="equal">
      <formula>"NO CUMPLE"</formula>
    </cfRule>
  </conditionalFormatting>
  <conditionalFormatting sqref="AB58:AC64 AB65">
    <cfRule type="cellIs" dxfId="878" priority="669" operator="equal">
      <formula>"CUMPLE"</formula>
    </cfRule>
    <cfRule type="cellIs" dxfId="877" priority="670" operator="equal">
      <formula>"NO CUMPLE"</formula>
    </cfRule>
  </conditionalFormatting>
  <conditionalFormatting sqref="AB75:AC75 AB74">
    <cfRule type="cellIs" dxfId="876" priority="668" stopIfTrue="1" operator="greaterThan">
      <formula>0</formula>
    </cfRule>
  </conditionalFormatting>
  <conditionalFormatting sqref="AB82:AC82">
    <cfRule type="cellIs" dxfId="875" priority="665" operator="equal">
      <formula>"NO CUMPLE"</formula>
    </cfRule>
    <cfRule type="cellIs" dxfId="874" priority="666" operator="equal">
      <formula>"CUMPLE"</formula>
    </cfRule>
    <cfRule type="cellIs" dxfId="873" priority="667" operator="equal">
      <formula>""""""</formula>
    </cfRule>
  </conditionalFormatting>
  <conditionalFormatting sqref="AB83">
    <cfRule type="cellIs" dxfId="872" priority="664" stopIfTrue="1" operator="greaterThan">
      <formula>0</formula>
    </cfRule>
  </conditionalFormatting>
  <conditionalFormatting sqref="AB83">
    <cfRule type="cellIs" dxfId="871" priority="663" operator="equal">
      <formula>"NO CUMPLE"</formula>
    </cfRule>
  </conditionalFormatting>
  <conditionalFormatting sqref="AB76:AC82 AB83">
    <cfRule type="cellIs" dxfId="870" priority="661" operator="equal">
      <formula>"CUMPLE"</formula>
    </cfRule>
    <cfRule type="cellIs" dxfId="869" priority="662" operator="equal">
      <formula>"NO CUMPLE"</formula>
    </cfRule>
  </conditionalFormatting>
  <conditionalFormatting sqref="AB93:AC93 AB92">
    <cfRule type="cellIs" dxfId="868" priority="660" stopIfTrue="1" operator="greaterThan">
      <formula>0</formula>
    </cfRule>
  </conditionalFormatting>
  <conditionalFormatting sqref="AB100:AC100">
    <cfRule type="cellIs" dxfId="867" priority="657" operator="equal">
      <formula>"NO CUMPLE"</formula>
    </cfRule>
    <cfRule type="cellIs" dxfId="866" priority="658" operator="equal">
      <formula>"CUMPLE"</formula>
    </cfRule>
    <cfRule type="cellIs" dxfId="865" priority="659" operator="equal">
      <formula>""""""</formula>
    </cfRule>
  </conditionalFormatting>
  <conditionalFormatting sqref="AB101">
    <cfRule type="cellIs" dxfId="864" priority="656" stopIfTrue="1" operator="greaterThan">
      <formula>0</formula>
    </cfRule>
  </conditionalFormatting>
  <conditionalFormatting sqref="AB101">
    <cfRule type="cellIs" dxfId="863" priority="655" operator="equal">
      <formula>"NO CUMPLE"</formula>
    </cfRule>
  </conditionalFormatting>
  <conditionalFormatting sqref="AB94:AC100 AB101">
    <cfRule type="cellIs" dxfId="862" priority="653" operator="equal">
      <formula>"CUMPLE"</formula>
    </cfRule>
    <cfRule type="cellIs" dxfId="861" priority="654" operator="equal">
      <formula>"NO CUMPLE"</formula>
    </cfRule>
  </conditionalFormatting>
  <conditionalFormatting sqref="AB111:AC111 AB110">
    <cfRule type="cellIs" dxfId="860" priority="652" stopIfTrue="1" operator="greaterThan">
      <formula>0</formula>
    </cfRule>
  </conditionalFormatting>
  <conditionalFormatting sqref="AB118:AC118">
    <cfRule type="cellIs" dxfId="859" priority="649" operator="equal">
      <formula>"NO CUMPLE"</formula>
    </cfRule>
    <cfRule type="cellIs" dxfId="858" priority="650" operator="equal">
      <formula>"CUMPLE"</formula>
    </cfRule>
    <cfRule type="cellIs" dxfId="857" priority="651" operator="equal">
      <formula>""""""</formula>
    </cfRule>
  </conditionalFormatting>
  <conditionalFormatting sqref="AB119">
    <cfRule type="cellIs" dxfId="856" priority="648" stopIfTrue="1" operator="greaterThan">
      <formula>0</formula>
    </cfRule>
  </conditionalFormatting>
  <conditionalFormatting sqref="AB119">
    <cfRule type="cellIs" dxfId="855" priority="647" operator="equal">
      <formula>"NO CUMPLE"</formula>
    </cfRule>
  </conditionalFormatting>
  <conditionalFormatting sqref="AB112:AC118 AB119">
    <cfRule type="cellIs" dxfId="854" priority="645" operator="equal">
      <formula>"CUMPLE"</formula>
    </cfRule>
    <cfRule type="cellIs" dxfId="853" priority="646" operator="equal">
      <formula>"NO CUMPLE"</formula>
    </cfRule>
  </conditionalFormatting>
  <conditionalFormatting sqref="AB129:AC129 AB128">
    <cfRule type="cellIs" dxfId="852" priority="644" stopIfTrue="1" operator="greaterThan">
      <formula>0</formula>
    </cfRule>
  </conditionalFormatting>
  <conditionalFormatting sqref="AB136:AC136">
    <cfRule type="cellIs" dxfId="851" priority="641" operator="equal">
      <formula>"NO CUMPLE"</formula>
    </cfRule>
    <cfRule type="cellIs" dxfId="850" priority="642" operator="equal">
      <formula>"CUMPLE"</formula>
    </cfRule>
    <cfRule type="cellIs" dxfId="849" priority="643" operator="equal">
      <formula>""""""</formula>
    </cfRule>
  </conditionalFormatting>
  <conditionalFormatting sqref="AB137">
    <cfRule type="cellIs" dxfId="848" priority="640" stopIfTrue="1" operator="greaterThan">
      <formula>0</formula>
    </cfRule>
  </conditionalFormatting>
  <conditionalFormatting sqref="AB137">
    <cfRule type="cellIs" dxfId="847" priority="639" operator="equal">
      <formula>"NO CUMPLE"</formula>
    </cfRule>
  </conditionalFormatting>
  <conditionalFormatting sqref="AB130:AC136 AB137">
    <cfRule type="cellIs" dxfId="846" priority="637" operator="equal">
      <formula>"CUMPLE"</formula>
    </cfRule>
    <cfRule type="cellIs" dxfId="845" priority="638" operator="equal">
      <formula>"NO CUMPLE"</formula>
    </cfRule>
  </conditionalFormatting>
  <conditionalFormatting sqref="AB147:AC147 AB146">
    <cfRule type="cellIs" dxfId="844" priority="636" stopIfTrue="1" operator="greaterThan">
      <formula>0</formula>
    </cfRule>
  </conditionalFormatting>
  <conditionalFormatting sqref="AB154:AC154">
    <cfRule type="cellIs" dxfId="843" priority="633" operator="equal">
      <formula>"NO CUMPLE"</formula>
    </cfRule>
    <cfRule type="cellIs" dxfId="842" priority="634" operator="equal">
      <formula>"CUMPLE"</formula>
    </cfRule>
    <cfRule type="cellIs" dxfId="841" priority="635" operator="equal">
      <formula>""""""</formula>
    </cfRule>
  </conditionalFormatting>
  <conditionalFormatting sqref="AB155">
    <cfRule type="cellIs" dxfId="840" priority="632" stopIfTrue="1" operator="greaterThan">
      <formula>0</formula>
    </cfRule>
  </conditionalFormatting>
  <conditionalFormatting sqref="AB155">
    <cfRule type="cellIs" dxfId="839" priority="631" operator="equal">
      <formula>"NO CUMPLE"</formula>
    </cfRule>
  </conditionalFormatting>
  <conditionalFormatting sqref="AB148:AC154 AB155">
    <cfRule type="cellIs" dxfId="838" priority="629" operator="equal">
      <formula>"CUMPLE"</formula>
    </cfRule>
    <cfRule type="cellIs" dxfId="837" priority="630" operator="equal">
      <formula>"NO CUMPLE"</formula>
    </cfRule>
  </conditionalFormatting>
  <conditionalFormatting sqref="AB165:AC165 AB164">
    <cfRule type="cellIs" dxfId="836" priority="628" stopIfTrue="1" operator="greaterThan">
      <formula>0</formula>
    </cfRule>
  </conditionalFormatting>
  <conditionalFormatting sqref="AB172:AC172">
    <cfRule type="cellIs" dxfId="835" priority="625" operator="equal">
      <formula>"NO CUMPLE"</formula>
    </cfRule>
    <cfRule type="cellIs" dxfId="834" priority="626" operator="equal">
      <formula>"CUMPLE"</formula>
    </cfRule>
    <cfRule type="cellIs" dxfId="833" priority="627" operator="equal">
      <formula>""""""</formula>
    </cfRule>
  </conditionalFormatting>
  <conditionalFormatting sqref="AB173">
    <cfRule type="cellIs" dxfId="832" priority="624" stopIfTrue="1" operator="greaterThan">
      <formula>0</formula>
    </cfRule>
  </conditionalFormatting>
  <conditionalFormatting sqref="AB173">
    <cfRule type="cellIs" dxfId="831" priority="623" operator="equal">
      <formula>"NO CUMPLE"</formula>
    </cfRule>
  </conditionalFormatting>
  <conditionalFormatting sqref="AB166:AC172 AB173">
    <cfRule type="cellIs" dxfId="830" priority="621" operator="equal">
      <formula>"CUMPLE"</formula>
    </cfRule>
    <cfRule type="cellIs" dxfId="829" priority="622" operator="equal">
      <formula>"NO CUMPLE"</formula>
    </cfRule>
  </conditionalFormatting>
  <conditionalFormatting sqref="AB183:AC183 AB182">
    <cfRule type="cellIs" dxfId="828" priority="620" stopIfTrue="1" operator="greaterThan">
      <formula>0</formula>
    </cfRule>
  </conditionalFormatting>
  <conditionalFormatting sqref="AB190:AC190">
    <cfRule type="cellIs" dxfId="827" priority="617" operator="equal">
      <formula>"NO CUMPLE"</formula>
    </cfRule>
    <cfRule type="cellIs" dxfId="826" priority="618" operator="equal">
      <formula>"CUMPLE"</formula>
    </cfRule>
    <cfRule type="cellIs" dxfId="825" priority="619" operator="equal">
      <formula>""""""</formula>
    </cfRule>
  </conditionalFormatting>
  <conditionalFormatting sqref="AB191">
    <cfRule type="cellIs" dxfId="824" priority="616" stopIfTrue="1" operator="greaterThan">
      <formula>0</formula>
    </cfRule>
  </conditionalFormatting>
  <conditionalFormatting sqref="AB191">
    <cfRule type="cellIs" dxfId="823" priority="615" operator="equal">
      <formula>"NO CUMPLE"</formula>
    </cfRule>
  </conditionalFormatting>
  <conditionalFormatting sqref="AB184:AC190 AB191">
    <cfRule type="cellIs" dxfId="822" priority="613" operator="equal">
      <formula>"CUMPLE"</formula>
    </cfRule>
    <cfRule type="cellIs" dxfId="821" priority="614" operator="equal">
      <formula>"NO CUMPLE"</formula>
    </cfRule>
  </conditionalFormatting>
  <conditionalFormatting sqref="AB201:AC201 AB200">
    <cfRule type="cellIs" dxfId="820" priority="612" stopIfTrue="1" operator="greaterThan">
      <formula>0</formula>
    </cfRule>
  </conditionalFormatting>
  <conditionalFormatting sqref="AB208:AC208">
    <cfRule type="cellIs" dxfId="819" priority="609" operator="equal">
      <formula>"NO CUMPLE"</formula>
    </cfRule>
    <cfRule type="cellIs" dxfId="818" priority="610" operator="equal">
      <formula>"CUMPLE"</formula>
    </cfRule>
    <cfRule type="cellIs" dxfId="817" priority="611" operator="equal">
      <formula>""""""</formula>
    </cfRule>
  </conditionalFormatting>
  <conditionalFormatting sqref="AB209">
    <cfRule type="cellIs" dxfId="816" priority="608" stopIfTrue="1" operator="greaterThan">
      <formula>0</formula>
    </cfRule>
  </conditionalFormatting>
  <conditionalFormatting sqref="AB209">
    <cfRule type="cellIs" dxfId="815" priority="607" operator="equal">
      <formula>"NO CUMPLE"</formula>
    </cfRule>
  </conditionalFormatting>
  <conditionalFormatting sqref="AB202:AC208 AB209">
    <cfRule type="cellIs" dxfId="814" priority="605" operator="equal">
      <formula>"CUMPLE"</formula>
    </cfRule>
    <cfRule type="cellIs" dxfId="813" priority="606" operator="equal">
      <formula>"NO CUMPLE"</formula>
    </cfRule>
  </conditionalFormatting>
  <conditionalFormatting sqref="AB219:AC219 AB218">
    <cfRule type="cellIs" dxfId="812" priority="604" stopIfTrue="1" operator="greaterThan">
      <formula>0</formula>
    </cfRule>
  </conditionalFormatting>
  <conditionalFormatting sqref="AB226:AC226">
    <cfRule type="cellIs" dxfId="811" priority="601" operator="equal">
      <formula>"NO CUMPLE"</formula>
    </cfRule>
    <cfRule type="cellIs" dxfId="810" priority="602" operator="equal">
      <formula>"CUMPLE"</formula>
    </cfRule>
    <cfRule type="cellIs" dxfId="809" priority="603" operator="equal">
      <formula>""""""</formula>
    </cfRule>
  </conditionalFormatting>
  <conditionalFormatting sqref="AB227">
    <cfRule type="cellIs" dxfId="808" priority="600" stopIfTrue="1" operator="greaterThan">
      <formula>0</formula>
    </cfRule>
  </conditionalFormatting>
  <conditionalFormatting sqref="AB227">
    <cfRule type="cellIs" dxfId="807" priority="599" operator="equal">
      <formula>"NO CUMPLE"</formula>
    </cfRule>
  </conditionalFormatting>
  <conditionalFormatting sqref="AB227">
    <cfRule type="cellIs" dxfId="806" priority="597" operator="equal">
      <formula>"CUMPLE"</formula>
    </cfRule>
    <cfRule type="cellIs" dxfId="805" priority="598" operator="equal">
      <formula>"NO CUMPLE"</formula>
    </cfRule>
  </conditionalFormatting>
  <conditionalFormatting sqref="AB237:AC237 AB236">
    <cfRule type="cellIs" dxfId="804" priority="596" stopIfTrue="1" operator="greaterThan">
      <formula>0</formula>
    </cfRule>
  </conditionalFormatting>
  <conditionalFormatting sqref="AB244:AC244">
    <cfRule type="cellIs" dxfId="803" priority="593" operator="equal">
      <formula>"NO CUMPLE"</formula>
    </cfRule>
    <cfRule type="cellIs" dxfId="802" priority="594" operator="equal">
      <formula>"CUMPLE"</formula>
    </cfRule>
    <cfRule type="cellIs" dxfId="801" priority="595" operator="equal">
      <formula>""""""</formula>
    </cfRule>
  </conditionalFormatting>
  <conditionalFormatting sqref="AB245">
    <cfRule type="cellIs" dxfId="800" priority="592" stopIfTrue="1" operator="greaterThan">
      <formula>0</formula>
    </cfRule>
  </conditionalFormatting>
  <conditionalFormatting sqref="AB245">
    <cfRule type="cellIs" dxfId="799" priority="591" operator="equal">
      <formula>"NO CUMPLE"</formula>
    </cfRule>
  </conditionalFormatting>
  <conditionalFormatting sqref="AB238:AC244 AB245">
    <cfRule type="cellIs" dxfId="798" priority="589" operator="equal">
      <formula>"CUMPLE"</formula>
    </cfRule>
    <cfRule type="cellIs" dxfId="797" priority="590" operator="equal">
      <formula>"NO CUMPLE"</formula>
    </cfRule>
  </conditionalFormatting>
  <conditionalFormatting sqref="AB255:AC255 AB254">
    <cfRule type="cellIs" dxfId="796" priority="588" stopIfTrue="1" operator="greaterThan">
      <formula>0</formula>
    </cfRule>
  </conditionalFormatting>
  <conditionalFormatting sqref="AB262:AC262">
    <cfRule type="cellIs" dxfId="795" priority="585" operator="equal">
      <formula>"NO CUMPLE"</formula>
    </cfRule>
    <cfRule type="cellIs" dxfId="794" priority="586" operator="equal">
      <formula>"CUMPLE"</formula>
    </cfRule>
    <cfRule type="cellIs" dxfId="793" priority="587" operator="equal">
      <formula>""""""</formula>
    </cfRule>
  </conditionalFormatting>
  <conditionalFormatting sqref="AB263">
    <cfRule type="cellIs" dxfId="792" priority="584" stopIfTrue="1" operator="greaterThan">
      <formula>0</formula>
    </cfRule>
  </conditionalFormatting>
  <conditionalFormatting sqref="AB263">
    <cfRule type="cellIs" dxfId="791" priority="583" operator="equal">
      <formula>"NO CUMPLE"</formula>
    </cfRule>
  </conditionalFormatting>
  <conditionalFormatting sqref="AB256:AC262 AB263">
    <cfRule type="cellIs" dxfId="790" priority="581" operator="equal">
      <formula>"CUMPLE"</formula>
    </cfRule>
    <cfRule type="cellIs" dxfId="789" priority="582" operator="equal">
      <formula>"NO CUMPLE"</formula>
    </cfRule>
  </conditionalFormatting>
  <conditionalFormatting sqref="AB273:AC273 AB272">
    <cfRule type="cellIs" dxfId="788" priority="580" stopIfTrue="1" operator="greaterThan">
      <formula>0</formula>
    </cfRule>
  </conditionalFormatting>
  <conditionalFormatting sqref="AB280:AC280">
    <cfRule type="cellIs" dxfId="787" priority="577" operator="equal">
      <formula>"NO CUMPLE"</formula>
    </cfRule>
    <cfRule type="cellIs" dxfId="786" priority="578" operator="equal">
      <formula>"CUMPLE"</formula>
    </cfRule>
    <cfRule type="cellIs" dxfId="785" priority="579" operator="equal">
      <formula>""""""</formula>
    </cfRule>
  </conditionalFormatting>
  <conditionalFormatting sqref="AB281">
    <cfRule type="cellIs" dxfId="784" priority="576" stopIfTrue="1" operator="greaterThan">
      <formula>0</formula>
    </cfRule>
  </conditionalFormatting>
  <conditionalFormatting sqref="AB281">
    <cfRule type="cellIs" dxfId="783" priority="575" operator="equal">
      <formula>"NO CUMPLE"</formula>
    </cfRule>
  </conditionalFormatting>
  <conditionalFormatting sqref="AB274:AC280 AB281">
    <cfRule type="cellIs" dxfId="782" priority="573" operator="equal">
      <formula>"CUMPLE"</formula>
    </cfRule>
    <cfRule type="cellIs" dxfId="781" priority="574" operator="equal">
      <formula>"NO CUMPLE"</formula>
    </cfRule>
  </conditionalFormatting>
  <conditionalFormatting sqref="AB291:AC291 AB290">
    <cfRule type="cellIs" dxfId="780" priority="572" stopIfTrue="1" operator="greaterThan">
      <formula>0</formula>
    </cfRule>
  </conditionalFormatting>
  <conditionalFormatting sqref="AB298:AC298">
    <cfRule type="cellIs" dxfId="779" priority="569" operator="equal">
      <formula>"NO CUMPLE"</formula>
    </cfRule>
    <cfRule type="cellIs" dxfId="778" priority="570" operator="equal">
      <formula>"CUMPLE"</formula>
    </cfRule>
    <cfRule type="cellIs" dxfId="777" priority="571" operator="equal">
      <formula>""""""</formula>
    </cfRule>
  </conditionalFormatting>
  <conditionalFormatting sqref="AB299">
    <cfRule type="cellIs" dxfId="776" priority="568" stopIfTrue="1" operator="greaterThan">
      <formula>0</formula>
    </cfRule>
  </conditionalFormatting>
  <conditionalFormatting sqref="AB299">
    <cfRule type="cellIs" dxfId="775" priority="567" operator="equal">
      <formula>"NO CUMPLE"</formula>
    </cfRule>
  </conditionalFormatting>
  <conditionalFormatting sqref="AB292:AC298 AB299">
    <cfRule type="cellIs" dxfId="774" priority="565" operator="equal">
      <formula>"CUMPLE"</formula>
    </cfRule>
    <cfRule type="cellIs" dxfId="773" priority="566" operator="equal">
      <formula>"NO CUMPLE"</formula>
    </cfRule>
  </conditionalFormatting>
  <conditionalFormatting sqref="AB309:AC309 AB308">
    <cfRule type="cellIs" dxfId="772" priority="564" stopIfTrue="1" operator="greaterThan">
      <formula>0</formula>
    </cfRule>
  </conditionalFormatting>
  <conditionalFormatting sqref="AB316:AC316">
    <cfRule type="cellIs" dxfId="771" priority="561" operator="equal">
      <formula>"NO CUMPLE"</formula>
    </cfRule>
    <cfRule type="cellIs" dxfId="770" priority="562" operator="equal">
      <formula>"CUMPLE"</formula>
    </cfRule>
    <cfRule type="cellIs" dxfId="769" priority="563" operator="equal">
      <formula>""""""</formula>
    </cfRule>
  </conditionalFormatting>
  <conditionalFormatting sqref="AB317">
    <cfRule type="cellIs" dxfId="768" priority="560" stopIfTrue="1" operator="greaterThan">
      <formula>0</formula>
    </cfRule>
  </conditionalFormatting>
  <conditionalFormatting sqref="AB317">
    <cfRule type="cellIs" dxfId="767" priority="559" operator="equal">
      <formula>"NO CUMPLE"</formula>
    </cfRule>
  </conditionalFormatting>
  <conditionalFormatting sqref="AB310:AC316 AB317">
    <cfRule type="cellIs" dxfId="766" priority="557" operator="equal">
      <formula>"CUMPLE"</formula>
    </cfRule>
    <cfRule type="cellIs" dxfId="765" priority="558" operator="equal">
      <formula>"NO CUMPLE"</formula>
    </cfRule>
  </conditionalFormatting>
  <conditionalFormatting sqref="AB327:AC327 AB326">
    <cfRule type="cellIs" dxfId="764" priority="556" stopIfTrue="1" operator="greaterThan">
      <formula>0</formula>
    </cfRule>
  </conditionalFormatting>
  <conditionalFormatting sqref="AB334:AC334">
    <cfRule type="cellIs" dxfId="763" priority="553" operator="equal">
      <formula>"NO CUMPLE"</formula>
    </cfRule>
    <cfRule type="cellIs" dxfId="762" priority="554" operator="equal">
      <formula>"CUMPLE"</formula>
    </cfRule>
    <cfRule type="cellIs" dxfId="761" priority="555" operator="equal">
      <formula>""""""</formula>
    </cfRule>
  </conditionalFormatting>
  <conditionalFormatting sqref="AB335">
    <cfRule type="cellIs" dxfId="760" priority="552" stopIfTrue="1" operator="greaterThan">
      <formula>0</formula>
    </cfRule>
  </conditionalFormatting>
  <conditionalFormatting sqref="AB335">
    <cfRule type="cellIs" dxfId="759" priority="551" operator="equal">
      <formula>"NO CUMPLE"</formula>
    </cfRule>
  </conditionalFormatting>
  <conditionalFormatting sqref="AB328:AC334 AB335">
    <cfRule type="cellIs" dxfId="758" priority="549" operator="equal">
      <formula>"CUMPLE"</formula>
    </cfRule>
    <cfRule type="cellIs" dxfId="757" priority="550" operator="equal">
      <formula>"NO CUMPLE"</formula>
    </cfRule>
  </conditionalFormatting>
  <conditionalFormatting sqref="AB345:AC345 AB344">
    <cfRule type="cellIs" dxfId="756" priority="548" stopIfTrue="1" operator="greaterThan">
      <formula>0</formula>
    </cfRule>
  </conditionalFormatting>
  <conditionalFormatting sqref="AB352:AC352">
    <cfRule type="cellIs" dxfId="755" priority="545" operator="equal">
      <formula>"NO CUMPLE"</formula>
    </cfRule>
    <cfRule type="cellIs" dxfId="754" priority="546" operator="equal">
      <formula>"CUMPLE"</formula>
    </cfRule>
    <cfRule type="cellIs" dxfId="753" priority="547" operator="equal">
      <formula>""""""</formula>
    </cfRule>
  </conditionalFormatting>
  <conditionalFormatting sqref="AB353">
    <cfRule type="cellIs" dxfId="752" priority="544" stopIfTrue="1" operator="greaterThan">
      <formula>0</formula>
    </cfRule>
  </conditionalFormatting>
  <conditionalFormatting sqref="AB353">
    <cfRule type="cellIs" dxfId="751" priority="543" operator="equal">
      <formula>"NO CUMPLE"</formula>
    </cfRule>
  </conditionalFormatting>
  <conditionalFormatting sqref="AB346:AC352 AB353">
    <cfRule type="cellIs" dxfId="750" priority="541" operator="equal">
      <formula>"CUMPLE"</formula>
    </cfRule>
    <cfRule type="cellIs" dxfId="749" priority="542" operator="equal">
      <formula>"NO CUMPLE"</formula>
    </cfRule>
  </conditionalFormatting>
  <conditionalFormatting sqref="AB363:AC363 AB362">
    <cfRule type="cellIs" dxfId="748" priority="540" stopIfTrue="1" operator="greaterThan">
      <formula>0</formula>
    </cfRule>
  </conditionalFormatting>
  <conditionalFormatting sqref="AB370:AC370">
    <cfRule type="cellIs" dxfId="747" priority="537" operator="equal">
      <formula>"NO CUMPLE"</formula>
    </cfRule>
    <cfRule type="cellIs" dxfId="746" priority="538" operator="equal">
      <formula>"CUMPLE"</formula>
    </cfRule>
    <cfRule type="cellIs" dxfId="745" priority="539" operator="equal">
      <formula>""""""</formula>
    </cfRule>
  </conditionalFormatting>
  <conditionalFormatting sqref="AB371">
    <cfRule type="cellIs" dxfId="744" priority="536" stopIfTrue="1" operator="greaterThan">
      <formula>0</formula>
    </cfRule>
  </conditionalFormatting>
  <conditionalFormatting sqref="AB371">
    <cfRule type="cellIs" dxfId="743" priority="535" operator="equal">
      <formula>"NO CUMPLE"</formula>
    </cfRule>
  </conditionalFormatting>
  <conditionalFormatting sqref="AB364:AC370 AB371">
    <cfRule type="cellIs" dxfId="742" priority="533" operator="equal">
      <formula>"CUMPLE"</formula>
    </cfRule>
    <cfRule type="cellIs" dxfId="741" priority="534" operator="equal">
      <formula>"NO CUMPLE"</formula>
    </cfRule>
  </conditionalFormatting>
  <conditionalFormatting sqref="AB381:AC381 AB380">
    <cfRule type="cellIs" dxfId="740" priority="532" stopIfTrue="1" operator="greaterThan">
      <formula>0</formula>
    </cfRule>
  </conditionalFormatting>
  <conditionalFormatting sqref="AB388:AC388">
    <cfRule type="cellIs" dxfId="739" priority="529" operator="equal">
      <formula>"NO CUMPLE"</formula>
    </cfRule>
    <cfRule type="cellIs" dxfId="738" priority="530" operator="equal">
      <formula>"CUMPLE"</formula>
    </cfRule>
    <cfRule type="cellIs" dxfId="737" priority="531" operator="equal">
      <formula>""""""</formula>
    </cfRule>
  </conditionalFormatting>
  <conditionalFormatting sqref="AB389">
    <cfRule type="cellIs" dxfId="736" priority="528" stopIfTrue="1" operator="greaterThan">
      <formula>0</formula>
    </cfRule>
  </conditionalFormatting>
  <conditionalFormatting sqref="AB389">
    <cfRule type="cellIs" dxfId="735" priority="527" operator="equal">
      <formula>"NO CUMPLE"</formula>
    </cfRule>
  </conditionalFormatting>
  <conditionalFormatting sqref="AB382:AC388 AB389">
    <cfRule type="cellIs" dxfId="734" priority="525" operator="equal">
      <formula>"CUMPLE"</formula>
    </cfRule>
    <cfRule type="cellIs" dxfId="733" priority="526" operator="equal">
      <formula>"NO CUMPLE"</formula>
    </cfRule>
  </conditionalFormatting>
  <conditionalFormatting sqref="AB399:AC399 AB398">
    <cfRule type="cellIs" dxfId="732" priority="524" stopIfTrue="1" operator="greaterThan">
      <formula>0</formula>
    </cfRule>
  </conditionalFormatting>
  <conditionalFormatting sqref="AB406:AC406">
    <cfRule type="cellIs" dxfId="731" priority="521" operator="equal">
      <formula>"NO CUMPLE"</formula>
    </cfRule>
    <cfRule type="cellIs" dxfId="730" priority="522" operator="equal">
      <formula>"CUMPLE"</formula>
    </cfRule>
    <cfRule type="cellIs" dxfId="729" priority="523" operator="equal">
      <formula>""""""</formula>
    </cfRule>
  </conditionalFormatting>
  <conditionalFormatting sqref="AB407">
    <cfRule type="cellIs" dxfId="728" priority="520" stopIfTrue="1" operator="greaterThan">
      <formula>0</formula>
    </cfRule>
  </conditionalFormatting>
  <conditionalFormatting sqref="AB407">
    <cfRule type="cellIs" dxfId="727" priority="519" operator="equal">
      <formula>"NO CUMPLE"</formula>
    </cfRule>
  </conditionalFormatting>
  <conditionalFormatting sqref="AB400:AC406 AB407">
    <cfRule type="cellIs" dxfId="726" priority="517" operator="equal">
      <formula>"CUMPLE"</formula>
    </cfRule>
    <cfRule type="cellIs" dxfId="725" priority="518" operator="equal">
      <formula>"NO CUMPLE"</formula>
    </cfRule>
  </conditionalFormatting>
  <conditionalFormatting sqref="AB417:AC417 AB416">
    <cfRule type="cellIs" dxfId="724" priority="516" stopIfTrue="1" operator="greaterThan">
      <formula>0</formula>
    </cfRule>
  </conditionalFormatting>
  <conditionalFormatting sqref="AB424:AC424">
    <cfRule type="cellIs" dxfId="723" priority="513" operator="equal">
      <formula>"NO CUMPLE"</formula>
    </cfRule>
    <cfRule type="cellIs" dxfId="722" priority="514" operator="equal">
      <formula>"CUMPLE"</formula>
    </cfRule>
    <cfRule type="cellIs" dxfId="721" priority="515" operator="equal">
      <formula>""""""</formula>
    </cfRule>
  </conditionalFormatting>
  <conditionalFormatting sqref="AB425">
    <cfRule type="cellIs" dxfId="720" priority="512" stopIfTrue="1" operator="greaterThan">
      <formula>0</formula>
    </cfRule>
  </conditionalFormatting>
  <conditionalFormatting sqref="AB425">
    <cfRule type="cellIs" dxfId="719" priority="511" operator="equal">
      <formula>"NO CUMPLE"</formula>
    </cfRule>
  </conditionalFormatting>
  <conditionalFormatting sqref="AB418:AC424 AB425">
    <cfRule type="cellIs" dxfId="718" priority="509" operator="equal">
      <formula>"CUMPLE"</formula>
    </cfRule>
    <cfRule type="cellIs" dxfId="717" priority="510" operator="equal">
      <formula>"NO CUMPLE"</formula>
    </cfRule>
  </conditionalFormatting>
  <conditionalFormatting sqref="AB435:AC435 AB434">
    <cfRule type="cellIs" dxfId="716" priority="508" stopIfTrue="1" operator="greaterThan">
      <formula>0</formula>
    </cfRule>
  </conditionalFormatting>
  <conditionalFormatting sqref="AB442:AC442">
    <cfRule type="cellIs" dxfId="715" priority="505" operator="equal">
      <formula>"NO CUMPLE"</formula>
    </cfRule>
    <cfRule type="cellIs" dxfId="714" priority="506" operator="equal">
      <formula>"CUMPLE"</formula>
    </cfRule>
    <cfRule type="cellIs" dxfId="713" priority="507" operator="equal">
      <formula>""""""</formula>
    </cfRule>
  </conditionalFormatting>
  <conditionalFormatting sqref="AB443">
    <cfRule type="cellIs" dxfId="712" priority="504" stopIfTrue="1" operator="greaterThan">
      <formula>0</formula>
    </cfRule>
  </conditionalFormatting>
  <conditionalFormatting sqref="AB443">
    <cfRule type="cellIs" dxfId="711" priority="503" operator="equal">
      <formula>"NO CUMPLE"</formula>
    </cfRule>
  </conditionalFormatting>
  <conditionalFormatting sqref="AB436:AC442 AB443">
    <cfRule type="cellIs" dxfId="710" priority="501" operator="equal">
      <formula>"CUMPLE"</formula>
    </cfRule>
    <cfRule type="cellIs" dxfId="709" priority="502" operator="equal">
      <formula>"NO CUMPLE"</formula>
    </cfRule>
  </conditionalFormatting>
  <conditionalFormatting sqref="AB453:AC453 AB452">
    <cfRule type="cellIs" dxfId="708" priority="500" stopIfTrue="1" operator="greaterThan">
      <formula>0</formula>
    </cfRule>
  </conditionalFormatting>
  <conditionalFormatting sqref="AB460:AC460">
    <cfRule type="cellIs" dxfId="707" priority="497" operator="equal">
      <formula>"NO CUMPLE"</formula>
    </cfRule>
    <cfRule type="cellIs" dxfId="706" priority="498" operator="equal">
      <formula>"CUMPLE"</formula>
    </cfRule>
    <cfRule type="cellIs" dxfId="705" priority="499" operator="equal">
      <formula>""""""</formula>
    </cfRule>
  </conditionalFormatting>
  <conditionalFormatting sqref="AB461">
    <cfRule type="cellIs" dxfId="704" priority="496" stopIfTrue="1" operator="greaterThan">
      <formula>0</formula>
    </cfRule>
  </conditionalFormatting>
  <conditionalFormatting sqref="AB461">
    <cfRule type="cellIs" dxfId="703" priority="495" operator="equal">
      <formula>"NO CUMPLE"</formula>
    </cfRule>
  </conditionalFormatting>
  <conditionalFormatting sqref="AB454:AC460 AB461">
    <cfRule type="cellIs" dxfId="702" priority="493" operator="equal">
      <formula>"CUMPLE"</formula>
    </cfRule>
    <cfRule type="cellIs" dxfId="701" priority="494" operator="equal">
      <formula>"NO CUMPLE"</formula>
    </cfRule>
  </conditionalFormatting>
  <conditionalFormatting sqref="AB471:AC471 AB470">
    <cfRule type="cellIs" dxfId="700" priority="492" stopIfTrue="1" operator="greaterThan">
      <formula>0</formula>
    </cfRule>
  </conditionalFormatting>
  <conditionalFormatting sqref="AB478:AC478">
    <cfRule type="cellIs" dxfId="699" priority="489" operator="equal">
      <formula>"NO CUMPLE"</formula>
    </cfRule>
    <cfRule type="cellIs" dxfId="698" priority="490" operator="equal">
      <formula>"CUMPLE"</formula>
    </cfRule>
    <cfRule type="cellIs" dxfId="697" priority="491" operator="equal">
      <formula>""""""</formula>
    </cfRule>
  </conditionalFormatting>
  <conditionalFormatting sqref="AB479">
    <cfRule type="cellIs" dxfId="696" priority="488" stopIfTrue="1" operator="greaterThan">
      <formula>0</formula>
    </cfRule>
  </conditionalFormatting>
  <conditionalFormatting sqref="AB479">
    <cfRule type="cellIs" dxfId="695" priority="487" operator="equal">
      <formula>"NO CUMPLE"</formula>
    </cfRule>
  </conditionalFormatting>
  <conditionalFormatting sqref="AB472:AC478 AB479">
    <cfRule type="cellIs" dxfId="694" priority="485" operator="equal">
      <formula>"CUMPLE"</formula>
    </cfRule>
    <cfRule type="cellIs" dxfId="693" priority="486" operator="equal">
      <formula>"NO CUMPLE"</formula>
    </cfRule>
  </conditionalFormatting>
  <conditionalFormatting sqref="AB489:AC489 AB488">
    <cfRule type="cellIs" dxfId="692" priority="484" stopIfTrue="1" operator="greaterThan">
      <formula>0</formula>
    </cfRule>
  </conditionalFormatting>
  <conditionalFormatting sqref="AB496:AC496">
    <cfRule type="cellIs" dxfId="691" priority="481" operator="equal">
      <formula>"NO CUMPLE"</formula>
    </cfRule>
    <cfRule type="cellIs" dxfId="690" priority="482" operator="equal">
      <formula>"CUMPLE"</formula>
    </cfRule>
    <cfRule type="cellIs" dxfId="689" priority="483" operator="equal">
      <formula>""""""</formula>
    </cfRule>
  </conditionalFormatting>
  <conditionalFormatting sqref="AB497">
    <cfRule type="cellIs" dxfId="688" priority="480" stopIfTrue="1" operator="greaterThan">
      <formula>0</formula>
    </cfRule>
  </conditionalFormatting>
  <conditionalFormatting sqref="AB497">
    <cfRule type="cellIs" dxfId="687" priority="479" operator="equal">
      <formula>"NO CUMPLE"</formula>
    </cfRule>
  </conditionalFormatting>
  <conditionalFormatting sqref="AB490:AC496 AB497">
    <cfRule type="cellIs" dxfId="686" priority="477" operator="equal">
      <formula>"CUMPLE"</formula>
    </cfRule>
    <cfRule type="cellIs" dxfId="685" priority="478" operator="equal">
      <formula>"NO CUMPLE"</formula>
    </cfRule>
  </conditionalFormatting>
  <conditionalFormatting sqref="AB507:AC507 AB506">
    <cfRule type="cellIs" dxfId="684" priority="476" stopIfTrue="1" operator="greaterThan">
      <formula>0</formula>
    </cfRule>
  </conditionalFormatting>
  <conditionalFormatting sqref="AB514:AC514">
    <cfRule type="cellIs" dxfId="683" priority="473" operator="equal">
      <formula>"NO CUMPLE"</formula>
    </cfRule>
    <cfRule type="cellIs" dxfId="682" priority="474" operator="equal">
      <formula>"CUMPLE"</formula>
    </cfRule>
    <cfRule type="cellIs" dxfId="681" priority="475" operator="equal">
      <formula>""""""</formula>
    </cfRule>
  </conditionalFormatting>
  <conditionalFormatting sqref="AB515">
    <cfRule type="cellIs" dxfId="680" priority="472" stopIfTrue="1" operator="greaterThan">
      <formula>0</formula>
    </cfRule>
  </conditionalFormatting>
  <conditionalFormatting sqref="AB515">
    <cfRule type="cellIs" dxfId="679" priority="471" operator="equal">
      <formula>"NO CUMPLE"</formula>
    </cfRule>
  </conditionalFormatting>
  <conditionalFormatting sqref="AB508:AC514 AB515">
    <cfRule type="cellIs" dxfId="678" priority="469" operator="equal">
      <formula>"CUMPLE"</formula>
    </cfRule>
    <cfRule type="cellIs" dxfId="677" priority="470" operator="equal">
      <formula>"NO CUMPLE"</formula>
    </cfRule>
  </conditionalFormatting>
  <conditionalFormatting sqref="AB525:AC525 AB524">
    <cfRule type="cellIs" dxfId="676" priority="468" stopIfTrue="1" operator="greaterThan">
      <formula>0</formula>
    </cfRule>
  </conditionalFormatting>
  <conditionalFormatting sqref="AB532:AC532">
    <cfRule type="cellIs" dxfId="675" priority="465" operator="equal">
      <formula>"NO CUMPLE"</formula>
    </cfRule>
    <cfRule type="cellIs" dxfId="674" priority="466" operator="equal">
      <formula>"CUMPLE"</formula>
    </cfRule>
    <cfRule type="cellIs" dxfId="673" priority="467" operator="equal">
      <formula>""""""</formula>
    </cfRule>
  </conditionalFormatting>
  <conditionalFormatting sqref="AB533">
    <cfRule type="cellIs" dxfId="672" priority="464" stopIfTrue="1" operator="greaterThan">
      <formula>0</formula>
    </cfRule>
  </conditionalFormatting>
  <conditionalFormatting sqref="AB533">
    <cfRule type="cellIs" dxfId="671" priority="463" operator="equal">
      <formula>"NO CUMPLE"</formula>
    </cfRule>
  </conditionalFormatting>
  <conditionalFormatting sqref="AB526:AC532 AB533">
    <cfRule type="cellIs" dxfId="670" priority="461" operator="equal">
      <formula>"CUMPLE"</formula>
    </cfRule>
    <cfRule type="cellIs" dxfId="669" priority="462" operator="equal">
      <formula>"NO CUMPLE"</formula>
    </cfRule>
  </conditionalFormatting>
  <conditionalFormatting sqref="AB543:AC543 AB542">
    <cfRule type="cellIs" dxfId="668" priority="460" stopIfTrue="1" operator="greaterThan">
      <formula>0</formula>
    </cfRule>
  </conditionalFormatting>
  <conditionalFormatting sqref="AB550:AC550">
    <cfRule type="cellIs" dxfId="667" priority="457" operator="equal">
      <formula>"NO CUMPLE"</formula>
    </cfRule>
    <cfRule type="cellIs" dxfId="666" priority="458" operator="equal">
      <formula>"CUMPLE"</formula>
    </cfRule>
    <cfRule type="cellIs" dxfId="665" priority="459" operator="equal">
      <formula>""""""</formula>
    </cfRule>
  </conditionalFormatting>
  <conditionalFormatting sqref="AB551">
    <cfRule type="cellIs" dxfId="664" priority="456" stopIfTrue="1" operator="greaterThan">
      <formula>0</formula>
    </cfRule>
  </conditionalFormatting>
  <conditionalFormatting sqref="AB551">
    <cfRule type="cellIs" dxfId="663" priority="455" operator="equal">
      <formula>"NO CUMPLE"</formula>
    </cfRule>
  </conditionalFormatting>
  <conditionalFormatting sqref="AB544:AC550 AB551">
    <cfRule type="cellIs" dxfId="662" priority="453" operator="equal">
      <formula>"CUMPLE"</formula>
    </cfRule>
    <cfRule type="cellIs" dxfId="661" priority="454" operator="equal">
      <formula>"NO CUMPLE"</formula>
    </cfRule>
  </conditionalFormatting>
  <conditionalFormatting sqref="AB561:AC561 AB560">
    <cfRule type="cellIs" dxfId="660" priority="452" stopIfTrue="1" operator="greaterThan">
      <formula>0</formula>
    </cfRule>
  </conditionalFormatting>
  <conditionalFormatting sqref="AB568:AC568">
    <cfRule type="cellIs" dxfId="659" priority="449" operator="equal">
      <formula>"NO CUMPLE"</formula>
    </cfRule>
    <cfRule type="cellIs" dxfId="658" priority="450" operator="equal">
      <formula>"CUMPLE"</formula>
    </cfRule>
    <cfRule type="cellIs" dxfId="657" priority="451" operator="equal">
      <formula>""""""</formula>
    </cfRule>
  </conditionalFormatting>
  <conditionalFormatting sqref="AB569">
    <cfRule type="cellIs" dxfId="656" priority="448" stopIfTrue="1" operator="greaterThan">
      <formula>0</formula>
    </cfRule>
  </conditionalFormatting>
  <conditionalFormatting sqref="AB569">
    <cfRule type="cellIs" dxfId="655" priority="447" operator="equal">
      <formula>"NO CUMPLE"</formula>
    </cfRule>
  </conditionalFormatting>
  <conditionalFormatting sqref="AB562:AC568 AB569">
    <cfRule type="cellIs" dxfId="654" priority="445" operator="equal">
      <formula>"CUMPLE"</formula>
    </cfRule>
    <cfRule type="cellIs" dxfId="653" priority="446" operator="equal">
      <formula>"NO CUMPLE"</formula>
    </cfRule>
  </conditionalFormatting>
  <conditionalFormatting sqref="AB579:AC579 AB578">
    <cfRule type="cellIs" dxfId="652" priority="444" stopIfTrue="1" operator="greaterThan">
      <formula>0</formula>
    </cfRule>
  </conditionalFormatting>
  <conditionalFormatting sqref="AB586:AC586">
    <cfRule type="cellIs" dxfId="651" priority="441" operator="equal">
      <formula>"NO CUMPLE"</formula>
    </cfRule>
    <cfRule type="cellIs" dxfId="650" priority="442" operator="equal">
      <formula>"CUMPLE"</formula>
    </cfRule>
    <cfRule type="cellIs" dxfId="649" priority="443" operator="equal">
      <formula>""""""</formula>
    </cfRule>
  </conditionalFormatting>
  <conditionalFormatting sqref="AB587">
    <cfRule type="cellIs" dxfId="648" priority="440" stopIfTrue="1" operator="greaterThan">
      <formula>0</formula>
    </cfRule>
  </conditionalFormatting>
  <conditionalFormatting sqref="AB587">
    <cfRule type="cellIs" dxfId="647" priority="439" operator="equal">
      <formula>"NO CUMPLE"</formula>
    </cfRule>
  </conditionalFormatting>
  <conditionalFormatting sqref="AB580:AC586 AB587">
    <cfRule type="cellIs" dxfId="646" priority="437" operator="equal">
      <formula>"CUMPLE"</formula>
    </cfRule>
    <cfRule type="cellIs" dxfId="645" priority="438" operator="equal">
      <formula>"NO CUMPLE"</formula>
    </cfRule>
  </conditionalFormatting>
  <conditionalFormatting sqref="AB597:AC597 AB596">
    <cfRule type="cellIs" dxfId="644" priority="436" stopIfTrue="1" operator="greaterThan">
      <formula>0</formula>
    </cfRule>
  </conditionalFormatting>
  <conditionalFormatting sqref="AB604:AC604">
    <cfRule type="cellIs" dxfId="643" priority="433" operator="equal">
      <formula>"NO CUMPLE"</formula>
    </cfRule>
    <cfRule type="cellIs" dxfId="642" priority="434" operator="equal">
      <formula>"CUMPLE"</formula>
    </cfRule>
    <cfRule type="cellIs" dxfId="641" priority="435" operator="equal">
      <formula>""""""</formula>
    </cfRule>
  </conditionalFormatting>
  <conditionalFormatting sqref="AB605">
    <cfRule type="cellIs" dxfId="640" priority="432" stopIfTrue="1" operator="greaterThan">
      <formula>0</formula>
    </cfRule>
  </conditionalFormatting>
  <conditionalFormatting sqref="AB605">
    <cfRule type="cellIs" dxfId="639" priority="431" operator="equal">
      <formula>"NO CUMPLE"</formula>
    </cfRule>
  </conditionalFormatting>
  <conditionalFormatting sqref="AB598:AC604 AB605">
    <cfRule type="cellIs" dxfId="638" priority="429" operator="equal">
      <formula>"CUMPLE"</formula>
    </cfRule>
    <cfRule type="cellIs" dxfId="637" priority="430" operator="equal">
      <formula>"NO CUMPLE"</formula>
    </cfRule>
  </conditionalFormatting>
  <conditionalFormatting sqref="AB615:AC615 AB614">
    <cfRule type="cellIs" dxfId="636" priority="428" stopIfTrue="1" operator="greaterThan">
      <formula>0</formula>
    </cfRule>
  </conditionalFormatting>
  <conditionalFormatting sqref="AB622:AC622">
    <cfRule type="cellIs" dxfId="635" priority="425" operator="equal">
      <formula>"NO CUMPLE"</formula>
    </cfRule>
    <cfRule type="cellIs" dxfId="634" priority="426" operator="equal">
      <formula>"CUMPLE"</formula>
    </cfRule>
    <cfRule type="cellIs" dxfId="633" priority="427" operator="equal">
      <formula>""""""</formula>
    </cfRule>
  </conditionalFormatting>
  <conditionalFormatting sqref="AB623">
    <cfRule type="cellIs" dxfId="632" priority="424" stopIfTrue="1" operator="greaterThan">
      <formula>0</formula>
    </cfRule>
  </conditionalFormatting>
  <conditionalFormatting sqref="AB623">
    <cfRule type="cellIs" dxfId="631" priority="423" operator="equal">
      <formula>"NO CUMPLE"</formula>
    </cfRule>
  </conditionalFormatting>
  <conditionalFormatting sqref="AB616:AC622 AB623">
    <cfRule type="cellIs" dxfId="630" priority="421" operator="equal">
      <formula>"CUMPLE"</formula>
    </cfRule>
    <cfRule type="cellIs" dxfId="629" priority="422" operator="equal">
      <formula>"NO CUMPLE"</formula>
    </cfRule>
  </conditionalFormatting>
  <conditionalFormatting sqref="AB633:AC633 AB632">
    <cfRule type="cellIs" dxfId="628" priority="420" stopIfTrue="1" operator="greaterThan">
      <formula>0</formula>
    </cfRule>
  </conditionalFormatting>
  <conditionalFormatting sqref="AB640:AC640">
    <cfRule type="cellIs" dxfId="627" priority="417" operator="equal">
      <formula>"NO CUMPLE"</formula>
    </cfRule>
    <cfRule type="cellIs" dxfId="626" priority="418" operator="equal">
      <formula>"CUMPLE"</formula>
    </cfRule>
    <cfRule type="cellIs" dxfId="625" priority="419" operator="equal">
      <formula>""""""</formula>
    </cfRule>
  </conditionalFormatting>
  <conditionalFormatting sqref="AB641">
    <cfRule type="cellIs" dxfId="624" priority="416" stopIfTrue="1" operator="greaterThan">
      <formula>0</formula>
    </cfRule>
  </conditionalFormatting>
  <conditionalFormatting sqref="AB641">
    <cfRule type="cellIs" dxfId="623" priority="415" operator="equal">
      <formula>"NO CUMPLE"</formula>
    </cfRule>
  </conditionalFormatting>
  <conditionalFormatting sqref="AB634:AC640 AB641">
    <cfRule type="cellIs" dxfId="622" priority="413" operator="equal">
      <formula>"CUMPLE"</formula>
    </cfRule>
    <cfRule type="cellIs" dxfId="621" priority="414" operator="equal">
      <formula>"NO CUMPLE"</formula>
    </cfRule>
  </conditionalFormatting>
  <conditionalFormatting sqref="AB651:AC651 AB650">
    <cfRule type="cellIs" dxfId="620" priority="412" stopIfTrue="1" operator="greaterThan">
      <formula>0</formula>
    </cfRule>
  </conditionalFormatting>
  <conditionalFormatting sqref="AB658:AC658">
    <cfRule type="cellIs" dxfId="619" priority="409" operator="equal">
      <formula>"NO CUMPLE"</formula>
    </cfRule>
    <cfRule type="cellIs" dxfId="618" priority="410" operator="equal">
      <formula>"CUMPLE"</formula>
    </cfRule>
    <cfRule type="cellIs" dxfId="617" priority="411" operator="equal">
      <formula>""""""</formula>
    </cfRule>
  </conditionalFormatting>
  <conditionalFormatting sqref="AB659">
    <cfRule type="cellIs" dxfId="616" priority="408" stopIfTrue="1" operator="greaterThan">
      <formula>0</formula>
    </cfRule>
  </conditionalFormatting>
  <conditionalFormatting sqref="AB659">
    <cfRule type="cellIs" dxfId="615" priority="407" operator="equal">
      <formula>"NO CUMPLE"</formula>
    </cfRule>
  </conditionalFormatting>
  <conditionalFormatting sqref="AB652:AC658 AB659">
    <cfRule type="cellIs" dxfId="614" priority="405" operator="equal">
      <formula>"CUMPLE"</formula>
    </cfRule>
    <cfRule type="cellIs" dxfId="613" priority="406" operator="equal">
      <formula>"NO CUMPLE"</formula>
    </cfRule>
  </conditionalFormatting>
  <conditionalFormatting sqref="AA184 AA189">
    <cfRule type="cellIs" dxfId="612" priority="403" operator="equal">
      <formula>"CUMPLE"</formula>
    </cfRule>
    <cfRule type="cellIs" dxfId="611" priority="404" operator="equal">
      <formula>"NO CUMPLE"</formula>
    </cfRule>
  </conditionalFormatting>
  <conditionalFormatting sqref="AA185:AA189">
    <cfRule type="cellIs" dxfId="610" priority="401" operator="equal">
      <formula>"CUMPLE"</formula>
    </cfRule>
    <cfRule type="cellIs" dxfId="609" priority="402" operator="equal">
      <formula>"NO CUMPLE"</formula>
    </cfRule>
  </conditionalFormatting>
  <conditionalFormatting sqref="AD21:AE21 AD20">
    <cfRule type="cellIs" dxfId="608" priority="400" stopIfTrue="1" operator="greaterThan">
      <formula>0</formula>
    </cfRule>
  </conditionalFormatting>
  <conditionalFormatting sqref="AD28:AE28">
    <cfRule type="cellIs" dxfId="607" priority="397" operator="equal">
      <formula>"NO CUMPLE"</formula>
    </cfRule>
    <cfRule type="cellIs" dxfId="606" priority="398" operator="equal">
      <formula>"CUMPLE"</formula>
    </cfRule>
    <cfRule type="cellIs" dxfId="605" priority="399" operator="equal">
      <formula>""""""</formula>
    </cfRule>
  </conditionalFormatting>
  <conditionalFormatting sqref="AD29">
    <cfRule type="cellIs" dxfId="604" priority="396" stopIfTrue="1" operator="greaterThan">
      <formula>0</formula>
    </cfRule>
  </conditionalFormatting>
  <conditionalFormatting sqref="AD29">
    <cfRule type="cellIs" dxfId="603" priority="395" operator="equal">
      <formula>"NO CUMPLE"</formula>
    </cfRule>
  </conditionalFormatting>
  <conditionalFormatting sqref="AD30:AE36 AD29 AD39:AE46 AD22:AE22 AD28:AE28 AD23:AD27 AD38 AD56 AD93:AE100 AD92 AD74 AD110 AD128 AD146 AD138:AE144 AD137 AD120:AE126 AD119 AD48:AE54 AD47 AD66:AE72 AD65 AD84:AE90 AD83 AD102:AE108 AD101 AD164 AD174:AE180 AD173 AD182 AD192:AE198 AD191 AD200 AD210:AE216 AD209 AD218 AD228:AE234 AD227 AD219:AE226 AD236 AD246:AE252 AD245 AD254 AD264:AE270 AD263 AD272 AD282:AE288 AD281 AD290 AD300:AE306 AD299 AD308 AD318:AE324 AD317 AD326 AD336:AE342 AD335 AD327:AE334 AD344 AD354:AE360 AD353 AD362 AD372:AE378 AD371 AD380 AD390:AE396 AD389 AD398 AD408:AE414 AD407 AD416 AD426:AE432 AD425 AD434 AD444:AE450 AD443 AD452 AD462:AE468 AD461 AD470 AD480:AE486 AD479 AD488 AD498:AE504 AD497 AD506 AD516:AE522 AD515 AD524 AD534:AE540 AD533 AD542 AD552:AE558 AD551 AD560 AD570:AE576 AD569 AD578 AD588:AE594 AD587 AD597:AE604 AD596 AD606:AE612 AD605 AD614 AD624:AE630 AD623 AD632 AD642:AE648 AD641 AD650 AD660:AE660 AD659 AD633:AE640 AD615:AE622 AD156:AE162 AD155 AD147:AE154 AD129:AE136 AD111:AE118 AD75:AE82 AD57:AE64 AD165:AE172 AD183:AE190 AD201:AE208 AD237:AE244 AD255:AE262 AD273:AE280 AD291:AE298 AD309:AE316 AD345:AE352 AD363:AE370 AD381:AE388 AD399:AE406 AD417:AE424 AD435:AE442 AD453:AE460 AD471:AE478 AD489:AE496 AD507:AE514 AD525:AE532 AD543:AE550 AD561:AE568 AD579:AE586 AD651:AE658">
    <cfRule type="cellIs" dxfId="602" priority="393" operator="equal">
      <formula>"CUMPLE"</formula>
    </cfRule>
    <cfRule type="cellIs" dxfId="601" priority="394" operator="equal">
      <formula>"NO CUMPLE"</formula>
    </cfRule>
  </conditionalFormatting>
  <conditionalFormatting sqref="AD39:AE39 AD38">
    <cfRule type="cellIs" dxfId="600" priority="392" stopIfTrue="1" operator="greaterThan">
      <formula>0</formula>
    </cfRule>
  </conditionalFormatting>
  <conditionalFormatting sqref="AD46:AE46">
    <cfRule type="cellIs" dxfId="599" priority="389" operator="equal">
      <formula>"NO CUMPLE"</formula>
    </cfRule>
    <cfRule type="cellIs" dxfId="598" priority="390" operator="equal">
      <formula>"CUMPLE"</formula>
    </cfRule>
    <cfRule type="cellIs" dxfId="597" priority="391" operator="equal">
      <formula>""""""</formula>
    </cfRule>
  </conditionalFormatting>
  <conditionalFormatting sqref="AD47">
    <cfRule type="cellIs" dxfId="596" priority="388" stopIfTrue="1" operator="greaterThan">
      <formula>0</formula>
    </cfRule>
  </conditionalFormatting>
  <conditionalFormatting sqref="AD47">
    <cfRule type="cellIs" dxfId="595" priority="387" operator="equal">
      <formula>"NO CUMPLE"</formula>
    </cfRule>
  </conditionalFormatting>
  <conditionalFormatting sqref="AD40:AE46 AD47">
    <cfRule type="cellIs" dxfId="594" priority="385" operator="equal">
      <formula>"CUMPLE"</formula>
    </cfRule>
    <cfRule type="cellIs" dxfId="593" priority="386" operator="equal">
      <formula>"NO CUMPLE"</formula>
    </cfRule>
  </conditionalFormatting>
  <conditionalFormatting sqref="AD57:AE57 AD56">
    <cfRule type="cellIs" dxfId="592" priority="384" stopIfTrue="1" operator="greaterThan">
      <formula>0</formula>
    </cfRule>
  </conditionalFormatting>
  <conditionalFormatting sqref="AD64:AE64">
    <cfRule type="cellIs" dxfId="591" priority="381" operator="equal">
      <formula>"NO CUMPLE"</formula>
    </cfRule>
    <cfRule type="cellIs" dxfId="590" priority="382" operator="equal">
      <formula>"CUMPLE"</formula>
    </cfRule>
    <cfRule type="cellIs" dxfId="589" priority="383" operator="equal">
      <formula>""""""</formula>
    </cfRule>
  </conditionalFormatting>
  <conditionalFormatting sqref="AD65">
    <cfRule type="cellIs" dxfId="588" priority="380" stopIfTrue="1" operator="greaterThan">
      <formula>0</formula>
    </cfRule>
  </conditionalFormatting>
  <conditionalFormatting sqref="AD65">
    <cfRule type="cellIs" dxfId="587" priority="379" operator="equal">
      <formula>"NO CUMPLE"</formula>
    </cfRule>
  </conditionalFormatting>
  <conditionalFormatting sqref="AD65 AD58:AE64">
    <cfRule type="cellIs" dxfId="586" priority="377" operator="equal">
      <formula>"CUMPLE"</formula>
    </cfRule>
    <cfRule type="cellIs" dxfId="585" priority="378" operator="equal">
      <formula>"NO CUMPLE"</formula>
    </cfRule>
  </conditionalFormatting>
  <conditionalFormatting sqref="AD75:AE75 AD74">
    <cfRule type="cellIs" dxfId="584" priority="376" stopIfTrue="1" operator="greaterThan">
      <formula>0</formula>
    </cfRule>
  </conditionalFormatting>
  <conditionalFormatting sqref="AD82:AE82">
    <cfRule type="cellIs" dxfId="583" priority="373" operator="equal">
      <formula>"NO CUMPLE"</formula>
    </cfRule>
    <cfRule type="cellIs" dxfId="582" priority="374" operator="equal">
      <formula>"CUMPLE"</formula>
    </cfRule>
    <cfRule type="cellIs" dxfId="581" priority="375" operator="equal">
      <formula>""""""</formula>
    </cfRule>
  </conditionalFormatting>
  <conditionalFormatting sqref="AD83">
    <cfRule type="cellIs" dxfId="580" priority="372" stopIfTrue="1" operator="greaterThan">
      <formula>0</formula>
    </cfRule>
  </conditionalFormatting>
  <conditionalFormatting sqref="AD83">
    <cfRule type="cellIs" dxfId="579" priority="371" operator="equal">
      <formula>"NO CUMPLE"</formula>
    </cfRule>
  </conditionalFormatting>
  <conditionalFormatting sqref="AD83 AD76:AE82">
    <cfRule type="cellIs" dxfId="578" priority="369" operator="equal">
      <formula>"CUMPLE"</formula>
    </cfRule>
    <cfRule type="cellIs" dxfId="577" priority="370" operator="equal">
      <formula>"NO CUMPLE"</formula>
    </cfRule>
  </conditionalFormatting>
  <conditionalFormatting sqref="AD93:AE93 AD92">
    <cfRule type="cellIs" dxfId="576" priority="368" stopIfTrue="1" operator="greaterThan">
      <formula>0</formula>
    </cfRule>
  </conditionalFormatting>
  <conditionalFormatting sqref="AD100:AE100">
    <cfRule type="cellIs" dxfId="575" priority="365" operator="equal">
      <formula>"NO CUMPLE"</formula>
    </cfRule>
    <cfRule type="cellIs" dxfId="574" priority="366" operator="equal">
      <formula>"CUMPLE"</formula>
    </cfRule>
    <cfRule type="cellIs" dxfId="573" priority="367" operator="equal">
      <formula>""""""</formula>
    </cfRule>
  </conditionalFormatting>
  <conditionalFormatting sqref="AD101">
    <cfRule type="cellIs" dxfId="572" priority="364" stopIfTrue="1" operator="greaterThan">
      <formula>0</formula>
    </cfRule>
  </conditionalFormatting>
  <conditionalFormatting sqref="AD101">
    <cfRule type="cellIs" dxfId="571" priority="363" operator="equal">
      <formula>"NO CUMPLE"</formula>
    </cfRule>
  </conditionalFormatting>
  <conditionalFormatting sqref="AD94:AE100 AD101">
    <cfRule type="cellIs" dxfId="570" priority="361" operator="equal">
      <formula>"CUMPLE"</formula>
    </cfRule>
    <cfRule type="cellIs" dxfId="569" priority="362" operator="equal">
      <formula>"NO CUMPLE"</formula>
    </cfRule>
  </conditionalFormatting>
  <conditionalFormatting sqref="AD111:AE111 AD110">
    <cfRule type="cellIs" dxfId="568" priority="360" stopIfTrue="1" operator="greaterThan">
      <formula>0</formula>
    </cfRule>
  </conditionalFormatting>
  <conditionalFormatting sqref="AD118:AE118">
    <cfRule type="cellIs" dxfId="567" priority="357" operator="equal">
      <formula>"NO CUMPLE"</formula>
    </cfRule>
    <cfRule type="cellIs" dxfId="566" priority="358" operator="equal">
      <formula>"CUMPLE"</formula>
    </cfRule>
    <cfRule type="cellIs" dxfId="565" priority="359" operator="equal">
      <formula>""""""</formula>
    </cfRule>
  </conditionalFormatting>
  <conditionalFormatting sqref="AD119">
    <cfRule type="cellIs" dxfId="564" priority="356" stopIfTrue="1" operator="greaterThan">
      <formula>0</formula>
    </cfRule>
  </conditionalFormatting>
  <conditionalFormatting sqref="AD119">
    <cfRule type="cellIs" dxfId="563" priority="355" operator="equal">
      <formula>"NO CUMPLE"</formula>
    </cfRule>
  </conditionalFormatting>
  <conditionalFormatting sqref="AD119 AD112:AE118">
    <cfRule type="cellIs" dxfId="562" priority="353" operator="equal">
      <formula>"CUMPLE"</formula>
    </cfRule>
    <cfRule type="cellIs" dxfId="561" priority="354" operator="equal">
      <formula>"NO CUMPLE"</formula>
    </cfRule>
  </conditionalFormatting>
  <conditionalFormatting sqref="AD129:AE129 AD128">
    <cfRule type="cellIs" dxfId="560" priority="352" stopIfTrue="1" operator="greaterThan">
      <formula>0</formula>
    </cfRule>
  </conditionalFormatting>
  <conditionalFormatting sqref="AD136:AE136">
    <cfRule type="cellIs" dxfId="559" priority="349" operator="equal">
      <formula>"NO CUMPLE"</formula>
    </cfRule>
    <cfRule type="cellIs" dxfId="558" priority="350" operator="equal">
      <formula>"CUMPLE"</formula>
    </cfRule>
    <cfRule type="cellIs" dxfId="557" priority="351" operator="equal">
      <formula>""""""</formula>
    </cfRule>
  </conditionalFormatting>
  <conditionalFormatting sqref="AD137">
    <cfRule type="cellIs" dxfId="556" priority="348" stopIfTrue="1" operator="greaterThan">
      <formula>0</formula>
    </cfRule>
  </conditionalFormatting>
  <conditionalFormatting sqref="AD137">
    <cfRule type="cellIs" dxfId="555" priority="347" operator="equal">
      <formula>"NO CUMPLE"</formula>
    </cfRule>
  </conditionalFormatting>
  <conditionalFormatting sqref="AD137 AD130:AE136">
    <cfRule type="cellIs" dxfId="554" priority="345" operator="equal">
      <formula>"CUMPLE"</formula>
    </cfRule>
    <cfRule type="cellIs" dxfId="553" priority="346" operator="equal">
      <formula>"NO CUMPLE"</formula>
    </cfRule>
  </conditionalFormatting>
  <conditionalFormatting sqref="AD147:AE147 AD146">
    <cfRule type="cellIs" dxfId="552" priority="344" stopIfTrue="1" operator="greaterThan">
      <formula>0</formula>
    </cfRule>
  </conditionalFormatting>
  <conditionalFormatting sqref="AD154:AE154">
    <cfRule type="cellIs" dxfId="551" priority="341" operator="equal">
      <formula>"NO CUMPLE"</formula>
    </cfRule>
    <cfRule type="cellIs" dxfId="550" priority="342" operator="equal">
      <formula>"CUMPLE"</formula>
    </cfRule>
    <cfRule type="cellIs" dxfId="549" priority="343" operator="equal">
      <formula>""""""</formula>
    </cfRule>
  </conditionalFormatting>
  <conditionalFormatting sqref="AD155">
    <cfRule type="cellIs" dxfId="548" priority="340" stopIfTrue="1" operator="greaterThan">
      <formula>0</formula>
    </cfRule>
  </conditionalFormatting>
  <conditionalFormatting sqref="AD155">
    <cfRule type="cellIs" dxfId="547" priority="339" operator="equal">
      <formula>"NO CUMPLE"</formula>
    </cfRule>
  </conditionalFormatting>
  <conditionalFormatting sqref="AD155 AD148:AE154">
    <cfRule type="cellIs" dxfId="546" priority="337" operator="equal">
      <formula>"CUMPLE"</formula>
    </cfRule>
    <cfRule type="cellIs" dxfId="545" priority="338" operator="equal">
      <formula>"NO CUMPLE"</formula>
    </cfRule>
  </conditionalFormatting>
  <conditionalFormatting sqref="AD165:AE165 AD164">
    <cfRule type="cellIs" dxfId="544" priority="336" stopIfTrue="1" operator="greaterThan">
      <formula>0</formula>
    </cfRule>
  </conditionalFormatting>
  <conditionalFormatting sqref="AD172:AE172">
    <cfRule type="cellIs" dxfId="543" priority="333" operator="equal">
      <formula>"NO CUMPLE"</formula>
    </cfRule>
    <cfRule type="cellIs" dxfId="542" priority="334" operator="equal">
      <formula>"CUMPLE"</formula>
    </cfRule>
    <cfRule type="cellIs" dxfId="541" priority="335" operator="equal">
      <formula>""""""</formula>
    </cfRule>
  </conditionalFormatting>
  <conditionalFormatting sqref="AD173">
    <cfRule type="cellIs" dxfId="540" priority="332" stopIfTrue="1" operator="greaterThan">
      <formula>0</formula>
    </cfRule>
  </conditionalFormatting>
  <conditionalFormatting sqref="AD173">
    <cfRule type="cellIs" dxfId="539" priority="331" operator="equal">
      <formula>"NO CUMPLE"</formula>
    </cfRule>
  </conditionalFormatting>
  <conditionalFormatting sqref="AD173 AD166:AE172">
    <cfRule type="cellIs" dxfId="538" priority="329" operator="equal">
      <formula>"CUMPLE"</formula>
    </cfRule>
    <cfRule type="cellIs" dxfId="537" priority="330" operator="equal">
      <formula>"NO CUMPLE"</formula>
    </cfRule>
  </conditionalFormatting>
  <conditionalFormatting sqref="AD183:AE183 AD182">
    <cfRule type="cellIs" dxfId="536" priority="328" stopIfTrue="1" operator="greaterThan">
      <formula>0</formula>
    </cfRule>
  </conditionalFormatting>
  <conditionalFormatting sqref="AD190:AE190">
    <cfRule type="cellIs" dxfId="535" priority="325" operator="equal">
      <formula>"NO CUMPLE"</formula>
    </cfRule>
    <cfRule type="cellIs" dxfId="534" priority="326" operator="equal">
      <formula>"CUMPLE"</formula>
    </cfRule>
    <cfRule type="cellIs" dxfId="533" priority="327" operator="equal">
      <formula>""""""</formula>
    </cfRule>
  </conditionalFormatting>
  <conditionalFormatting sqref="AD191">
    <cfRule type="cellIs" dxfId="532" priority="324" stopIfTrue="1" operator="greaterThan">
      <formula>0</formula>
    </cfRule>
  </conditionalFormatting>
  <conditionalFormatting sqref="AD191">
    <cfRule type="cellIs" dxfId="531" priority="323" operator="equal">
      <formula>"NO CUMPLE"</formula>
    </cfRule>
  </conditionalFormatting>
  <conditionalFormatting sqref="AD191 AD184:AE190">
    <cfRule type="cellIs" dxfId="530" priority="321" operator="equal">
      <formula>"CUMPLE"</formula>
    </cfRule>
    <cfRule type="cellIs" dxfId="529" priority="322" operator="equal">
      <formula>"NO CUMPLE"</formula>
    </cfRule>
  </conditionalFormatting>
  <conditionalFormatting sqref="AD201:AE201 AD200">
    <cfRule type="cellIs" dxfId="528" priority="320" stopIfTrue="1" operator="greaterThan">
      <formula>0</formula>
    </cfRule>
  </conditionalFormatting>
  <conditionalFormatting sqref="AD208:AE208">
    <cfRule type="cellIs" dxfId="527" priority="317" operator="equal">
      <formula>"NO CUMPLE"</formula>
    </cfRule>
    <cfRule type="cellIs" dxfId="526" priority="318" operator="equal">
      <formula>"CUMPLE"</formula>
    </cfRule>
    <cfRule type="cellIs" dxfId="525" priority="319" operator="equal">
      <formula>""""""</formula>
    </cfRule>
  </conditionalFormatting>
  <conditionalFormatting sqref="AD209">
    <cfRule type="cellIs" dxfId="524" priority="316" stopIfTrue="1" operator="greaterThan">
      <formula>0</formula>
    </cfRule>
  </conditionalFormatting>
  <conditionalFormatting sqref="AD209">
    <cfRule type="cellIs" dxfId="523" priority="315" operator="equal">
      <formula>"NO CUMPLE"</formula>
    </cfRule>
  </conditionalFormatting>
  <conditionalFormatting sqref="AD209 AD202:AE208">
    <cfRule type="cellIs" dxfId="522" priority="313" operator="equal">
      <formula>"CUMPLE"</formula>
    </cfRule>
    <cfRule type="cellIs" dxfId="521" priority="314" operator="equal">
      <formula>"NO CUMPLE"</formula>
    </cfRule>
  </conditionalFormatting>
  <conditionalFormatting sqref="AD219:AE219 AD218">
    <cfRule type="cellIs" dxfId="520" priority="312" stopIfTrue="1" operator="greaterThan">
      <formula>0</formula>
    </cfRule>
  </conditionalFormatting>
  <conditionalFormatting sqref="AD226:AE226">
    <cfRule type="cellIs" dxfId="519" priority="309" operator="equal">
      <formula>"NO CUMPLE"</formula>
    </cfRule>
    <cfRule type="cellIs" dxfId="518" priority="310" operator="equal">
      <formula>"CUMPLE"</formula>
    </cfRule>
    <cfRule type="cellIs" dxfId="517" priority="311" operator="equal">
      <formula>""""""</formula>
    </cfRule>
  </conditionalFormatting>
  <conditionalFormatting sqref="AD227">
    <cfRule type="cellIs" dxfId="516" priority="308" stopIfTrue="1" operator="greaterThan">
      <formula>0</formula>
    </cfRule>
  </conditionalFormatting>
  <conditionalFormatting sqref="AD227">
    <cfRule type="cellIs" dxfId="515" priority="307" operator="equal">
      <formula>"NO CUMPLE"</formula>
    </cfRule>
  </conditionalFormatting>
  <conditionalFormatting sqref="AD227 AD220:AE226">
    <cfRule type="cellIs" dxfId="514" priority="305" operator="equal">
      <formula>"CUMPLE"</formula>
    </cfRule>
    <cfRule type="cellIs" dxfId="513" priority="306" operator="equal">
      <formula>"NO CUMPLE"</formula>
    </cfRule>
  </conditionalFormatting>
  <conditionalFormatting sqref="AD237:AE237 AD236">
    <cfRule type="cellIs" dxfId="512" priority="304" stopIfTrue="1" operator="greaterThan">
      <formula>0</formula>
    </cfRule>
  </conditionalFormatting>
  <conditionalFormatting sqref="AD244:AE244">
    <cfRule type="cellIs" dxfId="511" priority="301" operator="equal">
      <formula>"NO CUMPLE"</formula>
    </cfRule>
    <cfRule type="cellIs" dxfId="510" priority="302" operator="equal">
      <formula>"CUMPLE"</formula>
    </cfRule>
    <cfRule type="cellIs" dxfId="509" priority="303" operator="equal">
      <formula>""""""</formula>
    </cfRule>
  </conditionalFormatting>
  <conditionalFormatting sqref="AD245">
    <cfRule type="cellIs" dxfId="508" priority="300" stopIfTrue="1" operator="greaterThan">
      <formula>0</formula>
    </cfRule>
  </conditionalFormatting>
  <conditionalFormatting sqref="AD245">
    <cfRule type="cellIs" dxfId="507" priority="299" operator="equal">
      <formula>"NO CUMPLE"</formula>
    </cfRule>
  </conditionalFormatting>
  <conditionalFormatting sqref="AD245 AD238:AE244">
    <cfRule type="cellIs" dxfId="506" priority="297" operator="equal">
      <formula>"CUMPLE"</formula>
    </cfRule>
    <cfRule type="cellIs" dxfId="505" priority="298" operator="equal">
      <formula>"NO CUMPLE"</formula>
    </cfRule>
  </conditionalFormatting>
  <conditionalFormatting sqref="AD255:AE255 AD254">
    <cfRule type="cellIs" dxfId="504" priority="296" stopIfTrue="1" operator="greaterThan">
      <formula>0</formula>
    </cfRule>
  </conditionalFormatting>
  <conditionalFormatting sqref="AD262:AE262">
    <cfRule type="cellIs" dxfId="503" priority="293" operator="equal">
      <formula>"NO CUMPLE"</formula>
    </cfRule>
    <cfRule type="cellIs" dxfId="502" priority="294" operator="equal">
      <formula>"CUMPLE"</formula>
    </cfRule>
    <cfRule type="cellIs" dxfId="501" priority="295" operator="equal">
      <formula>""""""</formula>
    </cfRule>
  </conditionalFormatting>
  <conditionalFormatting sqref="AD263">
    <cfRule type="cellIs" dxfId="500" priority="292" stopIfTrue="1" operator="greaterThan">
      <formula>0</formula>
    </cfRule>
  </conditionalFormatting>
  <conditionalFormatting sqref="AD263">
    <cfRule type="cellIs" dxfId="499" priority="291" operator="equal">
      <formula>"NO CUMPLE"</formula>
    </cfRule>
  </conditionalFormatting>
  <conditionalFormatting sqref="AD263 AD256:AE262">
    <cfRule type="cellIs" dxfId="498" priority="289" operator="equal">
      <formula>"CUMPLE"</formula>
    </cfRule>
    <cfRule type="cellIs" dxfId="497" priority="290" operator="equal">
      <formula>"NO CUMPLE"</formula>
    </cfRule>
  </conditionalFormatting>
  <conditionalFormatting sqref="AD273:AE273 AD272">
    <cfRule type="cellIs" dxfId="496" priority="288" stopIfTrue="1" operator="greaterThan">
      <formula>0</formula>
    </cfRule>
  </conditionalFormatting>
  <conditionalFormatting sqref="AD280:AE280">
    <cfRule type="cellIs" dxfId="495" priority="285" operator="equal">
      <formula>"NO CUMPLE"</formula>
    </cfRule>
    <cfRule type="cellIs" dxfId="494" priority="286" operator="equal">
      <formula>"CUMPLE"</formula>
    </cfRule>
    <cfRule type="cellIs" dxfId="493" priority="287" operator="equal">
      <formula>""""""</formula>
    </cfRule>
  </conditionalFormatting>
  <conditionalFormatting sqref="AD281">
    <cfRule type="cellIs" dxfId="492" priority="284" stopIfTrue="1" operator="greaterThan">
      <formula>0</formula>
    </cfRule>
  </conditionalFormatting>
  <conditionalFormatting sqref="AD281">
    <cfRule type="cellIs" dxfId="491" priority="283" operator="equal">
      <formula>"NO CUMPLE"</formula>
    </cfRule>
  </conditionalFormatting>
  <conditionalFormatting sqref="AD281 AD274:AE280">
    <cfRule type="cellIs" dxfId="490" priority="281" operator="equal">
      <formula>"CUMPLE"</formula>
    </cfRule>
    <cfRule type="cellIs" dxfId="489" priority="282" operator="equal">
      <formula>"NO CUMPLE"</formula>
    </cfRule>
  </conditionalFormatting>
  <conditionalFormatting sqref="AD291:AE291 AD290">
    <cfRule type="cellIs" dxfId="488" priority="280" stopIfTrue="1" operator="greaterThan">
      <formula>0</formula>
    </cfRule>
  </conditionalFormatting>
  <conditionalFormatting sqref="AD298:AE298">
    <cfRule type="cellIs" dxfId="487" priority="277" operator="equal">
      <formula>"NO CUMPLE"</formula>
    </cfRule>
    <cfRule type="cellIs" dxfId="486" priority="278" operator="equal">
      <formula>"CUMPLE"</formula>
    </cfRule>
    <cfRule type="cellIs" dxfId="485" priority="279" operator="equal">
      <formula>""""""</formula>
    </cfRule>
  </conditionalFormatting>
  <conditionalFormatting sqref="AD299">
    <cfRule type="cellIs" dxfId="484" priority="276" stopIfTrue="1" operator="greaterThan">
      <formula>0</formula>
    </cfRule>
  </conditionalFormatting>
  <conditionalFormatting sqref="AD299">
    <cfRule type="cellIs" dxfId="483" priority="275" operator="equal">
      <formula>"NO CUMPLE"</formula>
    </cfRule>
  </conditionalFormatting>
  <conditionalFormatting sqref="AD299 AD292:AE298">
    <cfRule type="cellIs" dxfId="482" priority="273" operator="equal">
      <formula>"CUMPLE"</formula>
    </cfRule>
    <cfRule type="cellIs" dxfId="481" priority="274" operator="equal">
      <formula>"NO CUMPLE"</formula>
    </cfRule>
  </conditionalFormatting>
  <conditionalFormatting sqref="AD309:AE309 AD308">
    <cfRule type="cellIs" dxfId="480" priority="272" stopIfTrue="1" operator="greaterThan">
      <formula>0</formula>
    </cfRule>
  </conditionalFormatting>
  <conditionalFormatting sqref="AD316:AE316">
    <cfRule type="cellIs" dxfId="479" priority="269" operator="equal">
      <formula>"NO CUMPLE"</formula>
    </cfRule>
    <cfRule type="cellIs" dxfId="478" priority="270" operator="equal">
      <formula>"CUMPLE"</formula>
    </cfRule>
    <cfRule type="cellIs" dxfId="477" priority="271" operator="equal">
      <formula>""""""</formula>
    </cfRule>
  </conditionalFormatting>
  <conditionalFormatting sqref="AD317">
    <cfRule type="cellIs" dxfId="476" priority="268" stopIfTrue="1" operator="greaterThan">
      <formula>0</formula>
    </cfRule>
  </conditionalFormatting>
  <conditionalFormatting sqref="AD317">
    <cfRule type="cellIs" dxfId="475" priority="267" operator="equal">
      <formula>"NO CUMPLE"</formula>
    </cfRule>
  </conditionalFormatting>
  <conditionalFormatting sqref="AD317 AD310:AE316">
    <cfRule type="cellIs" dxfId="474" priority="265" operator="equal">
      <formula>"CUMPLE"</formula>
    </cfRule>
    <cfRule type="cellIs" dxfId="473" priority="266" operator="equal">
      <formula>"NO CUMPLE"</formula>
    </cfRule>
  </conditionalFormatting>
  <conditionalFormatting sqref="AD327:AE327 AD326">
    <cfRule type="cellIs" dxfId="472" priority="264" stopIfTrue="1" operator="greaterThan">
      <formula>0</formula>
    </cfRule>
  </conditionalFormatting>
  <conditionalFormatting sqref="AD334:AE334">
    <cfRule type="cellIs" dxfId="471" priority="261" operator="equal">
      <formula>"NO CUMPLE"</formula>
    </cfRule>
    <cfRule type="cellIs" dxfId="470" priority="262" operator="equal">
      <formula>"CUMPLE"</formula>
    </cfRule>
    <cfRule type="cellIs" dxfId="469" priority="263" operator="equal">
      <formula>""""""</formula>
    </cfRule>
  </conditionalFormatting>
  <conditionalFormatting sqref="AD335">
    <cfRule type="cellIs" dxfId="468" priority="260" stopIfTrue="1" operator="greaterThan">
      <formula>0</formula>
    </cfRule>
  </conditionalFormatting>
  <conditionalFormatting sqref="AD335">
    <cfRule type="cellIs" dxfId="467" priority="259" operator="equal">
      <formula>"NO CUMPLE"</formula>
    </cfRule>
  </conditionalFormatting>
  <conditionalFormatting sqref="AD335 AD328:AE334">
    <cfRule type="cellIs" dxfId="466" priority="257" operator="equal">
      <formula>"CUMPLE"</formula>
    </cfRule>
    <cfRule type="cellIs" dxfId="465" priority="258" operator="equal">
      <formula>"NO CUMPLE"</formula>
    </cfRule>
  </conditionalFormatting>
  <conditionalFormatting sqref="AD345:AE345 AD344">
    <cfRule type="cellIs" dxfId="464" priority="256" stopIfTrue="1" operator="greaterThan">
      <formula>0</formula>
    </cfRule>
  </conditionalFormatting>
  <conditionalFormatting sqref="AD352:AE352">
    <cfRule type="cellIs" dxfId="463" priority="253" operator="equal">
      <formula>"NO CUMPLE"</formula>
    </cfRule>
    <cfRule type="cellIs" dxfId="462" priority="254" operator="equal">
      <formula>"CUMPLE"</formula>
    </cfRule>
    <cfRule type="cellIs" dxfId="461" priority="255" operator="equal">
      <formula>""""""</formula>
    </cfRule>
  </conditionalFormatting>
  <conditionalFormatting sqref="AD353">
    <cfRule type="cellIs" dxfId="460" priority="252" stopIfTrue="1" operator="greaterThan">
      <formula>0</formula>
    </cfRule>
  </conditionalFormatting>
  <conditionalFormatting sqref="AD353">
    <cfRule type="cellIs" dxfId="459" priority="251" operator="equal">
      <formula>"NO CUMPLE"</formula>
    </cfRule>
  </conditionalFormatting>
  <conditionalFormatting sqref="AD353 AD346:AE352">
    <cfRule type="cellIs" dxfId="458" priority="249" operator="equal">
      <formula>"CUMPLE"</formula>
    </cfRule>
    <cfRule type="cellIs" dxfId="457" priority="250" operator="equal">
      <formula>"NO CUMPLE"</formula>
    </cfRule>
  </conditionalFormatting>
  <conditionalFormatting sqref="AD363:AE363 AD362">
    <cfRule type="cellIs" dxfId="456" priority="248" stopIfTrue="1" operator="greaterThan">
      <formula>0</formula>
    </cfRule>
  </conditionalFormatting>
  <conditionalFormatting sqref="AD370:AE370">
    <cfRule type="cellIs" dxfId="455" priority="245" operator="equal">
      <formula>"NO CUMPLE"</formula>
    </cfRule>
    <cfRule type="cellIs" dxfId="454" priority="246" operator="equal">
      <formula>"CUMPLE"</formula>
    </cfRule>
    <cfRule type="cellIs" dxfId="453" priority="247" operator="equal">
      <formula>""""""</formula>
    </cfRule>
  </conditionalFormatting>
  <conditionalFormatting sqref="AD371">
    <cfRule type="cellIs" dxfId="452" priority="244" stopIfTrue="1" operator="greaterThan">
      <formula>0</formula>
    </cfRule>
  </conditionalFormatting>
  <conditionalFormatting sqref="AD371">
    <cfRule type="cellIs" dxfId="451" priority="243" operator="equal">
      <formula>"NO CUMPLE"</formula>
    </cfRule>
  </conditionalFormatting>
  <conditionalFormatting sqref="AD371 AD364:AE370">
    <cfRule type="cellIs" dxfId="450" priority="241" operator="equal">
      <formula>"CUMPLE"</formula>
    </cfRule>
    <cfRule type="cellIs" dxfId="449" priority="242" operator="equal">
      <formula>"NO CUMPLE"</formula>
    </cfRule>
  </conditionalFormatting>
  <conditionalFormatting sqref="AD381:AE381 AD380">
    <cfRule type="cellIs" dxfId="448" priority="240" stopIfTrue="1" operator="greaterThan">
      <formula>0</formula>
    </cfRule>
  </conditionalFormatting>
  <conditionalFormatting sqref="AD388:AE388">
    <cfRule type="cellIs" dxfId="447" priority="237" operator="equal">
      <formula>"NO CUMPLE"</formula>
    </cfRule>
    <cfRule type="cellIs" dxfId="446" priority="238" operator="equal">
      <formula>"CUMPLE"</formula>
    </cfRule>
    <cfRule type="cellIs" dxfId="445" priority="239" operator="equal">
      <formula>""""""</formula>
    </cfRule>
  </conditionalFormatting>
  <conditionalFormatting sqref="AD389">
    <cfRule type="cellIs" dxfId="444" priority="236" stopIfTrue="1" operator="greaterThan">
      <formula>0</formula>
    </cfRule>
  </conditionalFormatting>
  <conditionalFormatting sqref="AD389">
    <cfRule type="cellIs" dxfId="443" priority="235" operator="equal">
      <formula>"NO CUMPLE"</formula>
    </cfRule>
  </conditionalFormatting>
  <conditionalFormatting sqref="AD389 AD382:AE388">
    <cfRule type="cellIs" dxfId="442" priority="233" operator="equal">
      <formula>"CUMPLE"</formula>
    </cfRule>
    <cfRule type="cellIs" dxfId="441" priority="234" operator="equal">
      <formula>"NO CUMPLE"</formula>
    </cfRule>
  </conditionalFormatting>
  <conditionalFormatting sqref="AD399:AE399 AD398">
    <cfRule type="cellIs" dxfId="440" priority="232" stopIfTrue="1" operator="greaterThan">
      <formula>0</formula>
    </cfRule>
  </conditionalFormatting>
  <conditionalFormatting sqref="AD406:AE406">
    <cfRule type="cellIs" dxfId="439" priority="229" operator="equal">
      <formula>"NO CUMPLE"</formula>
    </cfRule>
    <cfRule type="cellIs" dxfId="438" priority="230" operator="equal">
      <formula>"CUMPLE"</formula>
    </cfRule>
    <cfRule type="cellIs" dxfId="437" priority="231" operator="equal">
      <formula>""""""</formula>
    </cfRule>
  </conditionalFormatting>
  <conditionalFormatting sqref="AD407">
    <cfRule type="cellIs" dxfId="436" priority="228" stopIfTrue="1" operator="greaterThan">
      <formula>0</formula>
    </cfRule>
  </conditionalFormatting>
  <conditionalFormatting sqref="AD407">
    <cfRule type="cellIs" dxfId="435" priority="227" operator="equal">
      <formula>"NO CUMPLE"</formula>
    </cfRule>
  </conditionalFormatting>
  <conditionalFormatting sqref="AD407 AD400:AE406">
    <cfRule type="cellIs" dxfId="434" priority="225" operator="equal">
      <formula>"CUMPLE"</formula>
    </cfRule>
    <cfRule type="cellIs" dxfId="433" priority="226" operator="equal">
      <formula>"NO CUMPLE"</formula>
    </cfRule>
  </conditionalFormatting>
  <conditionalFormatting sqref="AD417:AE417 AD416">
    <cfRule type="cellIs" dxfId="432" priority="224" stopIfTrue="1" operator="greaterThan">
      <formula>0</formula>
    </cfRule>
  </conditionalFormatting>
  <conditionalFormatting sqref="AD424:AE424">
    <cfRule type="cellIs" dxfId="431" priority="221" operator="equal">
      <formula>"NO CUMPLE"</formula>
    </cfRule>
    <cfRule type="cellIs" dxfId="430" priority="222" operator="equal">
      <formula>"CUMPLE"</formula>
    </cfRule>
    <cfRule type="cellIs" dxfId="429" priority="223" operator="equal">
      <formula>""""""</formula>
    </cfRule>
  </conditionalFormatting>
  <conditionalFormatting sqref="AD425">
    <cfRule type="cellIs" dxfId="428" priority="220" stopIfTrue="1" operator="greaterThan">
      <formula>0</formula>
    </cfRule>
  </conditionalFormatting>
  <conditionalFormatting sqref="AD425">
    <cfRule type="cellIs" dxfId="427" priority="219" operator="equal">
      <formula>"NO CUMPLE"</formula>
    </cfRule>
  </conditionalFormatting>
  <conditionalFormatting sqref="AD425 AD418:AE424">
    <cfRule type="cellIs" dxfId="426" priority="217" operator="equal">
      <formula>"CUMPLE"</formula>
    </cfRule>
    <cfRule type="cellIs" dxfId="425" priority="218" operator="equal">
      <formula>"NO CUMPLE"</formula>
    </cfRule>
  </conditionalFormatting>
  <conditionalFormatting sqref="AD435:AE435 AD434">
    <cfRule type="cellIs" dxfId="424" priority="216" stopIfTrue="1" operator="greaterThan">
      <formula>0</formula>
    </cfRule>
  </conditionalFormatting>
  <conditionalFormatting sqref="AD442:AE442">
    <cfRule type="cellIs" dxfId="423" priority="213" operator="equal">
      <formula>"NO CUMPLE"</formula>
    </cfRule>
    <cfRule type="cellIs" dxfId="422" priority="214" operator="equal">
      <formula>"CUMPLE"</formula>
    </cfRule>
    <cfRule type="cellIs" dxfId="421" priority="215" operator="equal">
      <formula>""""""</formula>
    </cfRule>
  </conditionalFormatting>
  <conditionalFormatting sqref="AD443">
    <cfRule type="cellIs" dxfId="420" priority="212" stopIfTrue="1" operator="greaterThan">
      <formula>0</formula>
    </cfRule>
  </conditionalFormatting>
  <conditionalFormatting sqref="AD443">
    <cfRule type="cellIs" dxfId="419" priority="211" operator="equal">
      <formula>"NO CUMPLE"</formula>
    </cfRule>
  </conditionalFormatting>
  <conditionalFormatting sqref="AD443 AD436:AE442">
    <cfRule type="cellIs" dxfId="418" priority="209" operator="equal">
      <formula>"CUMPLE"</formula>
    </cfRule>
    <cfRule type="cellIs" dxfId="417" priority="210" operator="equal">
      <formula>"NO CUMPLE"</formula>
    </cfRule>
  </conditionalFormatting>
  <conditionalFormatting sqref="AD453:AE453 AD452">
    <cfRule type="cellIs" dxfId="416" priority="208" stopIfTrue="1" operator="greaterThan">
      <formula>0</formula>
    </cfRule>
  </conditionalFormatting>
  <conditionalFormatting sqref="AD460:AE460">
    <cfRule type="cellIs" dxfId="415" priority="205" operator="equal">
      <formula>"NO CUMPLE"</formula>
    </cfRule>
    <cfRule type="cellIs" dxfId="414" priority="206" operator="equal">
      <formula>"CUMPLE"</formula>
    </cfRule>
    <cfRule type="cellIs" dxfId="413" priority="207" operator="equal">
      <formula>""""""</formula>
    </cfRule>
  </conditionalFormatting>
  <conditionalFormatting sqref="AD461">
    <cfRule type="cellIs" dxfId="412" priority="204" stopIfTrue="1" operator="greaterThan">
      <formula>0</formula>
    </cfRule>
  </conditionalFormatting>
  <conditionalFormatting sqref="AD461">
    <cfRule type="cellIs" dxfId="411" priority="203" operator="equal">
      <formula>"NO CUMPLE"</formula>
    </cfRule>
  </conditionalFormatting>
  <conditionalFormatting sqref="AD461 AD454:AE460">
    <cfRule type="cellIs" dxfId="410" priority="201" operator="equal">
      <formula>"CUMPLE"</formula>
    </cfRule>
    <cfRule type="cellIs" dxfId="409" priority="202" operator="equal">
      <formula>"NO CUMPLE"</formula>
    </cfRule>
  </conditionalFormatting>
  <conditionalFormatting sqref="AD471:AE471 AD470">
    <cfRule type="cellIs" dxfId="408" priority="200" stopIfTrue="1" operator="greaterThan">
      <formula>0</formula>
    </cfRule>
  </conditionalFormatting>
  <conditionalFormatting sqref="AD478:AE478">
    <cfRule type="cellIs" dxfId="407" priority="197" operator="equal">
      <formula>"NO CUMPLE"</formula>
    </cfRule>
    <cfRule type="cellIs" dxfId="406" priority="198" operator="equal">
      <formula>"CUMPLE"</formula>
    </cfRule>
    <cfRule type="cellIs" dxfId="405" priority="199" operator="equal">
      <formula>""""""</formula>
    </cfRule>
  </conditionalFormatting>
  <conditionalFormatting sqref="AD479">
    <cfRule type="cellIs" dxfId="404" priority="196" stopIfTrue="1" operator="greaterThan">
      <formula>0</formula>
    </cfRule>
  </conditionalFormatting>
  <conditionalFormatting sqref="AD479">
    <cfRule type="cellIs" dxfId="403" priority="195" operator="equal">
      <formula>"NO CUMPLE"</formula>
    </cfRule>
  </conditionalFormatting>
  <conditionalFormatting sqref="AD479 AD472:AE478">
    <cfRule type="cellIs" dxfId="402" priority="193" operator="equal">
      <formula>"CUMPLE"</formula>
    </cfRule>
    <cfRule type="cellIs" dxfId="401" priority="194" operator="equal">
      <formula>"NO CUMPLE"</formula>
    </cfRule>
  </conditionalFormatting>
  <conditionalFormatting sqref="AD489:AE489 AD488">
    <cfRule type="cellIs" dxfId="400" priority="192" stopIfTrue="1" operator="greaterThan">
      <formula>0</formula>
    </cfRule>
  </conditionalFormatting>
  <conditionalFormatting sqref="AD496:AE496">
    <cfRule type="cellIs" dxfId="399" priority="189" operator="equal">
      <formula>"NO CUMPLE"</formula>
    </cfRule>
    <cfRule type="cellIs" dxfId="398" priority="190" operator="equal">
      <formula>"CUMPLE"</formula>
    </cfRule>
    <cfRule type="cellIs" dxfId="397" priority="191" operator="equal">
      <formula>""""""</formula>
    </cfRule>
  </conditionalFormatting>
  <conditionalFormatting sqref="AD497">
    <cfRule type="cellIs" dxfId="396" priority="188" stopIfTrue="1" operator="greaterThan">
      <formula>0</formula>
    </cfRule>
  </conditionalFormatting>
  <conditionalFormatting sqref="AD497">
    <cfRule type="cellIs" dxfId="395" priority="187" operator="equal">
      <formula>"NO CUMPLE"</formula>
    </cfRule>
  </conditionalFormatting>
  <conditionalFormatting sqref="AD497 AD490:AE496">
    <cfRule type="cellIs" dxfId="394" priority="185" operator="equal">
      <formula>"CUMPLE"</formula>
    </cfRule>
    <cfRule type="cellIs" dxfId="393" priority="186" operator="equal">
      <formula>"NO CUMPLE"</formula>
    </cfRule>
  </conditionalFormatting>
  <conditionalFormatting sqref="AD507:AE507 AD506">
    <cfRule type="cellIs" dxfId="392" priority="184" stopIfTrue="1" operator="greaterThan">
      <formula>0</formula>
    </cfRule>
  </conditionalFormatting>
  <conditionalFormatting sqref="AD514:AE514">
    <cfRule type="cellIs" dxfId="391" priority="181" operator="equal">
      <formula>"NO CUMPLE"</formula>
    </cfRule>
    <cfRule type="cellIs" dxfId="390" priority="182" operator="equal">
      <formula>"CUMPLE"</formula>
    </cfRule>
    <cfRule type="cellIs" dxfId="389" priority="183" operator="equal">
      <formula>""""""</formula>
    </cfRule>
  </conditionalFormatting>
  <conditionalFormatting sqref="AD515">
    <cfRule type="cellIs" dxfId="388" priority="180" stopIfTrue="1" operator="greaterThan">
      <formula>0</formula>
    </cfRule>
  </conditionalFormatting>
  <conditionalFormatting sqref="AD515">
    <cfRule type="cellIs" dxfId="387" priority="179" operator="equal">
      <formula>"NO CUMPLE"</formula>
    </cfRule>
  </conditionalFormatting>
  <conditionalFormatting sqref="AD515 AD508:AE514">
    <cfRule type="cellIs" dxfId="386" priority="177" operator="equal">
      <formula>"CUMPLE"</formula>
    </cfRule>
    <cfRule type="cellIs" dxfId="385" priority="178" operator="equal">
      <formula>"NO CUMPLE"</formula>
    </cfRule>
  </conditionalFormatting>
  <conditionalFormatting sqref="AD525:AE525 AD524">
    <cfRule type="cellIs" dxfId="384" priority="176" stopIfTrue="1" operator="greaterThan">
      <formula>0</formula>
    </cfRule>
  </conditionalFormatting>
  <conditionalFormatting sqref="AD532:AE532">
    <cfRule type="cellIs" dxfId="383" priority="173" operator="equal">
      <formula>"NO CUMPLE"</formula>
    </cfRule>
    <cfRule type="cellIs" dxfId="382" priority="174" operator="equal">
      <formula>"CUMPLE"</formula>
    </cfRule>
    <cfRule type="cellIs" dxfId="381" priority="175" operator="equal">
      <formula>""""""</formula>
    </cfRule>
  </conditionalFormatting>
  <conditionalFormatting sqref="AD533">
    <cfRule type="cellIs" dxfId="380" priority="172" stopIfTrue="1" operator="greaterThan">
      <formula>0</formula>
    </cfRule>
  </conditionalFormatting>
  <conditionalFormatting sqref="AD533">
    <cfRule type="cellIs" dxfId="379" priority="171" operator="equal">
      <formula>"NO CUMPLE"</formula>
    </cfRule>
  </conditionalFormatting>
  <conditionalFormatting sqref="AD533 AD526:AE532">
    <cfRule type="cellIs" dxfId="378" priority="169" operator="equal">
      <formula>"CUMPLE"</formula>
    </cfRule>
    <cfRule type="cellIs" dxfId="377" priority="170" operator="equal">
      <formula>"NO CUMPLE"</formula>
    </cfRule>
  </conditionalFormatting>
  <conditionalFormatting sqref="AD543:AE543 AD542">
    <cfRule type="cellIs" dxfId="376" priority="168" stopIfTrue="1" operator="greaterThan">
      <formula>0</formula>
    </cfRule>
  </conditionalFormatting>
  <conditionalFormatting sqref="AD550:AE550">
    <cfRule type="cellIs" dxfId="375" priority="165" operator="equal">
      <formula>"NO CUMPLE"</formula>
    </cfRule>
    <cfRule type="cellIs" dxfId="374" priority="166" operator="equal">
      <formula>"CUMPLE"</formula>
    </cfRule>
    <cfRule type="cellIs" dxfId="373" priority="167" operator="equal">
      <formula>""""""</formula>
    </cfRule>
  </conditionalFormatting>
  <conditionalFormatting sqref="AD551">
    <cfRule type="cellIs" dxfId="372" priority="164" stopIfTrue="1" operator="greaterThan">
      <formula>0</formula>
    </cfRule>
  </conditionalFormatting>
  <conditionalFormatting sqref="AD551">
    <cfRule type="cellIs" dxfId="371" priority="163" operator="equal">
      <formula>"NO CUMPLE"</formula>
    </cfRule>
  </conditionalFormatting>
  <conditionalFormatting sqref="AD551 AD544:AE550">
    <cfRule type="cellIs" dxfId="370" priority="161" operator="equal">
      <formula>"CUMPLE"</formula>
    </cfRule>
    <cfRule type="cellIs" dxfId="369" priority="162" operator="equal">
      <formula>"NO CUMPLE"</formula>
    </cfRule>
  </conditionalFormatting>
  <conditionalFormatting sqref="AD561:AE561 AD560">
    <cfRule type="cellIs" dxfId="368" priority="160" stopIfTrue="1" operator="greaterThan">
      <formula>0</formula>
    </cfRule>
  </conditionalFormatting>
  <conditionalFormatting sqref="AD568:AE568">
    <cfRule type="cellIs" dxfId="367" priority="157" operator="equal">
      <formula>"NO CUMPLE"</formula>
    </cfRule>
    <cfRule type="cellIs" dxfId="366" priority="158" operator="equal">
      <formula>"CUMPLE"</formula>
    </cfRule>
    <cfRule type="cellIs" dxfId="365" priority="159" operator="equal">
      <formula>""""""</formula>
    </cfRule>
  </conditionalFormatting>
  <conditionalFormatting sqref="AD569">
    <cfRule type="cellIs" dxfId="364" priority="156" stopIfTrue="1" operator="greaterThan">
      <formula>0</formula>
    </cfRule>
  </conditionalFormatting>
  <conditionalFormatting sqref="AD569">
    <cfRule type="cellIs" dxfId="363" priority="155" operator="equal">
      <formula>"NO CUMPLE"</formula>
    </cfRule>
  </conditionalFormatting>
  <conditionalFormatting sqref="AD569 AD562:AE568">
    <cfRule type="cellIs" dxfId="362" priority="153" operator="equal">
      <formula>"CUMPLE"</formula>
    </cfRule>
    <cfRule type="cellIs" dxfId="361" priority="154" operator="equal">
      <formula>"NO CUMPLE"</formula>
    </cfRule>
  </conditionalFormatting>
  <conditionalFormatting sqref="AD579:AE579 AD578">
    <cfRule type="cellIs" dxfId="360" priority="152" stopIfTrue="1" operator="greaterThan">
      <formula>0</formula>
    </cfRule>
  </conditionalFormatting>
  <conditionalFormatting sqref="AD586:AE586">
    <cfRule type="cellIs" dxfId="359" priority="149" operator="equal">
      <formula>"NO CUMPLE"</formula>
    </cfRule>
    <cfRule type="cellIs" dxfId="358" priority="150" operator="equal">
      <formula>"CUMPLE"</formula>
    </cfRule>
    <cfRule type="cellIs" dxfId="357" priority="151" operator="equal">
      <formula>""""""</formula>
    </cfRule>
  </conditionalFormatting>
  <conditionalFormatting sqref="AD587">
    <cfRule type="cellIs" dxfId="356" priority="148" stopIfTrue="1" operator="greaterThan">
      <formula>0</formula>
    </cfRule>
  </conditionalFormatting>
  <conditionalFormatting sqref="AD587">
    <cfRule type="cellIs" dxfId="355" priority="147" operator="equal">
      <formula>"NO CUMPLE"</formula>
    </cfRule>
  </conditionalFormatting>
  <conditionalFormatting sqref="AD587 AD580:AE586">
    <cfRule type="cellIs" dxfId="354" priority="145" operator="equal">
      <formula>"CUMPLE"</formula>
    </cfRule>
    <cfRule type="cellIs" dxfId="353" priority="146" operator="equal">
      <formula>"NO CUMPLE"</formula>
    </cfRule>
  </conditionalFormatting>
  <conditionalFormatting sqref="AD597:AE597 AD596">
    <cfRule type="cellIs" dxfId="352" priority="144" stopIfTrue="1" operator="greaterThan">
      <formula>0</formula>
    </cfRule>
  </conditionalFormatting>
  <conditionalFormatting sqref="AD604:AE604">
    <cfRule type="cellIs" dxfId="351" priority="141" operator="equal">
      <formula>"NO CUMPLE"</formula>
    </cfRule>
    <cfRule type="cellIs" dxfId="350" priority="142" operator="equal">
      <formula>"CUMPLE"</formula>
    </cfRule>
    <cfRule type="cellIs" dxfId="349" priority="143" operator="equal">
      <formula>""""""</formula>
    </cfRule>
  </conditionalFormatting>
  <conditionalFormatting sqref="AD605">
    <cfRule type="cellIs" dxfId="348" priority="140" stopIfTrue="1" operator="greaterThan">
      <formula>0</formula>
    </cfRule>
  </conditionalFormatting>
  <conditionalFormatting sqref="AD605">
    <cfRule type="cellIs" dxfId="347" priority="139" operator="equal">
      <formula>"NO CUMPLE"</formula>
    </cfRule>
  </conditionalFormatting>
  <conditionalFormatting sqref="AD598:AE604 AD605">
    <cfRule type="cellIs" dxfId="346" priority="137" operator="equal">
      <formula>"CUMPLE"</formula>
    </cfRule>
    <cfRule type="cellIs" dxfId="345" priority="138" operator="equal">
      <formula>"NO CUMPLE"</formula>
    </cfRule>
  </conditionalFormatting>
  <conditionalFormatting sqref="AD615:AE615 AD614">
    <cfRule type="cellIs" dxfId="344" priority="136" stopIfTrue="1" operator="greaterThan">
      <formula>0</formula>
    </cfRule>
  </conditionalFormatting>
  <conditionalFormatting sqref="AD622:AE622">
    <cfRule type="cellIs" dxfId="343" priority="133" operator="equal">
      <formula>"NO CUMPLE"</formula>
    </cfRule>
    <cfRule type="cellIs" dxfId="342" priority="134" operator="equal">
      <formula>"CUMPLE"</formula>
    </cfRule>
    <cfRule type="cellIs" dxfId="341" priority="135" operator="equal">
      <formula>""""""</formula>
    </cfRule>
  </conditionalFormatting>
  <conditionalFormatting sqref="AD623">
    <cfRule type="cellIs" dxfId="340" priority="132" stopIfTrue="1" operator="greaterThan">
      <formula>0</formula>
    </cfRule>
  </conditionalFormatting>
  <conditionalFormatting sqref="AD623">
    <cfRule type="cellIs" dxfId="339" priority="131" operator="equal">
      <formula>"NO CUMPLE"</formula>
    </cfRule>
  </conditionalFormatting>
  <conditionalFormatting sqref="AD623 AD616:AE622">
    <cfRule type="cellIs" dxfId="338" priority="129" operator="equal">
      <formula>"CUMPLE"</formula>
    </cfRule>
    <cfRule type="cellIs" dxfId="337" priority="130" operator="equal">
      <formula>"NO CUMPLE"</formula>
    </cfRule>
  </conditionalFormatting>
  <conditionalFormatting sqref="AD633:AE633 AD632">
    <cfRule type="cellIs" dxfId="336" priority="128" stopIfTrue="1" operator="greaterThan">
      <formula>0</formula>
    </cfRule>
  </conditionalFormatting>
  <conditionalFormatting sqref="AD640:AE640">
    <cfRule type="cellIs" dxfId="335" priority="125" operator="equal">
      <formula>"NO CUMPLE"</formula>
    </cfRule>
    <cfRule type="cellIs" dxfId="334" priority="126" operator="equal">
      <formula>"CUMPLE"</formula>
    </cfRule>
    <cfRule type="cellIs" dxfId="333" priority="127" operator="equal">
      <formula>""""""</formula>
    </cfRule>
  </conditionalFormatting>
  <conditionalFormatting sqref="AD641">
    <cfRule type="cellIs" dxfId="332" priority="124" stopIfTrue="1" operator="greaterThan">
      <formula>0</formula>
    </cfRule>
  </conditionalFormatting>
  <conditionalFormatting sqref="AD641">
    <cfRule type="cellIs" dxfId="331" priority="123" operator="equal">
      <formula>"NO CUMPLE"</formula>
    </cfRule>
  </conditionalFormatting>
  <conditionalFormatting sqref="AD641 AD634:AE640">
    <cfRule type="cellIs" dxfId="330" priority="121" operator="equal">
      <formula>"CUMPLE"</formula>
    </cfRule>
    <cfRule type="cellIs" dxfId="329" priority="122" operator="equal">
      <formula>"NO CUMPLE"</formula>
    </cfRule>
  </conditionalFormatting>
  <conditionalFormatting sqref="AD651:AE651 AD650">
    <cfRule type="cellIs" dxfId="328" priority="120" stopIfTrue="1" operator="greaterThan">
      <formula>0</formula>
    </cfRule>
  </conditionalFormatting>
  <conditionalFormatting sqref="AD658:AE658">
    <cfRule type="cellIs" dxfId="327" priority="117" operator="equal">
      <formula>"NO CUMPLE"</formula>
    </cfRule>
    <cfRule type="cellIs" dxfId="326" priority="118" operator="equal">
      <formula>"CUMPLE"</formula>
    </cfRule>
    <cfRule type="cellIs" dxfId="325" priority="119" operator="equal">
      <formula>""""""</formula>
    </cfRule>
  </conditionalFormatting>
  <conditionalFormatting sqref="AD659">
    <cfRule type="cellIs" dxfId="324" priority="116" stopIfTrue="1" operator="greaterThan">
      <formula>0</formula>
    </cfRule>
  </conditionalFormatting>
  <conditionalFormatting sqref="AD659">
    <cfRule type="cellIs" dxfId="323" priority="115" operator="equal">
      <formula>"NO CUMPLE"</formula>
    </cfRule>
  </conditionalFormatting>
  <conditionalFormatting sqref="AD659 AD652:AE658">
    <cfRule type="cellIs" dxfId="322" priority="113" operator="equal">
      <formula>"CUMPLE"</formula>
    </cfRule>
    <cfRule type="cellIs" dxfId="321" priority="114" operator="equal">
      <formula>"NO CUMPLE"</formula>
    </cfRule>
  </conditionalFormatting>
  <conditionalFormatting sqref="AC23:AC26">
    <cfRule type="cellIs" dxfId="320" priority="111" operator="equal">
      <formula>"CUMPLE"</formula>
    </cfRule>
    <cfRule type="cellIs" dxfId="319" priority="112" operator="equal">
      <formula>"NO CUMPLE"</formula>
    </cfRule>
  </conditionalFormatting>
  <conditionalFormatting sqref="AC26:AC27">
    <cfRule type="cellIs" dxfId="318" priority="109" operator="equal">
      <formula>"CUMPLE"</formula>
    </cfRule>
    <cfRule type="cellIs" dxfId="317" priority="110" operator="equal">
      <formula>"NO CUMPLE"</formula>
    </cfRule>
  </conditionalFormatting>
  <conditionalFormatting sqref="W37">
    <cfRule type="cellIs" dxfId="316" priority="106" stopIfTrue="1" operator="greaterThan">
      <formula>0</formula>
    </cfRule>
  </conditionalFormatting>
  <conditionalFormatting sqref="W37">
    <cfRule type="cellIs" dxfId="315" priority="105" stopIfTrue="1" operator="greaterThan">
      <formula>0</formula>
    </cfRule>
  </conditionalFormatting>
  <conditionalFormatting sqref="AE23:AE27">
    <cfRule type="cellIs" dxfId="314" priority="99" operator="equal">
      <formula>"CUMPLE"</formula>
    </cfRule>
    <cfRule type="cellIs" dxfId="313" priority="100" operator="equal">
      <formula>"NO CUMPLE"</formula>
    </cfRule>
  </conditionalFormatting>
  <conditionalFormatting sqref="AE23:AE27">
    <cfRule type="cellIs" dxfId="312" priority="97" operator="equal">
      <formula>"CUMPLE"</formula>
    </cfRule>
    <cfRule type="cellIs" dxfId="311" priority="98" operator="equal">
      <formula>"NO CUMPLE"</formula>
    </cfRule>
  </conditionalFormatting>
  <conditionalFormatting sqref="W55">
    <cfRule type="cellIs" dxfId="310" priority="94" stopIfTrue="1" operator="greaterThan">
      <formula>0</formula>
    </cfRule>
  </conditionalFormatting>
  <conditionalFormatting sqref="W55">
    <cfRule type="cellIs" dxfId="309" priority="93" stopIfTrue="1" operator="greaterThan">
      <formula>0</formula>
    </cfRule>
  </conditionalFormatting>
  <conditionalFormatting sqref="W73">
    <cfRule type="cellIs" dxfId="308" priority="90" stopIfTrue="1" operator="greaterThan">
      <formula>0</formula>
    </cfRule>
  </conditionalFormatting>
  <conditionalFormatting sqref="W73">
    <cfRule type="cellIs" dxfId="307" priority="89" stopIfTrue="1" operator="greaterThan">
      <formula>0</formula>
    </cfRule>
  </conditionalFormatting>
  <conditionalFormatting sqref="W91">
    <cfRule type="cellIs" dxfId="306" priority="86" stopIfTrue="1" operator="greaterThan">
      <formula>0</formula>
    </cfRule>
  </conditionalFormatting>
  <conditionalFormatting sqref="W91">
    <cfRule type="cellIs" dxfId="305" priority="85" stopIfTrue="1" operator="greaterThan">
      <formula>0</formula>
    </cfRule>
  </conditionalFormatting>
  <conditionalFormatting sqref="W109">
    <cfRule type="cellIs" dxfId="304" priority="82" stopIfTrue="1" operator="greaterThan">
      <formula>0</formula>
    </cfRule>
  </conditionalFormatting>
  <conditionalFormatting sqref="W109">
    <cfRule type="cellIs" dxfId="303" priority="81" stopIfTrue="1" operator="greaterThan">
      <formula>0</formula>
    </cfRule>
  </conditionalFormatting>
  <conditionalFormatting sqref="W127">
    <cfRule type="cellIs" dxfId="302" priority="78" stopIfTrue="1" operator="greaterThan">
      <formula>0</formula>
    </cfRule>
  </conditionalFormatting>
  <conditionalFormatting sqref="W127">
    <cfRule type="cellIs" dxfId="301" priority="77" stopIfTrue="1" operator="greaterThan">
      <formula>0</formula>
    </cfRule>
  </conditionalFormatting>
  <conditionalFormatting sqref="W145">
    <cfRule type="cellIs" dxfId="300" priority="74" stopIfTrue="1" operator="greaterThan">
      <formula>0</formula>
    </cfRule>
  </conditionalFormatting>
  <conditionalFormatting sqref="W145">
    <cfRule type="cellIs" dxfId="299" priority="73" stopIfTrue="1" operator="greaterThan">
      <formula>0</formula>
    </cfRule>
  </conditionalFormatting>
  <conditionalFormatting sqref="W163">
    <cfRule type="cellIs" dxfId="298" priority="70" stopIfTrue="1" operator="greaterThan">
      <formula>0</formula>
    </cfRule>
  </conditionalFormatting>
  <conditionalFormatting sqref="W163">
    <cfRule type="cellIs" dxfId="297" priority="69" stopIfTrue="1" operator="greaterThan">
      <formula>0</formula>
    </cfRule>
  </conditionalFormatting>
  <conditionalFormatting sqref="W181">
    <cfRule type="cellIs" dxfId="296" priority="66" stopIfTrue="1" operator="greaterThan">
      <formula>0</formula>
    </cfRule>
  </conditionalFormatting>
  <conditionalFormatting sqref="W181">
    <cfRule type="cellIs" dxfId="295" priority="65" stopIfTrue="1" operator="greaterThan">
      <formula>0</formula>
    </cfRule>
  </conditionalFormatting>
  <conditionalFormatting sqref="W199">
    <cfRule type="cellIs" dxfId="294" priority="62" stopIfTrue="1" operator="greaterThan">
      <formula>0</formula>
    </cfRule>
  </conditionalFormatting>
  <conditionalFormatting sqref="W199">
    <cfRule type="cellIs" dxfId="293" priority="61" stopIfTrue="1" operator="greaterThan">
      <formula>0</formula>
    </cfRule>
  </conditionalFormatting>
  <conditionalFormatting sqref="W217">
    <cfRule type="cellIs" dxfId="292" priority="58" stopIfTrue="1" operator="greaterThan">
      <formula>0</formula>
    </cfRule>
  </conditionalFormatting>
  <conditionalFormatting sqref="W217">
    <cfRule type="cellIs" dxfId="291" priority="57" stopIfTrue="1" operator="greaterThan">
      <formula>0</formula>
    </cfRule>
  </conditionalFormatting>
  <conditionalFormatting sqref="W235">
    <cfRule type="cellIs" dxfId="290" priority="54" stopIfTrue="1" operator="greaterThan">
      <formula>0</formula>
    </cfRule>
  </conditionalFormatting>
  <conditionalFormatting sqref="W235">
    <cfRule type="cellIs" dxfId="289" priority="53" stopIfTrue="1" operator="greaterThan">
      <formula>0</formula>
    </cfRule>
  </conditionalFormatting>
  <conditionalFormatting sqref="W253">
    <cfRule type="cellIs" dxfId="288" priority="50" stopIfTrue="1" operator="greaterThan">
      <formula>0</formula>
    </cfRule>
  </conditionalFormatting>
  <conditionalFormatting sqref="W253">
    <cfRule type="cellIs" dxfId="287" priority="49" stopIfTrue="1" operator="greaterThan">
      <formula>0</formula>
    </cfRule>
  </conditionalFormatting>
  <conditionalFormatting sqref="W271">
    <cfRule type="cellIs" dxfId="286" priority="46" stopIfTrue="1" operator="greaterThan">
      <formula>0</formula>
    </cfRule>
  </conditionalFormatting>
  <conditionalFormatting sqref="W271">
    <cfRule type="cellIs" dxfId="285" priority="45" stopIfTrue="1" operator="greaterThan">
      <formula>0</formula>
    </cfRule>
  </conditionalFormatting>
  <conditionalFormatting sqref="W289">
    <cfRule type="cellIs" dxfId="284" priority="42" stopIfTrue="1" operator="greaterThan">
      <formula>0</formula>
    </cfRule>
  </conditionalFormatting>
  <conditionalFormatting sqref="W289">
    <cfRule type="cellIs" dxfId="283" priority="41" stopIfTrue="1" operator="greaterThan">
      <formula>0</formula>
    </cfRule>
  </conditionalFormatting>
  <conditionalFormatting sqref="W307">
    <cfRule type="cellIs" dxfId="282" priority="40" stopIfTrue="1" operator="greaterThan">
      <formula>0</formula>
    </cfRule>
  </conditionalFormatting>
  <conditionalFormatting sqref="W307">
    <cfRule type="cellIs" dxfId="281" priority="39" stopIfTrue="1" operator="greaterThan">
      <formula>0</formula>
    </cfRule>
  </conditionalFormatting>
  <conditionalFormatting sqref="W325">
    <cfRule type="cellIs" dxfId="280" priority="38" stopIfTrue="1" operator="greaterThan">
      <formula>0</formula>
    </cfRule>
  </conditionalFormatting>
  <conditionalFormatting sqref="W325">
    <cfRule type="cellIs" dxfId="279" priority="37" stopIfTrue="1" operator="greaterThan">
      <formula>0</formula>
    </cfRule>
  </conditionalFormatting>
  <conditionalFormatting sqref="W343">
    <cfRule type="cellIs" dxfId="278" priority="36" stopIfTrue="1" operator="greaterThan">
      <formula>0</formula>
    </cfRule>
  </conditionalFormatting>
  <conditionalFormatting sqref="W343">
    <cfRule type="cellIs" dxfId="277" priority="35" stopIfTrue="1" operator="greaterThan">
      <formula>0</formula>
    </cfRule>
  </conditionalFormatting>
  <conditionalFormatting sqref="W361">
    <cfRule type="cellIs" dxfId="276" priority="34" stopIfTrue="1" operator="greaterThan">
      <formula>0</formula>
    </cfRule>
  </conditionalFormatting>
  <conditionalFormatting sqref="W361">
    <cfRule type="cellIs" dxfId="275" priority="33" stopIfTrue="1" operator="greaterThan">
      <formula>0</formula>
    </cfRule>
  </conditionalFormatting>
  <conditionalFormatting sqref="W379">
    <cfRule type="cellIs" dxfId="274" priority="32" stopIfTrue="1" operator="greaterThan">
      <formula>0</formula>
    </cfRule>
  </conditionalFormatting>
  <conditionalFormatting sqref="W379">
    <cfRule type="cellIs" dxfId="273" priority="31" stopIfTrue="1" operator="greaterThan">
      <formula>0</formula>
    </cfRule>
  </conditionalFormatting>
  <conditionalFormatting sqref="W397">
    <cfRule type="cellIs" dxfId="272" priority="30" stopIfTrue="1" operator="greaterThan">
      <formula>0</formula>
    </cfRule>
  </conditionalFormatting>
  <conditionalFormatting sqref="W397">
    <cfRule type="cellIs" dxfId="271" priority="29" stopIfTrue="1" operator="greaterThan">
      <formula>0</formula>
    </cfRule>
  </conditionalFormatting>
  <conditionalFormatting sqref="W415">
    <cfRule type="cellIs" dxfId="270" priority="28" stopIfTrue="1" operator="greaterThan">
      <formula>0</formula>
    </cfRule>
  </conditionalFormatting>
  <conditionalFormatting sqref="W415">
    <cfRule type="cellIs" dxfId="269" priority="27" stopIfTrue="1" operator="greaterThan">
      <formula>0</formula>
    </cfRule>
  </conditionalFormatting>
  <conditionalFormatting sqref="W433">
    <cfRule type="cellIs" dxfId="268" priority="26" stopIfTrue="1" operator="greaterThan">
      <formula>0</formula>
    </cfRule>
  </conditionalFormatting>
  <conditionalFormatting sqref="W433">
    <cfRule type="cellIs" dxfId="267" priority="25" stopIfTrue="1" operator="greaterThan">
      <formula>0</formula>
    </cfRule>
  </conditionalFormatting>
  <conditionalFormatting sqref="W451">
    <cfRule type="cellIs" dxfId="266" priority="24" stopIfTrue="1" operator="greaterThan">
      <formula>0</formula>
    </cfRule>
  </conditionalFormatting>
  <conditionalFormatting sqref="W451">
    <cfRule type="cellIs" dxfId="265" priority="23" stopIfTrue="1" operator="greaterThan">
      <formula>0</formula>
    </cfRule>
  </conditionalFormatting>
  <conditionalFormatting sqref="W469">
    <cfRule type="cellIs" dxfId="264" priority="22" stopIfTrue="1" operator="greaterThan">
      <formula>0</formula>
    </cfRule>
  </conditionalFormatting>
  <conditionalFormatting sqref="W469">
    <cfRule type="cellIs" dxfId="263" priority="21" stopIfTrue="1" operator="greaterThan">
      <formula>0</formula>
    </cfRule>
  </conditionalFormatting>
  <conditionalFormatting sqref="W487">
    <cfRule type="cellIs" dxfId="262" priority="20" stopIfTrue="1" operator="greaterThan">
      <formula>0</formula>
    </cfRule>
  </conditionalFormatting>
  <conditionalFormatting sqref="W487">
    <cfRule type="cellIs" dxfId="261" priority="19" stopIfTrue="1" operator="greaterThan">
      <formula>0</formula>
    </cfRule>
  </conditionalFormatting>
  <conditionalFormatting sqref="W505">
    <cfRule type="cellIs" dxfId="260" priority="18" stopIfTrue="1" operator="greaterThan">
      <formula>0</formula>
    </cfRule>
  </conditionalFormatting>
  <conditionalFormatting sqref="W505">
    <cfRule type="cellIs" dxfId="259" priority="17" stopIfTrue="1" operator="greaterThan">
      <formula>0</formula>
    </cfRule>
  </conditionalFormatting>
  <conditionalFormatting sqref="W523">
    <cfRule type="cellIs" dxfId="258" priority="16" stopIfTrue="1" operator="greaterThan">
      <formula>0</formula>
    </cfRule>
  </conditionalFormatting>
  <conditionalFormatting sqref="W523">
    <cfRule type="cellIs" dxfId="257" priority="15" stopIfTrue="1" operator="greaterThan">
      <formula>0</formula>
    </cfRule>
  </conditionalFormatting>
  <conditionalFormatting sqref="W541">
    <cfRule type="cellIs" dxfId="256" priority="14" stopIfTrue="1" operator="greaterThan">
      <formula>0</formula>
    </cfRule>
  </conditionalFormatting>
  <conditionalFormatting sqref="W541">
    <cfRule type="cellIs" dxfId="255" priority="13" stopIfTrue="1" operator="greaterThan">
      <formula>0</formula>
    </cfRule>
  </conditionalFormatting>
  <conditionalFormatting sqref="W559">
    <cfRule type="cellIs" dxfId="254" priority="12" stopIfTrue="1" operator="greaterThan">
      <formula>0</formula>
    </cfRule>
  </conditionalFormatting>
  <conditionalFormatting sqref="W559">
    <cfRule type="cellIs" dxfId="253" priority="11" stopIfTrue="1" operator="greaterThan">
      <formula>0</formula>
    </cfRule>
  </conditionalFormatting>
  <conditionalFormatting sqref="W577">
    <cfRule type="cellIs" dxfId="252" priority="10" stopIfTrue="1" operator="greaterThan">
      <formula>0</formula>
    </cfRule>
  </conditionalFormatting>
  <conditionalFormatting sqref="W577">
    <cfRule type="cellIs" dxfId="251" priority="9" stopIfTrue="1" operator="greaterThan">
      <formula>0</formula>
    </cfRule>
  </conditionalFormatting>
  <conditionalFormatting sqref="W595">
    <cfRule type="cellIs" dxfId="250" priority="8" stopIfTrue="1" operator="greaterThan">
      <formula>0</formula>
    </cfRule>
  </conditionalFormatting>
  <conditionalFormatting sqref="W595">
    <cfRule type="cellIs" dxfId="249" priority="7" stopIfTrue="1" operator="greaterThan">
      <formula>0</formula>
    </cfRule>
  </conditionalFormatting>
  <conditionalFormatting sqref="W613">
    <cfRule type="cellIs" dxfId="248" priority="6" stopIfTrue="1" operator="greaterThan">
      <formula>0</formula>
    </cfRule>
  </conditionalFormatting>
  <conditionalFormatting sqref="W613">
    <cfRule type="cellIs" dxfId="247" priority="5" stopIfTrue="1" operator="greaterThan">
      <formula>0</formula>
    </cfRule>
  </conditionalFormatting>
  <conditionalFormatting sqref="W631">
    <cfRule type="cellIs" dxfId="246" priority="4" stopIfTrue="1" operator="greaterThan">
      <formula>0</formula>
    </cfRule>
  </conditionalFormatting>
  <conditionalFormatting sqref="W631">
    <cfRule type="cellIs" dxfId="245" priority="3" stopIfTrue="1" operator="greaterThan">
      <formula>0</formula>
    </cfRule>
  </conditionalFormatting>
  <conditionalFormatting sqref="W649">
    <cfRule type="cellIs" dxfId="244" priority="2" stopIfTrue="1" operator="greaterThan">
      <formula>0</formula>
    </cfRule>
  </conditionalFormatting>
  <conditionalFormatting sqref="W649">
    <cfRule type="cellIs" dxfId="243" priority="1" stopIfTrue="1" operator="greaterThan">
      <formula>0</formula>
    </cfRule>
  </conditionalFormatting>
  <printOptions horizontalCentered="1" verticalCentered="1"/>
  <pageMargins left="0.19685039370078741" right="0" top="0.19685039370078741" bottom="0.15748031496062992" header="0.15748031496062992" footer="0.15748031496062992"/>
  <pageSetup scale="41" orientation="landscape" blackAndWhite="1" horizontalDpi="1200" verticalDpi="1200" r:id="rId3"/>
  <headerFooter alignWithMargins="0"/>
  <extLst>
    <ext xmlns:x14="http://schemas.microsoft.com/office/spreadsheetml/2009/9/main" uri="{CCE6A557-97BC-4b89-ADB6-D9C93CAAB3DF}">
      <x14:dataValidations xmlns:xm="http://schemas.microsoft.com/office/excel/2006/main" xWindow="1065" yWindow="481" count="1">
        <x14:dataValidation type="list" allowBlank="1" showInputMessage="1" showErrorMessage="1">
          <x14:formula1>
            <xm:f>SMLM!$N$3:$N$6</xm:f>
          </x14:formula1>
          <xm:sqref>R22:R27 R40:R45 R58:R63 R76:R81 R94:R99 R112:R117 R130:R135 R148:R153 R166:R171 R184:R189 R202:R207 R220:R225 R238:R243 R256:R261 R274:R279 R292:R297 R310:R315 R328:R333 R346:R351 R364:R369 R382:R387 R400:R405 R418:R423 R436:R441 R454:R459 R472:R477 R490:R495 R508:R513 R526:R531 R544:R549 R562:R567 R580:R585 R598:R603 R616:R621 R634:R639 R652:R657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J54"/>
  <sheetViews>
    <sheetView topLeftCell="A9" zoomScaleNormal="100" zoomScaleSheetLayoutView="100" workbookViewId="0">
      <selection activeCell="A3" sqref="A1:XFD1048576"/>
    </sheetView>
  </sheetViews>
  <sheetFormatPr baseColWidth="10" defaultRowHeight="12.75"/>
  <cols>
    <col min="1" max="1" width="2.7109375" style="30" customWidth="1"/>
    <col min="2" max="2" width="10.140625" style="25" customWidth="1"/>
    <col min="3" max="3" width="58.85546875" style="30" customWidth="1"/>
    <col min="4" max="4" width="12.7109375" style="84" customWidth="1"/>
    <col min="5" max="8" width="12.7109375" style="30" customWidth="1"/>
    <col min="9" max="9" width="13.28515625" style="30" bestFit="1" customWidth="1"/>
    <col min="10" max="10" width="8.7109375" style="30" customWidth="1"/>
    <col min="11" max="16384" width="11.42578125" style="30"/>
  </cols>
  <sheetData>
    <row r="1" spans="2:10" ht="20.100000000000001" customHeight="1">
      <c r="B1" s="7" t="str">
        <f>PRESUPUESTOS!B1</f>
        <v>INSTITUTO NACIONAL DE VÍAS</v>
      </c>
      <c r="C1" s="7"/>
      <c r="D1" s="7"/>
      <c r="E1" s="7"/>
      <c r="F1" s="7"/>
      <c r="G1" s="7"/>
      <c r="H1" s="7"/>
      <c r="I1" s="7"/>
    </row>
    <row r="2" spans="2:10" ht="6" customHeight="1">
      <c r="B2" s="7"/>
      <c r="C2" s="7"/>
      <c r="D2" s="7"/>
      <c r="E2" s="7"/>
      <c r="F2" s="7"/>
      <c r="G2" s="7"/>
      <c r="H2" s="7"/>
      <c r="I2" s="7"/>
    </row>
    <row r="3" spans="2:10" ht="20.100000000000001" customHeight="1">
      <c r="B3" s="7" t="str">
        <f>PRESUPUESTOS!B3</f>
        <v>CONCURSO DE MÉRITOS ABIERTO</v>
      </c>
      <c r="C3" s="7"/>
      <c r="D3" s="7"/>
      <c r="E3" s="7"/>
      <c r="F3" s="7"/>
      <c r="G3" s="7"/>
      <c r="H3" s="7"/>
      <c r="I3" s="7"/>
    </row>
    <row r="4" spans="2:10" ht="20.100000000000001" customHeight="1">
      <c r="B4" s="7" t="str">
        <f>PRESUPUESTOS!B4</f>
        <v>CONCURSO DE MERITOS CMA-DO-SRN-100-2019</v>
      </c>
      <c r="C4" s="7"/>
      <c r="D4" s="7"/>
      <c r="E4" s="7"/>
      <c r="F4" s="7"/>
      <c r="G4" s="7"/>
      <c r="H4" s="7"/>
      <c r="I4" s="7"/>
    </row>
    <row r="5" spans="2:10" ht="37.5" customHeight="1">
      <c r="B5" s="12" t="str">
        <f>PRESUPUESTOS!B6</f>
        <v>ADMINISTRACIÓN VIAL DE LAS CARRETERAS A CARGO DE LA TERRITORIAL SANTANDER</v>
      </c>
      <c r="C5" s="7"/>
      <c r="D5" s="7"/>
      <c r="E5" s="7"/>
      <c r="F5" s="7"/>
      <c r="G5" s="7"/>
      <c r="H5" s="7"/>
      <c r="I5" s="7"/>
    </row>
    <row r="6" spans="2:10" ht="6.75" customHeight="1">
      <c r="B6" s="7"/>
      <c r="C6" s="7"/>
      <c r="D6" s="7"/>
      <c r="E6" s="7"/>
      <c r="F6" s="7"/>
      <c r="G6" s="7"/>
      <c r="H6" s="7"/>
      <c r="I6" s="7"/>
    </row>
    <row r="7" spans="2:10" ht="18.75" customHeight="1">
      <c r="B7" s="7" t="str">
        <f>PRESUPUESTOS!B7</f>
        <v xml:space="preserve">MODULO </v>
      </c>
      <c r="C7" s="7"/>
      <c r="D7" s="7"/>
      <c r="E7" s="7"/>
      <c r="F7" s="7"/>
      <c r="G7" s="7"/>
      <c r="H7" s="7"/>
      <c r="I7" s="7"/>
    </row>
    <row r="8" spans="2:10" ht="16.5" customHeight="1">
      <c r="B8" s="60" t="s">
        <v>3</v>
      </c>
      <c r="C8" s="60"/>
      <c r="D8" s="60"/>
      <c r="E8" s="60"/>
      <c r="F8" s="60"/>
      <c r="G8" s="60"/>
      <c r="H8" s="60"/>
      <c r="I8" s="60"/>
    </row>
    <row r="9" spans="2:10">
      <c r="B9" s="61"/>
      <c r="C9" s="61"/>
      <c r="D9" s="61"/>
      <c r="E9" s="61"/>
      <c r="F9" s="61"/>
      <c r="G9" s="61"/>
      <c r="H9" s="61"/>
      <c r="I9" s="61"/>
    </row>
    <row r="10" spans="2:10" ht="18.75" customHeight="1">
      <c r="B10" s="62" t="s">
        <v>1</v>
      </c>
      <c r="C10" s="62"/>
      <c r="D10" s="62"/>
      <c r="E10" s="62"/>
      <c r="F10" s="62"/>
      <c r="G10" s="62"/>
      <c r="H10" s="62"/>
      <c r="I10" s="62"/>
    </row>
    <row r="11" spans="2:10" ht="13.5" thickBot="1">
      <c r="B11" s="63"/>
      <c r="C11" s="33"/>
      <c r="D11" s="64"/>
      <c r="E11" s="33"/>
      <c r="F11" s="33"/>
      <c r="G11" s="33"/>
      <c r="H11" s="33"/>
      <c r="I11" s="33"/>
      <c r="J11" s="65"/>
    </row>
    <row r="12" spans="2:10" ht="20.100000000000001" customHeight="1" thickTop="1">
      <c r="B12" s="66" t="s">
        <v>11</v>
      </c>
      <c r="C12" s="759" t="s">
        <v>12</v>
      </c>
      <c r="D12" s="764" t="s">
        <v>141</v>
      </c>
      <c r="E12" s="375" t="s">
        <v>142</v>
      </c>
      <c r="F12" s="674" t="s">
        <v>40</v>
      </c>
      <c r="G12" s="662" t="s">
        <v>518</v>
      </c>
      <c r="H12" s="375" t="s">
        <v>520</v>
      </c>
      <c r="I12" s="68" t="s">
        <v>4</v>
      </c>
      <c r="J12" s="65"/>
    </row>
    <row r="13" spans="2:10" ht="29.25" customHeight="1" thickBot="1">
      <c r="B13" s="69" t="s">
        <v>13</v>
      </c>
      <c r="C13" s="760"/>
      <c r="D13" s="765"/>
      <c r="E13" s="70" t="s">
        <v>143</v>
      </c>
      <c r="F13" s="70" t="s">
        <v>52</v>
      </c>
      <c r="G13" s="663" t="s">
        <v>521</v>
      </c>
      <c r="H13" s="590" t="s">
        <v>519</v>
      </c>
      <c r="I13" s="673" t="s">
        <v>5</v>
      </c>
      <c r="J13" s="65"/>
    </row>
    <row r="14" spans="2:10" ht="2.25" customHeight="1" thickTop="1">
      <c r="B14" s="66"/>
      <c r="C14" s="665"/>
      <c r="D14" s="71"/>
      <c r="E14" s="67"/>
      <c r="F14" s="67"/>
      <c r="G14" s="67"/>
      <c r="H14" s="67"/>
      <c r="I14" s="659"/>
      <c r="J14" s="65"/>
    </row>
    <row r="15" spans="2:10" ht="12.95" customHeight="1">
      <c r="B15" s="72">
        <f>IF(C15="","",B14+1)</f>
        <v>1</v>
      </c>
      <c r="C15" s="73" t="str">
        <f>VFrequerido!B15</f>
        <v>CONSORCIO C &amp; J</v>
      </c>
      <c r="D15" s="74" t="str">
        <f>VLOOKUP($B15,'FORMULARIO No 2- VFT'!$A$18:$AF$664,17,FALSE)</f>
        <v>CUMPLE</v>
      </c>
      <c r="E15" s="377" t="str">
        <f>VLOOKUP(B15,'FORMULARIO No 2- VFT'!$A$18:$AF$664,18,FALSE)</f>
        <v>CUMPLE</v>
      </c>
      <c r="F15" s="376" t="str">
        <f ca="1">VLOOKUP("E"&amp;B15,'FORMULARIO No 2- VFT'!$A$18:$AF$664,13,FALSE)</f>
        <v>CUMPLE</v>
      </c>
      <c r="G15" s="376" t="str">
        <f>VLOOKUP($B15,'FORMULARIO No 2- VFT'!$A$18:$AF$664,28,FALSE)</f>
        <v>CUMPLE</v>
      </c>
      <c r="H15" s="376" t="str">
        <f>VLOOKUP($B15,'FORMULARIO No 2- VFT'!$A$18:$AF$664,30,FALSE)</f>
        <v>CUMPLE</v>
      </c>
      <c r="I15" s="75" t="str">
        <f ca="1">IF(COUNTIF(D15:F15,"CUMPLE")=3,"ADMISIBLE","NO ADMISIBLE")</f>
        <v>ADMISIBLE</v>
      </c>
      <c r="J15" s="76" t="str">
        <f>+IF(B15-INT(B15)=0,"","BORRAR ESTA FILA")</f>
        <v/>
      </c>
    </row>
    <row r="16" spans="2:10" ht="12.95" customHeight="1">
      <c r="B16" s="72">
        <f t="shared" ref="B16:B24" si="0">IF(C16="","",B15+1)</f>
        <v>2</v>
      </c>
      <c r="C16" s="73" t="str">
        <f>VFrequerido!B16</f>
        <v>CONSORCIO RUTA SANTANDER 100</v>
      </c>
      <c r="D16" s="74" t="str">
        <f>VLOOKUP(B16,'FORMULARIO No 2- VFT'!$A$18:$AF$664,17,FALSE)</f>
        <v>CUMPLE</v>
      </c>
      <c r="E16" s="377" t="str">
        <f>VLOOKUP(B16,'FORMULARIO No 2- VFT'!$A$18:$AF$664,18,FALSE)</f>
        <v>CUMPLE</v>
      </c>
      <c r="F16" s="376" t="str">
        <f ca="1">VLOOKUP("E"&amp;B16,'FORMULARIO No 2- VFT'!$A$18:$AF$664,13,FALSE)</f>
        <v>CUMPLE</v>
      </c>
      <c r="G16" s="376" t="str">
        <f>VLOOKUP($B16,'FORMULARIO No 2- VFT'!$A$18:$AF$664,28,FALSE)</f>
        <v>CUMPLE</v>
      </c>
      <c r="H16" s="376" t="str">
        <f>VLOOKUP($B16,'FORMULARIO No 2- VFT'!$A$18:$AF$664,30,FALSE)</f>
        <v>CUMPLE</v>
      </c>
      <c r="I16" s="75" t="str">
        <f t="shared" ref="I16:I50" ca="1" si="1">IF(COUNTIF(D16:F16,"CUMPLE")=3,"ADMISIBLE","NO ADMISIBLE")</f>
        <v>ADMISIBLE</v>
      </c>
      <c r="J16" s="76" t="str">
        <f t="shared" ref="J16:J24" si="2">+IF(B16-INT(B16)=0,"","BORRAR ESTA FILA")</f>
        <v/>
      </c>
    </row>
    <row r="17" spans="2:10" ht="12.95" customHeight="1">
      <c r="B17" s="72">
        <f t="shared" si="0"/>
        <v>3</v>
      </c>
      <c r="C17" s="73" t="str">
        <f>VFrequerido!B17</f>
        <v>CONSORCIO SIETE</v>
      </c>
      <c r="D17" s="74" t="str">
        <f>VLOOKUP(B17,'FORMULARIO No 2- VFT'!$A$18:$AF$664,17,FALSE)</f>
        <v>CUMPLE</v>
      </c>
      <c r="E17" s="377" t="str">
        <f>VLOOKUP(B17,'FORMULARIO No 2- VFT'!$A$18:$AF$664,18,FALSE)</f>
        <v>CUMPLE</v>
      </c>
      <c r="F17" s="376" t="str">
        <f ca="1">VLOOKUP("E"&amp;B17,'FORMULARIO No 2- VFT'!$A$18:$AF$664,13,FALSE)</f>
        <v>NO CUMPLE</v>
      </c>
      <c r="G17" s="376" t="str">
        <f>VLOOKUP($B17,'FORMULARIO No 2- VFT'!$A$18:$AF$664,28,FALSE)</f>
        <v>CUMPLE</v>
      </c>
      <c r="H17" s="376" t="str">
        <f>VLOOKUP($B17,'FORMULARIO No 2- VFT'!$A$18:$AF$664,30,FALSE)</f>
        <v>CUMPLE</v>
      </c>
      <c r="I17" s="75" t="str">
        <f t="shared" ca="1" si="1"/>
        <v>NO ADMISIBLE</v>
      </c>
      <c r="J17" s="76" t="str">
        <f t="shared" si="2"/>
        <v/>
      </c>
    </row>
    <row r="18" spans="2:10" ht="12.95" customHeight="1">
      <c r="B18" s="72">
        <f t="shared" si="0"/>
        <v>4</v>
      </c>
      <c r="C18" s="73" t="str">
        <f>VFrequerido!B18</f>
        <v>GIA INGENIERIA S.A.S</v>
      </c>
      <c r="D18" s="74" t="str">
        <f>VLOOKUP(B18,'FORMULARIO No 2- VFT'!$A$18:$AF$664,17,FALSE)</f>
        <v>CUMPLE</v>
      </c>
      <c r="E18" s="377" t="str">
        <f>VLOOKUP(B18,'FORMULARIO No 2- VFT'!$A$18:$AF$664,18,FALSE)</f>
        <v>CUMPLE</v>
      </c>
      <c r="F18" s="376" t="str">
        <f ca="1">VLOOKUP("E"&amp;B18,'FORMULARIO No 2- VFT'!$A$18:$AF$664,13,FALSE)</f>
        <v>CUMPLE</v>
      </c>
      <c r="G18" s="376" t="str">
        <f>VLOOKUP($B18,'FORMULARIO No 2- VFT'!$A$18:$AF$664,28,FALSE)</f>
        <v>NO CUMPLE</v>
      </c>
      <c r="H18" s="376" t="str">
        <f>VLOOKUP($B18,'FORMULARIO No 2- VFT'!$A$18:$AF$664,30,FALSE)</f>
        <v>NO CUMPLE</v>
      </c>
      <c r="I18" s="75" t="str">
        <f t="shared" ca="1" si="1"/>
        <v>ADMISIBLE</v>
      </c>
      <c r="J18" s="76" t="str">
        <f t="shared" si="2"/>
        <v/>
      </c>
    </row>
    <row r="19" spans="2:10" ht="12.95" customHeight="1">
      <c r="B19" s="72">
        <f t="shared" si="0"/>
        <v>5</v>
      </c>
      <c r="C19" s="73" t="str">
        <f>VFrequerido!B19</f>
        <v>CONSORCIO JJAB</v>
      </c>
      <c r="D19" s="74" t="str">
        <f>VLOOKUP(B19,'FORMULARIO No 2- VFT'!$A$18:$AF$664,17,FALSE)</f>
        <v>CUMPLE</v>
      </c>
      <c r="E19" s="377" t="str">
        <f>VLOOKUP(B19,'FORMULARIO No 2- VFT'!$A$18:$AF$664,18,FALSE)</f>
        <v>CUMPLE</v>
      </c>
      <c r="F19" s="376" t="str">
        <f ca="1">VLOOKUP("E"&amp;B19,'FORMULARIO No 2- VFT'!$A$18:$AF$664,13,FALSE)</f>
        <v>CUMPLE</v>
      </c>
      <c r="G19" s="376" t="str">
        <f>VLOOKUP($B19,'FORMULARIO No 2- VFT'!$A$18:$AF$664,28,FALSE)</f>
        <v>CUMPLE</v>
      </c>
      <c r="H19" s="376" t="str">
        <f>VLOOKUP($B19,'FORMULARIO No 2- VFT'!$A$18:$AF$664,30,FALSE)</f>
        <v>CUMPLE</v>
      </c>
      <c r="I19" s="75" t="str">
        <f t="shared" ca="1" si="1"/>
        <v>ADMISIBLE</v>
      </c>
      <c r="J19" s="76" t="str">
        <f t="shared" si="2"/>
        <v/>
      </c>
    </row>
    <row r="20" spans="2:10" ht="12.95" customHeight="1">
      <c r="B20" s="72">
        <f t="shared" si="0"/>
        <v>6</v>
      </c>
      <c r="C20" s="73" t="str">
        <f>VFrequerido!B20</f>
        <v>CONSORCIO JC SANTANDER</v>
      </c>
      <c r="D20" s="74" t="str">
        <f>VLOOKUP(B20,'FORMULARIO No 2- VFT'!$A$18:$AF$664,17,FALSE)</f>
        <v>CUMPLE</v>
      </c>
      <c r="E20" s="377" t="str">
        <f>VLOOKUP(B20,'FORMULARIO No 2- VFT'!$A$18:$AF$664,18,FALSE)</f>
        <v>CUMPLE</v>
      </c>
      <c r="F20" s="376" t="str">
        <f ca="1">VLOOKUP("E"&amp;B20,'FORMULARIO No 2- VFT'!$A$18:$AF$664,13,FALSE)</f>
        <v>CUMPLE</v>
      </c>
      <c r="G20" s="376" t="str">
        <f>VLOOKUP($B20,'FORMULARIO No 2- VFT'!$A$18:$AF$664,28,FALSE)</f>
        <v>CUMPLE</v>
      </c>
      <c r="H20" s="376" t="str">
        <f>VLOOKUP($B20,'FORMULARIO No 2- VFT'!$A$18:$AF$664,30,FALSE)</f>
        <v>CUMPLE</v>
      </c>
      <c r="I20" s="75" t="str">
        <f t="shared" ca="1" si="1"/>
        <v>ADMISIBLE</v>
      </c>
      <c r="J20" s="76" t="str">
        <f t="shared" si="2"/>
        <v/>
      </c>
    </row>
    <row r="21" spans="2:10" ht="12.95" customHeight="1">
      <c r="B21" s="72">
        <f t="shared" si="0"/>
        <v>7</v>
      </c>
      <c r="C21" s="73" t="str">
        <f>VFrequerido!B21</f>
        <v>ESTUDIOS TECNICOS Y ASESORIAS S.A</v>
      </c>
      <c r="D21" s="74" t="str">
        <f>VLOOKUP(B21,'FORMULARIO No 2- VFT'!$A$18:$AF$664,17,FALSE)</f>
        <v>CUMPLE</v>
      </c>
      <c r="E21" s="377" t="str">
        <f>VLOOKUP(B21,'FORMULARIO No 2- VFT'!$A$18:$AF$664,18,FALSE)</f>
        <v>CUMPLE</v>
      </c>
      <c r="F21" s="376" t="str">
        <f ca="1">VLOOKUP("E"&amp;B21,'FORMULARIO No 2- VFT'!$A$18:$AF$664,13,FALSE)</f>
        <v>CUMPLE</v>
      </c>
      <c r="G21" s="376" t="str">
        <f>VLOOKUP($B21,'FORMULARIO No 2- VFT'!$A$18:$AF$664,28,FALSE)</f>
        <v>NO CUMPLE</v>
      </c>
      <c r="H21" s="376" t="str">
        <f>VLOOKUP($B21,'FORMULARIO No 2- VFT'!$A$18:$AF$664,30,FALSE)</f>
        <v>NO CUMPLE</v>
      </c>
      <c r="I21" s="75" t="str">
        <f t="shared" ca="1" si="1"/>
        <v>ADMISIBLE</v>
      </c>
      <c r="J21" s="76" t="str">
        <f t="shared" si="2"/>
        <v/>
      </c>
    </row>
    <row r="22" spans="2:10" ht="12.95" customHeight="1">
      <c r="B22" s="72">
        <f t="shared" si="0"/>
        <v>8</v>
      </c>
      <c r="C22" s="73" t="str">
        <f>VFrequerido!B22</f>
        <v>CONSULTORIA BOGOTANA SAS</v>
      </c>
      <c r="D22" s="74" t="str">
        <f>VLOOKUP(B22,'FORMULARIO No 2- VFT'!$A$18:$AF$664,17,FALSE)</f>
        <v>CUMPLE</v>
      </c>
      <c r="E22" s="377" t="str">
        <f>VLOOKUP(B22,'FORMULARIO No 2- VFT'!$A$18:$AF$664,18,FALSE)</f>
        <v>CUMPLE</v>
      </c>
      <c r="F22" s="376" t="str">
        <f ca="1">VLOOKUP("E"&amp;B22,'FORMULARIO No 2- VFT'!$A$18:$AF$664,13,FALSE)</f>
        <v>CUMPLE</v>
      </c>
      <c r="G22" s="376" t="str">
        <f>VLOOKUP($B22,'FORMULARIO No 2- VFT'!$A$18:$AF$664,28,FALSE)</f>
        <v>NO CUMPLE</v>
      </c>
      <c r="H22" s="376" t="str">
        <f>VLOOKUP($B22,'FORMULARIO No 2- VFT'!$A$18:$AF$664,30,FALSE)</f>
        <v>NO CUMPLE</v>
      </c>
      <c r="I22" s="75" t="str">
        <f t="shared" ca="1" si="1"/>
        <v>ADMISIBLE</v>
      </c>
      <c r="J22" s="76" t="str">
        <f t="shared" si="2"/>
        <v/>
      </c>
    </row>
    <row r="23" spans="2:10" ht="12.95" customHeight="1">
      <c r="B23" s="72">
        <f t="shared" si="0"/>
        <v>9</v>
      </c>
      <c r="C23" s="73" t="str">
        <f>VFrequerido!B23</f>
        <v>RENE ARMANDO MARTINEZ DORADO</v>
      </c>
      <c r="D23" s="74" t="str">
        <f>VLOOKUP(B23,'FORMULARIO No 2- VFT'!$A$18:$AF$664,17,FALSE)</f>
        <v>CUMPLE</v>
      </c>
      <c r="E23" s="377" t="str">
        <f>VLOOKUP(B23,'FORMULARIO No 2- VFT'!$A$18:$AF$664,18,FALSE)</f>
        <v>CUMPLE</v>
      </c>
      <c r="F23" s="376" t="str">
        <f ca="1">VLOOKUP("E"&amp;B23,'FORMULARIO No 2- VFT'!$A$18:$AF$664,13,FALSE)</f>
        <v>NO CUMPLE</v>
      </c>
      <c r="G23" s="376" t="str">
        <f>VLOOKUP($B23,'FORMULARIO No 2- VFT'!$A$18:$AF$664,28,FALSE)</f>
        <v>NO CUMPLE</v>
      </c>
      <c r="H23" s="376" t="str">
        <f>VLOOKUP($B23,'FORMULARIO No 2- VFT'!$A$18:$AF$664,30,FALSE)</f>
        <v>NO CUMPLE</v>
      </c>
      <c r="I23" s="75" t="str">
        <f t="shared" ca="1" si="1"/>
        <v>NO ADMISIBLE</v>
      </c>
      <c r="J23" s="76" t="str">
        <f t="shared" si="2"/>
        <v/>
      </c>
    </row>
    <row r="24" spans="2:10" ht="12.95" customHeight="1">
      <c r="B24" s="72">
        <f t="shared" si="0"/>
        <v>10</v>
      </c>
      <c r="C24" s="73" t="str">
        <f>VFrequerido!B24</f>
        <v>CONSORCIO ADMON BM 100</v>
      </c>
      <c r="D24" s="74" t="str">
        <f>VLOOKUP(B24,'FORMULARIO No 2- VFT'!$A$18:$AF$664,17,FALSE)</f>
        <v>CUMPLE</v>
      </c>
      <c r="E24" s="377" t="str">
        <f>VLOOKUP(B24,'FORMULARIO No 2- VFT'!$A$18:$AF$664,18,FALSE)</f>
        <v>CUMPLE</v>
      </c>
      <c r="F24" s="376" t="str">
        <f ca="1">VLOOKUP("E"&amp;B24,'FORMULARIO No 2- VFT'!$A$18:$AF$664,13,FALSE)</f>
        <v>CUMPLE</v>
      </c>
      <c r="G24" s="376" t="str">
        <f>VLOOKUP($B24,'FORMULARIO No 2- VFT'!$A$18:$AF$664,28,FALSE)</f>
        <v>CUMPLE</v>
      </c>
      <c r="H24" s="376" t="str">
        <f>VLOOKUP($B24,'FORMULARIO No 2- VFT'!$A$18:$AF$664,30,FALSE)</f>
        <v>CUMPLE</v>
      </c>
      <c r="I24" s="75" t="str">
        <f t="shared" ca="1" si="1"/>
        <v>ADMISIBLE</v>
      </c>
      <c r="J24" s="76" t="str">
        <f t="shared" si="2"/>
        <v/>
      </c>
    </row>
    <row r="25" spans="2:10" ht="12.95" customHeight="1">
      <c r="B25" s="72">
        <f>IF(C25="","",B24+1)</f>
        <v>11</v>
      </c>
      <c r="C25" s="73" t="str">
        <f>VFrequerido!B25</f>
        <v>GNG INGENIERIA S.A.S</v>
      </c>
      <c r="D25" s="74" t="str">
        <f>VLOOKUP(B25,'FORMULARIO No 2- VFT'!$A$18:$AF$664,17,FALSE)</f>
        <v>NO CUMPLE</v>
      </c>
      <c r="E25" s="377" t="str">
        <f>VLOOKUP(B25,'FORMULARIO No 2- VFT'!$A$18:$AF$664,18,FALSE)</f>
        <v>CUMPLE</v>
      </c>
      <c r="F25" s="376" t="str">
        <f ca="1">VLOOKUP("E"&amp;B25,'FORMULARIO No 2- VFT'!$A$18:$AF$664,13,FALSE)</f>
        <v>CUMPLE</v>
      </c>
      <c r="G25" s="376" t="str">
        <f>VLOOKUP($B25,'FORMULARIO No 2- VFT'!$A$18:$AF$664,28,FALSE)</f>
        <v>NO CUMPLE</v>
      </c>
      <c r="H25" s="376" t="str">
        <f>VLOOKUP($B25,'FORMULARIO No 2- VFT'!$A$18:$AF$664,30,FALSE)</f>
        <v>NO CUMPLE</v>
      </c>
      <c r="I25" s="75" t="str">
        <f t="shared" ca="1" si="1"/>
        <v>NO ADMISIBLE</v>
      </c>
      <c r="J25" s="76" t="str">
        <f>+IF(B25-INT(B25)=0,"","BORRAR ESTA FILA")</f>
        <v/>
      </c>
    </row>
    <row r="26" spans="2:10" ht="12.95" customHeight="1">
      <c r="B26" s="72">
        <f t="shared" ref="B26:B34" si="3">IF(C26="","",B25+1)</f>
        <v>12</v>
      </c>
      <c r="C26" s="73" t="str">
        <f>VFrequerido!B26</f>
        <v>RAMON IVAN ORDOÑEZ TEJADA</v>
      </c>
      <c r="D26" s="74" t="str">
        <f>VLOOKUP(B26,'FORMULARIO No 2- VFT'!$A$18:$AF$664,17,FALSE)</f>
        <v>CUMPLE</v>
      </c>
      <c r="E26" s="377" t="str">
        <f>VLOOKUP(B26,'FORMULARIO No 2- VFT'!$A$18:$AF$664,18,FALSE)</f>
        <v>CUMPLE</v>
      </c>
      <c r="F26" s="376" t="str">
        <f ca="1">VLOOKUP("E"&amp;B26,'FORMULARIO No 2- VFT'!$A$18:$AF$664,13,FALSE)</f>
        <v>CUMPLE</v>
      </c>
      <c r="G26" s="376" t="str">
        <f>VLOOKUP($B26,'FORMULARIO No 2- VFT'!$A$18:$AF$664,28,FALSE)</f>
        <v>NO CUMPLE</v>
      </c>
      <c r="H26" s="376" t="str">
        <f>VLOOKUP($B26,'FORMULARIO No 2- VFT'!$A$18:$AF$664,30,FALSE)</f>
        <v>NO CUMPLE</v>
      </c>
      <c r="I26" s="75" t="str">
        <f t="shared" ca="1" si="1"/>
        <v>ADMISIBLE</v>
      </c>
      <c r="J26" s="76" t="str">
        <f t="shared" ref="J26:J34" si="4">+IF(B26-INT(B26)=0,"","BORRAR ESTA FILA")</f>
        <v/>
      </c>
    </row>
    <row r="27" spans="2:10" ht="12.95" customHeight="1">
      <c r="B27" s="72">
        <f t="shared" si="3"/>
        <v>13</v>
      </c>
      <c r="C27" s="73" t="str">
        <f>VFrequerido!B27</f>
        <v>CONSORCIO VIAS BICENTENARIO 2.0</v>
      </c>
      <c r="D27" s="74" t="str">
        <f>VLOOKUP(B27,'FORMULARIO No 2- VFT'!$A$18:$AF$664,17,FALSE)</f>
        <v>CUMPLE</v>
      </c>
      <c r="E27" s="377" t="str">
        <f>VLOOKUP(B27,'FORMULARIO No 2- VFT'!$A$18:$AF$664,18,FALSE)</f>
        <v>CUMPLE</v>
      </c>
      <c r="F27" s="376" t="str">
        <f ca="1">VLOOKUP("E"&amp;B27,'FORMULARIO No 2- VFT'!$A$18:$AF$664,13,FALSE)</f>
        <v>NO CUMPLE</v>
      </c>
      <c r="G27" s="376" t="str">
        <f>VLOOKUP($B27,'FORMULARIO No 2- VFT'!$A$18:$AF$664,28,FALSE)</f>
        <v>CUMPLE</v>
      </c>
      <c r="H27" s="376" t="str">
        <f>VLOOKUP($B27,'FORMULARIO No 2- VFT'!$A$18:$AF$664,30,FALSE)</f>
        <v>CUMPLE</v>
      </c>
      <c r="I27" s="75" t="str">
        <f t="shared" ca="1" si="1"/>
        <v>NO ADMISIBLE</v>
      </c>
      <c r="J27" s="76" t="str">
        <f t="shared" si="4"/>
        <v/>
      </c>
    </row>
    <row r="28" spans="2:10" ht="12.95" customHeight="1">
      <c r="B28" s="72">
        <f t="shared" si="3"/>
        <v>14</v>
      </c>
      <c r="C28" s="73" t="str">
        <f>VFrequerido!B28</f>
        <v>CONSORCIO INUC</v>
      </c>
      <c r="D28" s="74" t="str">
        <f>VLOOKUP(B28,'FORMULARIO No 2- VFT'!$A$18:$AF$664,17,FALSE)</f>
        <v>CUMPLE</v>
      </c>
      <c r="E28" s="377" t="str">
        <f>VLOOKUP(B28,'FORMULARIO No 2- VFT'!$A$18:$AF$664,18,FALSE)</f>
        <v>CUMPLE</v>
      </c>
      <c r="F28" s="376" t="str">
        <f ca="1">VLOOKUP("E"&amp;B28,'FORMULARIO No 2- VFT'!$A$18:$AF$664,13,FALSE)</f>
        <v>CUMPLE</v>
      </c>
      <c r="G28" s="376" t="str">
        <f>VLOOKUP($B28,'FORMULARIO No 2- VFT'!$A$18:$AF$664,28,FALSE)</f>
        <v>CUMPLE</v>
      </c>
      <c r="H28" s="376" t="str">
        <f>VLOOKUP($B28,'FORMULARIO No 2- VFT'!$A$18:$AF$664,30,FALSE)</f>
        <v>CUMPLE</v>
      </c>
      <c r="I28" s="75" t="str">
        <f t="shared" ca="1" si="1"/>
        <v>ADMISIBLE</v>
      </c>
      <c r="J28" s="76" t="str">
        <f t="shared" si="4"/>
        <v/>
      </c>
    </row>
    <row r="29" spans="2:10" ht="12.95" customHeight="1">
      <c r="B29" s="72">
        <f t="shared" si="3"/>
        <v>15</v>
      </c>
      <c r="C29" s="73" t="str">
        <f>VFrequerido!B29</f>
        <v>CONSORCIO CIVILES 100</v>
      </c>
      <c r="D29" s="74" t="str">
        <f>VLOOKUP(B29,'FORMULARIO No 2- VFT'!$A$18:$AF$664,17,FALSE)</f>
        <v>CUMPLE</v>
      </c>
      <c r="E29" s="377" t="str">
        <f>VLOOKUP(B29,'FORMULARIO No 2- VFT'!$A$18:$AF$664,18,FALSE)</f>
        <v>CUMPLE</v>
      </c>
      <c r="F29" s="376" t="str">
        <f ca="1">VLOOKUP("E"&amp;B29,'FORMULARIO No 2- VFT'!$A$18:$AF$664,13,FALSE)</f>
        <v>CUMPLE</v>
      </c>
      <c r="G29" s="376" t="str">
        <f>VLOOKUP($B29,'FORMULARIO No 2- VFT'!$A$18:$AF$664,28,FALSE)</f>
        <v>CUMPLE</v>
      </c>
      <c r="H29" s="376" t="str">
        <f>VLOOKUP($B29,'FORMULARIO No 2- VFT'!$A$18:$AF$664,30,FALSE)</f>
        <v>CUMPLE</v>
      </c>
      <c r="I29" s="75" t="str">
        <f t="shared" ca="1" si="1"/>
        <v>ADMISIBLE</v>
      </c>
      <c r="J29" s="76" t="str">
        <f t="shared" si="4"/>
        <v/>
      </c>
    </row>
    <row r="30" spans="2:10" ht="12.95" customHeight="1">
      <c r="B30" s="72">
        <f t="shared" si="3"/>
        <v>16</v>
      </c>
      <c r="C30" s="73" t="str">
        <f>VFrequerido!B30</f>
        <v>CONSORCIO ADMON IG 100</v>
      </c>
      <c r="D30" s="74" t="str">
        <f>VLOOKUP(B30,'FORMULARIO No 2- VFT'!$A$18:$AF$664,17,FALSE)</f>
        <v>NO CUMPLE</v>
      </c>
      <c r="E30" s="377" t="str">
        <f>VLOOKUP(B30,'FORMULARIO No 2- VFT'!$A$18:$AF$664,18,FALSE)</f>
        <v>CUMPLE</v>
      </c>
      <c r="F30" s="376" t="str">
        <f ca="1">VLOOKUP("E"&amp;B30,'FORMULARIO No 2- VFT'!$A$18:$AF$664,13,FALSE)</f>
        <v>NO CUMPLE</v>
      </c>
      <c r="G30" s="376" t="str">
        <f>VLOOKUP($B30,'FORMULARIO No 2- VFT'!$A$18:$AF$664,28,FALSE)</f>
        <v>CUMPLE</v>
      </c>
      <c r="H30" s="376" t="str">
        <f>VLOOKUP($B30,'FORMULARIO No 2- VFT'!$A$18:$AF$664,30,FALSE)</f>
        <v>CUMPLE</v>
      </c>
      <c r="I30" s="75" t="str">
        <f t="shared" ca="1" si="1"/>
        <v>NO ADMISIBLE</v>
      </c>
      <c r="J30" s="76" t="str">
        <f t="shared" si="4"/>
        <v/>
      </c>
    </row>
    <row r="31" spans="2:10" ht="12.95" customHeight="1">
      <c r="B31" s="72">
        <f t="shared" si="3"/>
        <v>17</v>
      </c>
      <c r="C31" s="73" t="str">
        <f>VFrequerido!B31</f>
        <v>CONSORCIO VIAL SANTANDER</v>
      </c>
      <c r="D31" s="74" t="str">
        <f>VLOOKUP(B31,'FORMULARIO No 2- VFT'!$A$18:$AF$664,17,FALSE)</f>
        <v>CUMPLE</v>
      </c>
      <c r="E31" s="377" t="str">
        <f>VLOOKUP(B31,'FORMULARIO No 2- VFT'!$A$18:$AF$664,18,FALSE)</f>
        <v>CUMPLE</v>
      </c>
      <c r="F31" s="376" t="str">
        <f ca="1">VLOOKUP("E"&amp;B31,'FORMULARIO No 2- VFT'!$A$18:$AF$664,13,FALSE)</f>
        <v>CUMPLE</v>
      </c>
      <c r="G31" s="376" t="str">
        <f>VLOOKUP($B31,'FORMULARIO No 2- VFT'!$A$18:$AF$664,28,FALSE)</f>
        <v>CUMPLE</v>
      </c>
      <c r="H31" s="376" t="str">
        <f>VLOOKUP($B31,'FORMULARIO No 2- VFT'!$A$18:$AF$664,30,FALSE)</f>
        <v>CUMPLE</v>
      </c>
      <c r="I31" s="75" t="str">
        <f t="shared" ca="1" si="1"/>
        <v>ADMISIBLE</v>
      </c>
      <c r="J31" s="76" t="str">
        <f t="shared" si="4"/>
        <v/>
      </c>
    </row>
    <row r="32" spans="2:10" ht="12.95" customHeight="1">
      <c r="B32" s="72">
        <f t="shared" si="3"/>
        <v>18</v>
      </c>
      <c r="C32" s="73" t="str">
        <f>VFrequerido!B32</f>
        <v>JAMES ALBERTO KAMMERER JIMENEZ</v>
      </c>
      <c r="D32" s="74" t="str">
        <f>VLOOKUP(B32,'FORMULARIO No 2- VFT'!$A$18:$AF$664,17,FALSE)</f>
        <v>CUMPLE</v>
      </c>
      <c r="E32" s="377" t="str">
        <f>VLOOKUP(B32,'FORMULARIO No 2- VFT'!$A$18:$AF$664,18,FALSE)</f>
        <v>CUMPLE</v>
      </c>
      <c r="F32" s="376" t="str">
        <f ca="1">VLOOKUP("E"&amp;B32,'FORMULARIO No 2- VFT'!$A$18:$AF$664,13,FALSE)</f>
        <v>CUMPLE</v>
      </c>
      <c r="G32" s="376" t="str">
        <f>VLOOKUP($B32,'FORMULARIO No 2- VFT'!$A$18:$AF$664,28,FALSE)</f>
        <v>NO CUMPLE</v>
      </c>
      <c r="H32" s="376" t="str">
        <f>VLOOKUP($B32,'FORMULARIO No 2- VFT'!$A$18:$AF$664,30,FALSE)</f>
        <v>NO CUMPLE</v>
      </c>
      <c r="I32" s="75" t="str">
        <f t="shared" ca="1" si="1"/>
        <v>ADMISIBLE</v>
      </c>
      <c r="J32" s="76" t="str">
        <f t="shared" si="4"/>
        <v/>
      </c>
    </row>
    <row r="33" spans="2:10" ht="12.95" customHeight="1">
      <c r="B33" s="72">
        <f t="shared" si="3"/>
        <v>19</v>
      </c>
      <c r="C33" s="73" t="str">
        <f>VFrequerido!B33</f>
        <v>CONSORCIO LEOS</v>
      </c>
      <c r="D33" s="74" t="str">
        <f>VLOOKUP(B33,'FORMULARIO No 2- VFT'!$A$18:$AF$664,17,FALSE)</f>
        <v>CUMPLE</v>
      </c>
      <c r="E33" s="377" t="str">
        <f>VLOOKUP(B33,'FORMULARIO No 2- VFT'!$A$18:$AF$664,18,FALSE)</f>
        <v>CUMPLE</v>
      </c>
      <c r="F33" s="376" t="str">
        <f ca="1">VLOOKUP("E"&amp;B33,'FORMULARIO No 2- VFT'!$A$18:$AF$664,13,FALSE)</f>
        <v>CUMPLE</v>
      </c>
      <c r="G33" s="376" t="str">
        <f>VLOOKUP($B33,'FORMULARIO No 2- VFT'!$A$18:$AF$664,28,FALSE)</f>
        <v>CUMPLE</v>
      </c>
      <c r="H33" s="376" t="str">
        <f>VLOOKUP($B33,'FORMULARIO No 2- VFT'!$A$18:$AF$664,30,FALSE)</f>
        <v>CUMPLE</v>
      </c>
      <c r="I33" s="75" t="str">
        <f t="shared" ca="1" si="1"/>
        <v>ADMISIBLE</v>
      </c>
      <c r="J33" s="76" t="str">
        <f t="shared" si="4"/>
        <v/>
      </c>
    </row>
    <row r="34" spans="2:10" ht="12.95" customHeight="1">
      <c r="B34" s="72">
        <f t="shared" si="3"/>
        <v>20</v>
      </c>
      <c r="C34" s="73" t="str">
        <f>VFrequerido!B34</f>
        <v>ut admon vial 2019 santander</v>
      </c>
      <c r="D34" s="74" t="str">
        <f>VLOOKUP(B34,'FORMULARIO No 2- VFT'!$A$18:$AF$664,17,FALSE)</f>
        <v>CUMPLE</v>
      </c>
      <c r="E34" s="377" t="str">
        <f>VLOOKUP(B34,'FORMULARIO No 2- VFT'!$A$18:$AF$664,18,FALSE)</f>
        <v>CUMPLE</v>
      </c>
      <c r="F34" s="376" t="str">
        <f ca="1">VLOOKUP("E"&amp;B34,'FORMULARIO No 2- VFT'!$A$18:$AF$664,13,FALSE)</f>
        <v>CUMPLE</v>
      </c>
      <c r="G34" s="376" t="str">
        <f>VLOOKUP($B34,'FORMULARIO No 2- VFT'!$A$18:$AF$664,28,FALSE)</f>
        <v>CUMPLE</v>
      </c>
      <c r="H34" s="376" t="str">
        <f>VLOOKUP($B34,'FORMULARIO No 2- VFT'!$A$18:$AF$664,30,FALSE)</f>
        <v>CUMPLE</v>
      </c>
      <c r="I34" s="75" t="str">
        <f t="shared" ca="1" si="1"/>
        <v>ADMISIBLE</v>
      </c>
      <c r="J34" s="76" t="str">
        <f t="shared" si="4"/>
        <v/>
      </c>
    </row>
    <row r="35" spans="2:10" ht="12.95" customHeight="1">
      <c r="B35" s="72">
        <f>IF(C35="","",B34+1)</f>
        <v>21</v>
      </c>
      <c r="C35" s="73" t="str">
        <f>VFrequerido!B35</f>
        <v>CONSORCIO ADMINISTRACION OPS</v>
      </c>
      <c r="D35" s="74" t="str">
        <f>VLOOKUP(B35,'FORMULARIO No 2- VFT'!$A$18:$AF$664,17,FALSE)</f>
        <v>NO CUMPLE</v>
      </c>
      <c r="E35" s="377" t="str">
        <f>VLOOKUP(B35,'FORMULARIO No 2- VFT'!$A$18:$AF$664,18,FALSE)</f>
        <v>CUMPLE</v>
      </c>
      <c r="F35" s="376" t="str">
        <f ca="1">VLOOKUP("E"&amp;B35,'FORMULARIO No 2- VFT'!$A$18:$AF$664,13,FALSE)</f>
        <v>NO CUMPLE</v>
      </c>
      <c r="G35" s="376" t="str">
        <f>VLOOKUP($B35,'FORMULARIO No 2- VFT'!$A$18:$AF$664,28,FALSE)</f>
        <v>CUMPLE</v>
      </c>
      <c r="H35" s="376" t="str">
        <f>VLOOKUP($B35,'FORMULARIO No 2- VFT'!$A$18:$AF$664,30,FALSE)</f>
        <v>CUMPLE</v>
      </c>
      <c r="I35" s="75" t="str">
        <f t="shared" ca="1" si="1"/>
        <v>NO ADMISIBLE</v>
      </c>
      <c r="J35" s="76" t="str">
        <f>+IF(B35-INT(B35)=0,"","BORRAR ESTA FILA")</f>
        <v/>
      </c>
    </row>
    <row r="36" spans="2:10" ht="12.95" customHeight="1">
      <c r="B36" s="72">
        <f t="shared" ref="B36:B44" si="5">IF(C36="","",B35+1)</f>
        <v>22</v>
      </c>
      <c r="C36" s="73" t="str">
        <f>VFrequerido!B36</f>
        <v>CONSORCIO C&amp;C</v>
      </c>
      <c r="D36" s="74" t="str">
        <f>VLOOKUP(B36,'FORMULARIO No 2- VFT'!$A$18:$AF$664,17,FALSE)</f>
        <v>CUMPLE</v>
      </c>
      <c r="E36" s="377" t="str">
        <f>VLOOKUP(B36,'FORMULARIO No 2- VFT'!$A$18:$AF$664,18,FALSE)</f>
        <v>CUMPLE</v>
      </c>
      <c r="F36" s="376" t="str">
        <f ca="1">VLOOKUP("E"&amp;B36,'FORMULARIO No 2- VFT'!$A$18:$AF$664,13,FALSE)</f>
        <v>CUMPLE</v>
      </c>
      <c r="G36" s="376" t="str">
        <f>VLOOKUP($B36,'FORMULARIO No 2- VFT'!$A$18:$AF$664,28,FALSE)</f>
        <v>CUMPLE</v>
      </c>
      <c r="H36" s="376" t="str">
        <f>VLOOKUP($B36,'FORMULARIO No 2- VFT'!$A$18:$AF$664,30,FALSE)</f>
        <v>CUMPLE</v>
      </c>
      <c r="I36" s="75" t="str">
        <f t="shared" ca="1" si="1"/>
        <v>ADMISIBLE</v>
      </c>
      <c r="J36" s="76" t="str">
        <f t="shared" ref="J36:J44" si="6">+IF(B36-INT(B36)=0,"","BORRAR ESTA FILA")</f>
        <v/>
      </c>
    </row>
    <row r="37" spans="2:10" ht="12.95" customHeight="1">
      <c r="B37" s="72">
        <f t="shared" si="5"/>
        <v>23</v>
      </c>
      <c r="C37" s="73" t="str">
        <f>VFrequerido!B37</f>
        <v>NELSON FREDY ARDILA GELVEZ</v>
      </c>
      <c r="D37" s="74" t="str">
        <f>VLOOKUP(B37,'FORMULARIO No 2- VFT'!$A$18:$AF$664,17,FALSE)</f>
        <v>CUMPLE</v>
      </c>
      <c r="E37" s="377" t="str">
        <f>VLOOKUP(B37,'FORMULARIO No 2- VFT'!$A$18:$AF$664,18,FALSE)</f>
        <v>CUMPLE</v>
      </c>
      <c r="F37" s="376" t="str">
        <f ca="1">VLOOKUP("E"&amp;B37,'FORMULARIO No 2- VFT'!$A$18:$AF$664,13,FALSE)</f>
        <v>CUMPLE</v>
      </c>
      <c r="G37" s="376" t="str">
        <f>VLOOKUP($B37,'FORMULARIO No 2- VFT'!$A$18:$AF$664,28,FALSE)</f>
        <v>NO CUMPLE</v>
      </c>
      <c r="H37" s="376" t="str">
        <f>VLOOKUP($B37,'FORMULARIO No 2- VFT'!$A$18:$AF$664,30,FALSE)</f>
        <v>NO CUMPLE</v>
      </c>
      <c r="I37" s="75" t="str">
        <f t="shared" ca="1" si="1"/>
        <v>ADMISIBLE</v>
      </c>
      <c r="J37" s="76" t="str">
        <f t="shared" si="6"/>
        <v/>
      </c>
    </row>
    <row r="38" spans="2:10" ht="12.95" customHeight="1">
      <c r="B38" s="72">
        <f t="shared" si="5"/>
        <v>24</v>
      </c>
      <c r="C38" s="73" t="str">
        <f>VFrequerido!B38</f>
        <v>CONSORCIO TERRA 100</v>
      </c>
      <c r="D38" s="74" t="str">
        <f>VLOOKUP(B38,'FORMULARIO No 2- VFT'!$A$18:$AF$664,17,FALSE)</f>
        <v>CUMPLE</v>
      </c>
      <c r="E38" s="377" t="str">
        <f>VLOOKUP(B38,'FORMULARIO No 2- VFT'!$A$18:$AF$664,18,FALSE)</f>
        <v>CUMPLE</v>
      </c>
      <c r="F38" s="376" t="str">
        <f ca="1">VLOOKUP("E"&amp;B38,'FORMULARIO No 2- VFT'!$A$18:$AF$664,13,FALSE)</f>
        <v>CUMPLE</v>
      </c>
      <c r="G38" s="376" t="str">
        <f>VLOOKUP($B38,'FORMULARIO No 2- VFT'!$A$18:$AF$664,28,FALSE)</f>
        <v>CUMPLE</v>
      </c>
      <c r="H38" s="376" t="str">
        <f>VLOOKUP($B38,'FORMULARIO No 2- VFT'!$A$18:$AF$664,30,FALSE)</f>
        <v>CUMPLE</v>
      </c>
      <c r="I38" s="75" t="str">
        <f t="shared" ca="1" si="1"/>
        <v>ADMISIBLE</v>
      </c>
      <c r="J38" s="76" t="str">
        <f t="shared" si="6"/>
        <v/>
      </c>
    </row>
    <row r="39" spans="2:10" ht="12.95" customHeight="1">
      <c r="B39" s="72">
        <f t="shared" si="5"/>
        <v>25</v>
      </c>
      <c r="C39" s="73" t="str">
        <f>VFrequerido!B39</f>
        <v>CONSORCIO ROCA</v>
      </c>
      <c r="D39" s="74" t="str">
        <f>VLOOKUP(B39,'FORMULARIO No 2- VFT'!$A$18:$AF$664,17,FALSE)</f>
        <v>CUMPLE</v>
      </c>
      <c r="E39" s="377" t="str">
        <f>VLOOKUP(B39,'FORMULARIO No 2- VFT'!$A$18:$AF$664,18,FALSE)</f>
        <v>CUMPLE</v>
      </c>
      <c r="F39" s="376" t="str">
        <f ca="1">VLOOKUP("E"&amp;B39,'FORMULARIO No 2- VFT'!$A$18:$AF$664,13,FALSE)</f>
        <v>CUMPLE</v>
      </c>
      <c r="G39" s="376" t="str">
        <f>VLOOKUP($B39,'FORMULARIO No 2- VFT'!$A$18:$AF$664,28,FALSE)</f>
        <v>NO CUMPLE</v>
      </c>
      <c r="H39" s="376" t="str">
        <f>VLOOKUP($B39,'FORMULARIO No 2- VFT'!$A$18:$AF$664,30,FALSE)</f>
        <v>NO CUMPLE</v>
      </c>
      <c r="I39" s="75" t="str">
        <f t="shared" ca="1" si="1"/>
        <v>ADMISIBLE</v>
      </c>
      <c r="J39" s="76" t="str">
        <f t="shared" si="6"/>
        <v/>
      </c>
    </row>
    <row r="40" spans="2:10" ht="12.95" customHeight="1">
      <c r="B40" s="72">
        <f t="shared" si="5"/>
        <v>26</v>
      </c>
      <c r="C40" s="73" t="str">
        <f>VFrequerido!B40</f>
        <v> CONSORCIO INTERADMIVIAL - SANTANDER</v>
      </c>
      <c r="D40" s="74" t="str">
        <f>VLOOKUP(B40,'FORMULARIO No 2- VFT'!$A$18:$AF$664,17,FALSE)</f>
        <v>CUMPLE</v>
      </c>
      <c r="E40" s="377" t="str">
        <f>VLOOKUP(B40,'FORMULARIO No 2- VFT'!$A$18:$AF$664,18,FALSE)</f>
        <v>CUMPLE</v>
      </c>
      <c r="F40" s="376" t="str">
        <f ca="1">VLOOKUP("E"&amp;B40,'FORMULARIO No 2- VFT'!$A$18:$AF$664,13,FALSE)</f>
        <v>NO CUMPLE</v>
      </c>
      <c r="G40" s="376" t="str">
        <f>VLOOKUP($B40,'FORMULARIO No 2- VFT'!$A$18:$AF$664,28,FALSE)</f>
        <v>CUMPLE</v>
      </c>
      <c r="H40" s="376" t="str">
        <f>VLOOKUP($B40,'FORMULARIO No 2- VFT'!$A$18:$AF$664,30,FALSE)</f>
        <v>CUMPLE</v>
      </c>
      <c r="I40" s="75" t="str">
        <f t="shared" ca="1" si="1"/>
        <v>NO ADMISIBLE</v>
      </c>
      <c r="J40" s="76" t="str">
        <f t="shared" si="6"/>
        <v/>
      </c>
    </row>
    <row r="41" spans="2:10" ht="12.95" customHeight="1">
      <c r="B41" s="72">
        <f t="shared" si="5"/>
        <v>27</v>
      </c>
      <c r="C41" s="73" t="str">
        <f>VFrequerido!B41</f>
        <v>CONSORCIO CAR-JASB</v>
      </c>
      <c r="D41" s="74" t="str">
        <f>VLOOKUP(B41,'FORMULARIO No 2- VFT'!$A$18:$AF$664,17,FALSE)</f>
        <v>CUMPLE</v>
      </c>
      <c r="E41" s="377" t="str">
        <f>VLOOKUP(B41,'FORMULARIO No 2- VFT'!$A$18:$AF$664,18,FALSE)</f>
        <v>CUMPLE</v>
      </c>
      <c r="F41" s="376" t="str">
        <f ca="1">VLOOKUP("E"&amp;B41,'FORMULARIO No 2- VFT'!$A$18:$AF$664,13,FALSE)</f>
        <v>CUMPLE</v>
      </c>
      <c r="G41" s="376" t="str">
        <f>VLOOKUP($B41,'FORMULARIO No 2- VFT'!$A$18:$AF$664,28,FALSE)</f>
        <v>CUMPLE</v>
      </c>
      <c r="H41" s="376" t="str">
        <f>VLOOKUP($B41,'FORMULARIO No 2- VFT'!$A$18:$AF$664,30,FALSE)</f>
        <v>CUMPLE</v>
      </c>
      <c r="I41" s="75" t="str">
        <f t="shared" ca="1" si="1"/>
        <v>ADMISIBLE</v>
      </c>
      <c r="J41" s="76" t="str">
        <f t="shared" si="6"/>
        <v/>
      </c>
    </row>
    <row r="42" spans="2:10" ht="12.95" customHeight="1">
      <c r="B42" s="72">
        <f t="shared" si="5"/>
        <v>28</v>
      </c>
      <c r="C42" s="73" t="str">
        <f>VFrequerido!B42</f>
        <v>CONSORCIO CJD</v>
      </c>
      <c r="D42" s="74" t="str">
        <f>VLOOKUP(B42,'FORMULARIO No 2- VFT'!$A$18:$AF$664,17,FALSE)</f>
        <v>CUMPLE</v>
      </c>
      <c r="E42" s="377" t="str">
        <f>VLOOKUP(B42,'FORMULARIO No 2- VFT'!$A$18:$AF$664,18,FALSE)</f>
        <v>CUMPLE</v>
      </c>
      <c r="F42" s="376" t="str">
        <f ca="1">VLOOKUP("E"&amp;B42,'FORMULARIO No 2- VFT'!$A$18:$AF$664,13,FALSE)</f>
        <v>CUMPLE</v>
      </c>
      <c r="G42" s="376" t="str">
        <f>VLOOKUP($B42,'FORMULARIO No 2- VFT'!$A$18:$AF$664,28,FALSE)</f>
        <v>NO CUMPLE</v>
      </c>
      <c r="H42" s="376" t="str">
        <f>VLOOKUP($B42,'FORMULARIO No 2- VFT'!$A$18:$AF$664,30,FALSE)</f>
        <v>NO CUMPLE</v>
      </c>
      <c r="I42" s="75" t="str">
        <f t="shared" ca="1" si="1"/>
        <v>ADMISIBLE</v>
      </c>
      <c r="J42" s="76" t="str">
        <f t="shared" si="6"/>
        <v/>
      </c>
    </row>
    <row r="43" spans="2:10" ht="12.95" customHeight="1">
      <c r="B43" s="72">
        <f t="shared" si="5"/>
        <v>29</v>
      </c>
      <c r="C43" s="73" t="str">
        <f>VFrequerido!B43</f>
        <v>GUILLERMO ALFONSO MEDINA ACEVEDO</v>
      </c>
      <c r="D43" s="74" t="str">
        <f>VLOOKUP(B43,'FORMULARIO No 2- VFT'!$A$18:$AF$664,17,FALSE)</f>
        <v>CUMPLE</v>
      </c>
      <c r="E43" s="377" t="str">
        <f>VLOOKUP(B43,'FORMULARIO No 2- VFT'!$A$18:$AF$664,18,FALSE)</f>
        <v>CUMPLE</v>
      </c>
      <c r="F43" s="376" t="str">
        <f ca="1">VLOOKUP("E"&amp;B43,'FORMULARIO No 2- VFT'!$A$18:$AF$664,13,FALSE)</f>
        <v>CUMPLE</v>
      </c>
      <c r="G43" s="376" t="str">
        <f>VLOOKUP($B43,'FORMULARIO No 2- VFT'!$A$18:$AF$664,28,FALSE)</f>
        <v>NO CUMPLE</v>
      </c>
      <c r="H43" s="376" t="str">
        <f>VLOOKUP($B43,'FORMULARIO No 2- VFT'!$A$18:$AF$664,30,FALSE)</f>
        <v>NO CUMPLE</v>
      </c>
      <c r="I43" s="75" t="str">
        <f t="shared" ca="1" si="1"/>
        <v>ADMISIBLE</v>
      </c>
      <c r="J43" s="76" t="str">
        <f t="shared" si="6"/>
        <v/>
      </c>
    </row>
    <row r="44" spans="2:10" ht="12.95" customHeight="1">
      <c r="B44" s="72">
        <f t="shared" si="5"/>
        <v>30</v>
      </c>
      <c r="C44" s="73" t="str">
        <f>VFrequerido!B44</f>
        <v>CONSORCIO PI</v>
      </c>
      <c r="D44" s="74" t="str">
        <f>VLOOKUP(B44,'FORMULARIO No 2- VFT'!$A$18:$AF$664,17,FALSE)</f>
        <v>CUMPLE</v>
      </c>
      <c r="E44" s="377" t="str">
        <f>VLOOKUP(B44,'FORMULARIO No 2- VFT'!$A$18:$AF$664,18,FALSE)</f>
        <v>CUMPLE</v>
      </c>
      <c r="F44" s="376" t="str">
        <f ca="1">VLOOKUP("E"&amp;B44,'FORMULARIO No 2- VFT'!$A$18:$AF$664,13,FALSE)</f>
        <v>CUMPLE</v>
      </c>
      <c r="G44" s="376" t="str">
        <f>VLOOKUP($B44,'FORMULARIO No 2- VFT'!$A$18:$AF$664,28,FALSE)</f>
        <v>CUMPLE</v>
      </c>
      <c r="H44" s="376" t="str">
        <f>VLOOKUP($B44,'FORMULARIO No 2- VFT'!$A$18:$AF$664,30,FALSE)</f>
        <v>CUMPLE</v>
      </c>
      <c r="I44" s="75" t="str">
        <f t="shared" ca="1" si="1"/>
        <v>ADMISIBLE</v>
      </c>
      <c r="J44" s="76" t="str">
        <f t="shared" si="6"/>
        <v/>
      </c>
    </row>
    <row r="45" spans="2:10" ht="12.95" customHeight="1">
      <c r="B45" s="72">
        <f>IF(C45="","",B44+1)</f>
        <v>31</v>
      </c>
      <c r="C45" s="73" t="str">
        <f>VFrequerido!B45</f>
        <v>CONSORCIO VIAL SANTANDER</v>
      </c>
      <c r="D45" s="74" t="str">
        <f>VLOOKUP(B45,'FORMULARIO No 2- VFT'!$A$18:$AF$664,17,FALSE)</f>
        <v>NO CUMPLE</v>
      </c>
      <c r="E45" s="377" t="str">
        <f>VLOOKUP(B45,'FORMULARIO No 2- VFT'!$A$18:$AF$664,18,FALSE)</f>
        <v>CUMPLE</v>
      </c>
      <c r="F45" s="376" t="str">
        <f ca="1">VLOOKUP("E"&amp;B45,'FORMULARIO No 2- VFT'!$A$18:$AF$664,13,FALSE)</f>
        <v>NO CUMPLE</v>
      </c>
      <c r="G45" s="376" t="str">
        <f>VLOOKUP($B45,'FORMULARIO No 2- VFT'!$A$18:$AF$664,28,FALSE)</f>
        <v>CUMPLE</v>
      </c>
      <c r="H45" s="376" t="str">
        <f>VLOOKUP($B45,'FORMULARIO No 2- VFT'!$A$18:$AF$664,30,FALSE)</f>
        <v>CUMPLE</v>
      </c>
      <c r="I45" s="75" t="str">
        <f t="shared" ca="1" si="1"/>
        <v>NO ADMISIBLE</v>
      </c>
      <c r="J45" s="76" t="str">
        <f>+IF(B45-INT(B45)=0,"","BORRAR ESTA FILA")</f>
        <v/>
      </c>
    </row>
    <row r="46" spans="2:10" ht="12.95" customHeight="1">
      <c r="B46" s="72">
        <f t="shared" ref="B46:B50" si="7">IF(C46="","",B45+1)</f>
        <v>32</v>
      </c>
      <c r="C46" s="73" t="str">
        <f>VFrequerido!B46</f>
        <v>CONSORCIO DP-SANTANDER 2019</v>
      </c>
      <c r="D46" s="74" t="str">
        <f>VLOOKUP(B46,'FORMULARIO No 2- VFT'!$A$18:$AF$664,17,FALSE)</f>
        <v>CUMPLE</v>
      </c>
      <c r="E46" s="377" t="str">
        <f>VLOOKUP(B46,'FORMULARIO No 2- VFT'!$A$18:$AF$664,18,FALSE)</f>
        <v>CUMPLE</v>
      </c>
      <c r="F46" s="376" t="str">
        <f ca="1">VLOOKUP("E"&amp;B46,'FORMULARIO No 2- VFT'!$A$18:$AF$664,13,FALSE)</f>
        <v>CUMPLE</v>
      </c>
      <c r="G46" s="376" t="str">
        <f>VLOOKUP($B46,'FORMULARIO No 2- VFT'!$A$18:$AF$664,28,FALSE)</f>
        <v>CUMPLE</v>
      </c>
      <c r="H46" s="376" t="str">
        <f>VLOOKUP($B46,'FORMULARIO No 2- VFT'!$A$18:$AF$664,30,FALSE)</f>
        <v>CUMPLE</v>
      </c>
      <c r="I46" s="75" t="str">
        <f t="shared" ca="1" si="1"/>
        <v>ADMISIBLE</v>
      </c>
      <c r="J46" s="76" t="str">
        <f t="shared" ref="J46:J50" si="8">+IF(B46-INT(B46)=0,"","BORRAR ESTA FILA")</f>
        <v/>
      </c>
    </row>
    <row r="47" spans="2:10" ht="12.95" customHeight="1">
      <c r="B47" s="72">
        <f t="shared" si="7"/>
        <v>33</v>
      </c>
      <c r="C47" s="73" t="str">
        <f>VFrequerido!B47</f>
        <v>CONSORCIO ADM SANTANDER</v>
      </c>
      <c r="D47" s="74" t="str">
        <f>VLOOKUP(B47,'FORMULARIO No 2- VFT'!$A$18:$AF$664,17,FALSE)</f>
        <v>CUMPLE</v>
      </c>
      <c r="E47" s="377" t="str">
        <f>VLOOKUP(B47,'FORMULARIO No 2- VFT'!$A$18:$AF$664,18,FALSE)</f>
        <v>CUMPLE</v>
      </c>
      <c r="F47" s="376" t="str">
        <f ca="1">VLOOKUP("E"&amp;B47,'FORMULARIO No 2- VFT'!$A$18:$AF$664,13,FALSE)</f>
        <v>CUMPLE</v>
      </c>
      <c r="G47" s="376" t="str">
        <f>VLOOKUP($B47,'FORMULARIO No 2- VFT'!$A$18:$AF$664,28,FALSE)</f>
        <v>NO CUMPLE</v>
      </c>
      <c r="H47" s="376" t="str">
        <f>VLOOKUP($B47,'FORMULARIO No 2- VFT'!$A$18:$AF$664,30,FALSE)</f>
        <v>NO CUMPLE</v>
      </c>
      <c r="I47" s="75" t="str">
        <f t="shared" ca="1" si="1"/>
        <v>ADMISIBLE</v>
      </c>
      <c r="J47" s="76" t="str">
        <f t="shared" si="8"/>
        <v/>
      </c>
    </row>
    <row r="48" spans="2:10" ht="12.95" customHeight="1">
      <c r="B48" s="72">
        <f t="shared" si="7"/>
        <v>34</v>
      </c>
      <c r="C48" s="73" t="str">
        <f>VFrequerido!B48</f>
        <v>ARQUITECTURA E INGENIERIA DE CONSULTA S.A.S.</v>
      </c>
      <c r="D48" s="74" t="str">
        <f>VLOOKUP(B48,'FORMULARIO No 2- VFT'!$A$18:$AF$664,17,FALSE)</f>
        <v>NO CUMPLE</v>
      </c>
      <c r="E48" s="377" t="str">
        <f>VLOOKUP(B48,'FORMULARIO No 2- VFT'!$A$18:$AF$664,18,FALSE)</f>
        <v>CUMPLE</v>
      </c>
      <c r="F48" s="376" t="str">
        <f ca="1">VLOOKUP("E"&amp;B48,'FORMULARIO No 2- VFT'!$A$18:$AF$664,13,FALSE)</f>
        <v>CUMPLE</v>
      </c>
      <c r="G48" s="376" t="str">
        <f>VLOOKUP($B48,'FORMULARIO No 2- VFT'!$A$18:$AF$664,28,FALSE)</f>
        <v>NO CUMPLE</v>
      </c>
      <c r="H48" s="376" t="str">
        <f>VLOOKUP($B48,'FORMULARIO No 2- VFT'!$A$18:$AF$664,30,FALSE)</f>
        <v>NO CUMPLE</v>
      </c>
      <c r="I48" s="75" t="str">
        <f t="shared" ca="1" si="1"/>
        <v>NO ADMISIBLE</v>
      </c>
      <c r="J48" s="76" t="str">
        <f t="shared" si="8"/>
        <v/>
      </c>
    </row>
    <row r="49" spans="2:10" ht="12.95" customHeight="1">
      <c r="B49" s="72">
        <f t="shared" si="7"/>
        <v>35</v>
      </c>
      <c r="C49" s="73" t="str">
        <f>VFrequerido!B49</f>
        <v>CONSTRUCCIONES INTERVENTORIAS ISAZA INGENIERIA SAS</v>
      </c>
      <c r="D49" s="74" t="str">
        <f>VLOOKUP(B49,'FORMULARIO No 2- VFT'!$A$18:$AF$664,17,FALSE)</f>
        <v>CUMPLE</v>
      </c>
      <c r="E49" s="377" t="str">
        <f>VLOOKUP(B49,'FORMULARIO No 2- VFT'!$A$18:$AF$664,18,FALSE)</f>
        <v>CUMPLE</v>
      </c>
      <c r="F49" s="376" t="str">
        <f ca="1">VLOOKUP("E"&amp;B49,'FORMULARIO No 2- VFT'!$A$18:$AF$664,13,FALSE)</f>
        <v>CUMPLE</v>
      </c>
      <c r="G49" s="376" t="str">
        <f>VLOOKUP($B49,'FORMULARIO No 2- VFT'!$A$18:$AF$664,28,FALSE)</f>
        <v>NO CUMPLE</v>
      </c>
      <c r="H49" s="376" t="str">
        <f>VLOOKUP($B49,'FORMULARIO No 2- VFT'!$A$18:$AF$664,30,FALSE)</f>
        <v>NO CUMPLE</v>
      </c>
      <c r="I49" s="75" t="str">
        <f t="shared" ca="1" si="1"/>
        <v>ADMISIBLE</v>
      </c>
      <c r="J49" s="76" t="str">
        <f t="shared" si="8"/>
        <v/>
      </c>
    </row>
    <row r="50" spans="2:10" ht="12.95" customHeight="1">
      <c r="B50" s="72">
        <f t="shared" si="7"/>
        <v>36</v>
      </c>
      <c r="C50" s="73" t="str">
        <f>VFrequerido!B50</f>
        <v>CONSORCIO ADMINISTRADOR HS</v>
      </c>
      <c r="D50" s="74" t="str">
        <f>VLOOKUP(B50,'FORMULARIO No 2- VFT'!$A$18:$AF$664,17,FALSE)</f>
        <v>CUMPLE</v>
      </c>
      <c r="E50" s="377" t="str">
        <f>VLOOKUP(B50,'FORMULARIO No 2- VFT'!$A$18:$AF$664,18,FALSE)</f>
        <v>CUMPLE</v>
      </c>
      <c r="F50" s="376" t="str">
        <f ca="1">VLOOKUP("E"&amp;B50,'FORMULARIO No 2- VFT'!$A$18:$AF$664,13,FALSE)</f>
        <v>NO CUMPLE</v>
      </c>
      <c r="G50" s="376" t="str">
        <f>VLOOKUP($B50,'FORMULARIO No 2- VFT'!$A$18:$AF$664,28,FALSE)</f>
        <v>NO CUMPLE</v>
      </c>
      <c r="H50" s="376" t="str">
        <f>VLOOKUP($B50,'FORMULARIO No 2- VFT'!$A$18:$AF$664,30,FALSE)</f>
        <v>NO CUMPLE</v>
      </c>
      <c r="I50" s="75" t="str">
        <f t="shared" ca="1" si="1"/>
        <v>NO ADMISIBLE</v>
      </c>
      <c r="J50" s="76" t="str">
        <f t="shared" si="8"/>
        <v/>
      </c>
    </row>
    <row r="51" spans="2:10" ht="6" customHeight="1" thickBot="1">
      <c r="B51" s="761">
        <v>1</v>
      </c>
      <c r="C51" s="762"/>
      <c r="D51" s="762"/>
      <c r="E51" s="762"/>
      <c r="F51" s="762"/>
      <c r="G51" s="762"/>
      <c r="H51" s="762"/>
      <c r="I51" s="763"/>
      <c r="J51" s="65"/>
    </row>
    <row r="52" spans="2:10" ht="13.5" thickTop="1">
      <c r="B52" s="77"/>
      <c r="C52" s="78"/>
      <c r="D52" s="79"/>
      <c r="E52" s="80"/>
      <c r="F52" s="80"/>
      <c r="G52" s="80"/>
      <c r="H52" s="80"/>
      <c r="I52" s="80"/>
    </row>
    <row r="53" spans="2:10">
      <c r="B53" s="77"/>
      <c r="C53" s="78"/>
      <c r="D53" s="79"/>
      <c r="E53" s="80"/>
      <c r="F53" s="80"/>
      <c r="G53" s="80"/>
      <c r="H53" s="80"/>
      <c r="I53" s="80"/>
    </row>
    <row r="54" spans="2:10">
      <c r="B54" s="81"/>
      <c r="C54" s="82"/>
      <c r="D54" s="83"/>
    </row>
  </sheetData>
  <sheetProtection algorithmName="SHA-512" hashValue="GpLTv+XOMeyNYu218qGDdbh5HPgFHl9Z+aM9cFHO6S+bCe4CLb+QxGk1jB4yA0YPj5JkEZb/R8T/L93ArQ2k/Q==" saltValue="cMDU0ZLeUvN6qjIA62u9Nw==" spinCount="100000" sheet="1" selectLockedCells="1"/>
  <customSheetViews>
    <customSheetView guid="{4FD7B380-97FE-41A2-99C1-9E1A481B7C5B}" showPageBreaks="1" showRuler="0" topLeftCell="A29">
      <selection activeCell="H25" sqref="H25"/>
      <pageMargins left="0.39370078740157483" right="0.39370078740157483" top="0.39370078740157483" bottom="1.5748031496062993" header="0" footer="0"/>
      <printOptions horizontalCentered="1" verticalCentered="1"/>
      <pageSetup paperSize="5" scale="75" orientation="portrait" horizontalDpi="1200" verticalDpi="1200" r:id="rId1"/>
      <headerFooter alignWithMargins="0"/>
    </customSheetView>
    <customSheetView guid="{DDA08836-FFF7-4F47-B058-4616FC9BD320}" showPageBreaks="1" showRuler="0" topLeftCell="A10">
      <selection activeCell="B49" sqref="B49"/>
      <pageMargins left="0.39370078740157483" right="0.39370078740157483" top="0.39370078740157483" bottom="1.5748031496062993" header="0" footer="0"/>
      <printOptions horizontalCentered="1" verticalCentered="1"/>
      <pageSetup paperSize="5" scale="75" orientation="portrait" horizontalDpi="1200" verticalDpi="1200" r:id="rId2"/>
      <headerFooter alignWithMargins="0"/>
    </customSheetView>
  </customSheetViews>
  <mergeCells count="3">
    <mergeCell ref="C12:C13"/>
    <mergeCell ref="B51:I51"/>
    <mergeCell ref="D12:D13"/>
  </mergeCells>
  <phoneticPr fontId="5" type="noConversion"/>
  <conditionalFormatting sqref="I15:I50">
    <cfRule type="cellIs" dxfId="242" priority="44" stopIfTrue="1" operator="equal">
      <formula>"NO ADMISIBLE"</formula>
    </cfRule>
    <cfRule type="cellIs" dxfId="241" priority="45" stopIfTrue="1" operator="equal">
      <formula>"ADMISIBLE"</formula>
    </cfRule>
  </conditionalFormatting>
  <conditionalFormatting sqref="B15:G50">
    <cfRule type="cellIs" dxfId="240" priority="46" stopIfTrue="1" operator="greaterThan">
      <formula>0</formula>
    </cfRule>
  </conditionalFormatting>
  <conditionalFormatting sqref="B12:B13 D12:D13 C12 I12:I13 F12:G13">
    <cfRule type="cellIs" dxfId="239" priority="47" stopIfTrue="1" operator="greaterThan">
      <formula>0</formula>
    </cfRule>
  </conditionalFormatting>
  <conditionalFormatting sqref="D15:G50">
    <cfRule type="cellIs" dxfId="238" priority="25" operator="equal">
      <formula>"CUMPLE"</formula>
    </cfRule>
  </conditionalFormatting>
  <conditionalFormatting sqref="E12:E13">
    <cfRule type="cellIs" dxfId="237" priority="24" stopIfTrue="1" operator="greaterThan">
      <formula>0</formula>
    </cfRule>
  </conditionalFormatting>
  <conditionalFormatting sqref="B25:G34 D35">
    <cfRule type="cellIs" dxfId="236" priority="21" stopIfTrue="1" operator="greaterThan">
      <formula>0</formula>
    </cfRule>
  </conditionalFormatting>
  <conditionalFormatting sqref="D25:G34 D35">
    <cfRule type="cellIs" dxfId="235" priority="18" operator="equal">
      <formula>"CUMPLE"</formula>
    </cfRule>
  </conditionalFormatting>
  <conditionalFormatting sqref="B35:G44">
    <cfRule type="cellIs" dxfId="234" priority="17" stopIfTrue="1" operator="greaterThan">
      <formula>0</formula>
    </cfRule>
  </conditionalFormatting>
  <conditionalFormatting sqref="D35:G44">
    <cfRule type="cellIs" dxfId="233" priority="14" operator="equal">
      <formula>"CUMPLE"</formula>
    </cfRule>
  </conditionalFormatting>
  <conditionalFormatting sqref="B45:G50">
    <cfRule type="cellIs" dxfId="232" priority="13" stopIfTrue="1" operator="greaterThan">
      <formula>0</formula>
    </cfRule>
  </conditionalFormatting>
  <conditionalFormatting sqref="D45:G50">
    <cfRule type="cellIs" dxfId="231" priority="10" operator="equal">
      <formula>"CUMPLE"</formula>
    </cfRule>
  </conditionalFormatting>
  <conditionalFormatting sqref="H15:H50">
    <cfRule type="cellIs" dxfId="230" priority="8" stopIfTrue="1" operator="greaterThan">
      <formula>0</formula>
    </cfRule>
  </conditionalFormatting>
  <conditionalFormatting sqref="B12:I13">
    <cfRule type="cellIs" dxfId="229" priority="9" stopIfTrue="1" operator="greaterThan">
      <formula>0</formula>
    </cfRule>
  </conditionalFormatting>
  <conditionalFormatting sqref="H15:H50">
    <cfRule type="cellIs" dxfId="228" priority="7" operator="equal">
      <formula>"CUMPLE"</formula>
    </cfRule>
  </conditionalFormatting>
  <conditionalFormatting sqref="H25:H34">
    <cfRule type="cellIs" dxfId="227" priority="6" stopIfTrue="1" operator="greaterThan">
      <formula>0</formula>
    </cfRule>
  </conditionalFormatting>
  <conditionalFormatting sqref="H25:H34">
    <cfRule type="cellIs" dxfId="226" priority="5" operator="equal">
      <formula>"CUMPLE"</formula>
    </cfRule>
  </conditionalFormatting>
  <conditionalFormatting sqref="H35:H44">
    <cfRule type="cellIs" dxfId="225" priority="4" stopIfTrue="1" operator="greaterThan">
      <formula>0</formula>
    </cfRule>
  </conditionalFormatting>
  <conditionalFormatting sqref="H35:H44">
    <cfRule type="cellIs" dxfId="224" priority="3" operator="equal">
      <formula>"CUMPLE"</formula>
    </cfRule>
  </conditionalFormatting>
  <conditionalFormatting sqref="H45:H50">
    <cfRule type="cellIs" dxfId="223" priority="2" stopIfTrue="1" operator="greaterThan">
      <formula>0</formula>
    </cfRule>
  </conditionalFormatting>
  <conditionalFormatting sqref="H45:H50">
    <cfRule type="cellIs" dxfId="222" priority="1" operator="equal">
      <formula>"CUMPLE"</formula>
    </cfRule>
  </conditionalFormatting>
  <printOptions horizontalCentered="1" verticalCentered="1"/>
  <pageMargins left="0.39370078740157483" right="0.39370078740157483" top="0.39370078740157483" bottom="1.5748031496062993" header="0" footer="0"/>
  <pageSetup scale="75" orientation="portrait" horizontalDpi="1200" verticalDpi="1200" r:id="rId3"/>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F62"/>
  <sheetViews>
    <sheetView topLeftCell="A16" workbookViewId="0">
      <selection activeCell="H46" sqref="H46"/>
    </sheetView>
  </sheetViews>
  <sheetFormatPr baseColWidth="10" defaultRowHeight="12.75"/>
  <cols>
    <col min="1" max="1" width="5.7109375" style="25" customWidth="1"/>
    <col min="2" max="2" width="9.5703125" style="25" customWidth="1"/>
    <col min="3" max="3" width="38.5703125" style="25" customWidth="1"/>
    <col min="4" max="6" width="12.7109375" style="25" customWidth="1"/>
    <col min="7" max="7" width="5.7109375" style="25" customWidth="1"/>
    <col min="8" max="16384" width="11.42578125" style="25"/>
  </cols>
  <sheetData>
    <row r="1" spans="2:6" ht="20.100000000000001" customHeight="1">
      <c r="B1" s="7">
        <f>PRESUPUESTOS!C1</f>
        <v>0</v>
      </c>
      <c r="C1" s="7"/>
      <c r="D1" s="7"/>
      <c r="E1" s="7"/>
      <c r="F1" s="7"/>
    </row>
    <row r="2" spans="2:6" ht="20.100000000000001" customHeight="1">
      <c r="B2" s="7">
        <f>PRESUPUESTOS!C2</f>
        <v>0</v>
      </c>
      <c r="C2" s="7"/>
      <c r="D2" s="7"/>
      <c r="E2" s="7"/>
      <c r="F2" s="7"/>
    </row>
    <row r="3" spans="2:6" ht="20.100000000000001" customHeight="1">
      <c r="B3" s="7" t="e">
        <f>PRESUPUESTOS!#REF!</f>
        <v>#REF!</v>
      </c>
      <c r="C3" s="7"/>
      <c r="D3" s="7"/>
      <c r="E3" s="7"/>
      <c r="F3" s="7"/>
    </row>
    <row r="4" spans="2:6" ht="20.100000000000001" customHeight="1">
      <c r="B4" s="7">
        <f>PRESUPUESTOS!C3</f>
        <v>0</v>
      </c>
      <c r="C4" s="7"/>
      <c r="D4" s="7"/>
      <c r="E4" s="7"/>
      <c r="F4" s="7"/>
    </row>
    <row r="5" spans="2:6" ht="20.100000000000001" customHeight="1">
      <c r="B5" s="85">
        <f>PRESUPUESTOS!C4</f>
        <v>0</v>
      </c>
      <c r="C5" s="85"/>
      <c r="D5" s="85"/>
      <c r="E5" s="85"/>
      <c r="F5" s="85"/>
    </row>
    <row r="6" spans="2:6" ht="9" customHeight="1">
      <c r="B6" s="7"/>
      <c r="C6" s="7"/>
      <c r="D6" s="7"/>
      <c r="E6" s="7"/>
      <c r="F6" s="7"/>
    </row>
    <row r="7" spans="2:6" ht="60" customHeight="1">
      <c r="B7" s="7">
        <f>PRESUPUESTOS!C6</f>
        <v>0</v>
      </c>
      <c r="C7" s="7"/>
      <c r="D7" s="7"/>
      <c r="E7" s="7"/>
      <c r="F7" s="7"/>
    </row>
    <row r="8" spans="2:6">
      <c r="B8" s="61"/>
      <c r="C8" s="61"/>
      <c r="D8" s="61"/>
      <c r="E8" s="61"/>
      <c r="F8" s="61"/>
    </row>
    <row r="9" spans="2:6" ht="15.75" customHeight="1">
      <c r="B9" s="86" t="s">
        <v>2</v>
      </c>
      <c r="C9" s="86"/>
      <c r="D9" s="86"/>
      <c r="E9" s="86"/>
      <c r="F9" s="86"/>
    </row>
    <row r="10" spans="2:6" ht="7.5" customHeight="1">
      <c r="B10" s="766"/>
      <c r="C10" s="766"/>
      <c r="D10" s="766"/>
      <c r="E10" s="766"/>
      <c r="F10" s="766"/>
    </row>
    <row r="11" spans="2:6" ht="18.75">
      <c r="B11" s="719" t="s">
        <v>6</v>
      </c>
      <c r="C11" s="719"/>
      <c r="D11" s="719"/>
      <c r="E11" s="719"/>
      <c r="F11" s="719"/>
    </row>
    <row r="12" spans="2:6" ht="6" customHeight="1" thickBot="1"/>
    <row r="13" spans="2:6" ht="13.5" thickTop="1">
      <c r="B13" s="66" t="s">
        <v>11</v>
      </c>
      <c r="C13" s="759" t="s">
        <v>12</v>
      </c>
      <c r="D13" s="57" t="s">
        <v>41</v>
      </c>
      <c r="E13" s="759" t="s">
        <v>40</v>
      </c>
      <c r="F13" s="68" t="s">
        <v>4</v>
      </c>
    </row>
    <row r="14" spans="2:6" ht="13.5" thickBot="1">
      <c r="B14" s="69" t="s">
        <v>13</v>
      </c>
      <c r="C14" s="760"/>
      <c r="D14" s="58" t="s">
        <v>42</v>
      </c>
      <c r="E14" s="760"/>
      <c r="F14" s="59" t="s">
        <v>5</v>
      </c>
    </row>
    <row r="15" spans="2:6" ht="2.1" customHeight="1" thickTop="1">
      <c r="B15" s="66"/>
      <c r="C15" s="57"/>
      <c r="D15" s="57"/>
      <c r="E15" s="57"/>
      <c r="F15" s="35"/>
    </row>
    <row r="16" spans="2:6">
      <c r="B16" s="87">
        <f>IF(C16="","",B15+1)</f>
        <v>1</v>
      </c>
      <c r="C16" s="88" t="str">
        <f>VFrequerido!B15</f>
        <v>CONSORCIO C &amp; J</v>
      </c>
      <c r="D16" s="370" t="s">
        <v>26</v>
      </c>
      <c r="E16" s="89" t="e">
        <f t="shared" ref="E16:E26" si="0">VLOOKUP("P"&amp;B16,FORM,15,FALSE)</f>
        <v>#N/A</v>
      </c>
      <c r="F16" s="89" t="str">
        <f>IF(OR(COUNTIF(D16:E16,0)&gt;0),"RECHAZADA",IF(OR(COUNTIF(D16:E16,"NO ADMISIBLE")&gt;0),"NO ADMISIBLE","ADMISIBLE"))</f>
        <v>ADMISIBLE</v>
      </c>
    </row>
    <row r="17" spans="2:6">
      <c r="B17" s="87">
        <f t="shared" ref="B17:B36" si="1">IF(C17="","",B16+1)</f>
        <v>2</v>
      </c>
      <c r="C17" s="88" t="str">
        <f>VFrequerido!B16</f>
        <v>CONSORCIO RUTA SANTANDER 100</v>
      </c>
      <c r="D17" s="89"/>
      <c r="E17" s="89" t="e">
        <f t="shared" si="0"/>
        <v>#N/A</v>
      </c>
      <c r="F17" s="89" t="s">
        <v>26</v>
      </c>
    </row>
    <row r="18" spans="2:6">
      <c r="B18" s="87">
        <f t="shared" si="1"/>
        <v>3</v>
      </c>
      <c r="C18" s="88" t="str">
        <f>VFrequerido!B17</f>
        <v>CONSORCIO SIETE</v>
      </c>
      <c r="D18" s="89"/>
      <c r="E18" s="89" t="e">
        <f t="shared" si="0"/>
        <v>#N/A</v>
      </c>
      <c r="F18" s="89" t="s">
        <v>26</v>
      </c>
    </row>
    <row r="19" spans="2:6">
      <c r="B19" s="87">
        <f t="shared" si="1"/>
        <v>4</v>
      </c>
      <c r="C19" s="88" t="str">
        <f>VFrequerido!B18</f>
        <v>GIA INGENIERIA S.A.S</v>
      </c>
      <c r="D19" s="89"/>
      <c r="E19" s="89" t="e">
        <f t="shared" si="0"/>
        <v>#N/A</v>
      </c>
      <c r="F19" s="89" t="s">
        <v>26</v>
      </c>
    </row>
    <row r="20" spans="2:6">
      <c r="B20" s="87">
        <f t="shared" si="1"/>
        <v>5</v>
      </c>
      <c r="C20" s="88" t="str">
        <f>VFrequerido!B19</f>
        <v>CONSORCIO JJAB</v>
      </c>
      <c r="D20" s="89"/>
      <c r="E20" s="89" t="e">
        <f t="shared" si="0"/>
        <v>#N/A</v>
      </c>
      <c r="F20" s="89" t="s">
        <v>26</v>
      </c>
    </row>
    <row r="21" spans="2:6">
      <c r="B21" s="87">
        <f t="shared" si="1"/>
        <v>6</v>
      </c>
      <c r="C21" s="88" t="str">
        <f>VFrequerido!B20</f>
        <v>CONSORCIO JC SANTANDER</v>
      </c>
      <c r="D21" s="89"/>
      <c r="E21" s="89" t="e">
        <f t="shared" si="0"/>
        <v>#N/A</v>
      </c>
      <c r="F21" s="89" t="s">
        <v>26</v>
      </c>
    </row>
    <row r="22" spans="2:6">
      <c r="B22" s="87">
        <f t="shared" si="1"/>
        <v>7</v>
      </c>
      <c r="C22" s="88" t="str">
        <f>VFrequerido!B21</f>
        <v>ESTUDIOS TECNICOS Y ASESORIAS S.A</v>
      </c>
      <c r="D22" s="89"/>
      <c r="E22" s="89" t="e">
        <f t="shared" si="0"/>
        <v>#N/A</v>
      </c>
      <c r="F22" s="89" t="s">
        <v>26</v>
      </c>
    </row>
    <row r="23" spans="2:6">
      <c r="B23" s="87">
        <f t="shared" si="1"/>
        <v>8</v>
      </c>
      <c r="C23" s="88" t="str">
        <f>VFrequerido!B22</f>
        <v>CONSULTORIA BOGOTANA SAS</v>
      </c>
      <c r="D23" s="89"/>
      <c r="E23" s="89" t="e">
        <f t="shared" si="0"/>
        <v>#N/A</v>
      </c>
      <c r="F23" s="89" t="s">
        <v>26</v>
      </c>
    </row>
    <row r="24" spans="2:6">
      <c r="B24" s="87">
        <f t="shared" si="1"/>
        <v>9</v>
      </c>
      <c r="C24" s="88" t="str">
        <f>VFrequerido!B23</f>
        <v>RENE ARMANDO MARTINEZ DORADO</v>
      </c>
      <c r="D24" s="89"/>
      <c r="E24" s="89" t="e">
        <f t="shared" si="0"/>
        <v>#N/A</v>
      </c>
      <c r="F24" s="89" t="s">
        <v>26</v>
      </c>
    </row>
    <row r="25" spans="2:6">
      <c r="B25" s="87">
        <f t="shared" si="1"/>
        <v>10</v>
      </c>
      <c r="C25" s="88" t="str">
        <f>VFrequerido!B24</f>
        <v>CONSORCIO ADMON BM 100</v>
      </c>
      <c r="D25" s="89"/>
      <c r="E25" s="89" t="e">
        <f t="shared" si="0"/>
        <v>#N/A</v>
      </c>
      <c r="F25" s="89" t="s">
        <v>26</v>
      </c>
    </row>
    <row r="26" spans="2:6">
      <c r="B26" s="87">
        <f t="shared" si="1"/>
        <v>11</v>
      </c>
      <c r="C26" s="88">
        <f>VFrequerido!B51</f>
        <v>0</v>
      </c>
      <c r="D26" s="89"/>
      <c r="E26" s="89" t="e">
        <f t="shared" si="0"/>
        <v>#N/A</v>
      </c>
      <c r="F26" s="89" t="s">
        <v>26</v>
      </c>
    </row>
    <row r="27" spans="2:6">
      <c r="B27" s="87">
        <f t="shared" si="1"/>
        <v>12</v>
      </c>
      <c r="C27" s="88">
        <f>VFrequerido!B52</f>
        <v>0</v>
      </c>
      <c r="D27" s="370" t="s">
        <v>26</v>
      </c>
      <c r="E27" s="89" t="e">
        <f t="shared" ref="E27:E47" si="2">VLOOKUP("P"&amp;B27,FORM,15,FALSE)</f>
        <v>#N/A</v>
      </c>
      <c r="F27" s="89" t="str">
        <f>IF(OR(COUNTIF(D27:E27,0)&gt;0),"RECHAZADA",IF(OR(COUNTIF(D27:E27,"NO ADMISIBLE")&gt;0),"NO ADMISIBLE","ADMISIBLE"))</f>
        <v>ADMISIBLE</v>
      </c>
    </row>
    <row r="28" spans="2:6">
      <c r="B28" s="87">
        <f t="shared" si="1"/>
        <v>13</v>
      </c>
      <c r="C28" s="88">
        <f>VFrequerido!B53</f>
        <v>0</v>
      </c>
      <c r="D28" s="89"/>
      <c r="E28" s="89" t="e">
        <f t="shared" si="2"/>
        <v>#N/A</v>
      </c>
      <c r="F28" s="89" t="s">
        <v>26</v>
      </c>
    </row>
    <row r="29" spans="2:6">
      <c r="B29" s="87">
        <f t="shared" si="1"/>
        <v>14</v>
      </c>
      <c r="C29" s="88">
        <f>VFrequerido!B54</f>
        <v>0</v>
      </c>
      <c r="D29" s="89"/>
      <c r="E29" s="89" t="e">
        <f t="shared" si="2"/>
        <v>#N/A</v>
      </c>
      <c r="F29" s="89" t="s">
        <v>26</v>
      </c>
    </row>
    <row r="30" spans="2:6">
      <c r="B30" s="87">
        <f t="shared" si="1"/>
        <v>15</v>
      </c>
      <c r="C30" s="88">
        <f>VFrequerido!B55</f>
        <v>0</v>
      </c>
      <c r="D30" s="89"/>
      <c r="E30" s="89" t="e">
        <f t="shared" si="2"/>
        <v>#N/A</v>
      </c>
      <c r="F30" s="89" t="s">
        <v>26</v>
      </c>
    </row>
    <row r="31" spans="2:6">
      <c r="B31" s="87">
        <f t="shared" si="1"/>
        <v>16</v>
      </c>
      <c r="C31" s="88">
        <f>VFrequerido!B56</f>
        <v>0</v>
      </c>
      <c r="D31" s="89"/>
      <c r="E31" s="89" t="e">
        <f t="shared" si="2"/>
        <v>#N/A</v>
      </c>
      <c r="F31" s="89" t="s">
        <v>26</v>
      </c>
    </row>
    <row r="32" spans="2:6">
      <c r="B32" s="87">
        <f t="shared" si="1"/>
        <v>17</v>
      </c>
      <c r="C32" s="88">
        <f>VFrequerido!B57</f>
        <v>0</v>
      </c>
      <c r="D32" s="89"/>
      <c r="E32" s="89" t="e">
        <f t="shared" si="2"/>
        <v>#N/A</v>
      </c>
      <c r="F32" s="89" t="s">
        <v>26</v>
      </c>
    </row>
    <row r="33" spans="2:6">
      <c r="B33" s="87">
        <f t="shared" si="1"/>
        <v>18</v>
      </c>
      <c r="C33" s="88">
        <f>VFrequerido!B58</f>
        <v>0</v>
      </c>
      <c r="D33" s="89"/>
      <c r="E33" s="89" t="e">
        <f t="shared" si="2"/>
        <v>#N/A</v>
      </c>
      <c r="F33" s="89" t="s">
        <v>26</v>
      </c>
    </row>
    <row r="34" spans="2:6">
      <c r="B34" s="87">
        <f t="shared" si="1"/>
        <v>19</v>
      </c>
      <c r="C34" s="88">
        <f>VFrequerido!B59</f>
        <v>0</v>
      </c>
      <c r="D34" s="89"/>
      <c r="E34" s="89" t="e">
        <f t="shared" si="2"/>
        <v>#N/A</v>
      </c>
      <c r="F34" s="89" t="s">
        <v>26</v>
      </c>
    </row>
    <row r="35" spans="2:6">
      <c r="B35" s="87">
        <f t="shared" si="1"/>
        <v>20</v>
      </c>
      <c r="C35" s="88">
        <f>VFrequerido!B60</f>
        <v>0</v>
      </c>
      <c r="D35" s="89"/>
      <c r="E35" s="89" t="e">
        <f t="shared" si="2"/>
        <v>#N/A</v>
      </c>
      <c r="F35" s="89" t="s">
        <v>26</v>
      </c>
    </row>
    <row r="36" spans="2:6">
      <c r="B36" s="87">
        <f t="shared" si="1"/>
        <v>21</v>
      </c>
      <c r="C36" s="88">
        <f>VFrequerido!B61</f>
        <v>0</v>
      </c>
      <c r="D36" s="89"/>
      <c r="E36" s="89" t="e">
        <f t="shared" si="2"/>
        <v>#N/A</v>
      </c>
      <c r="F36" s="89" t="s">
        <v>26</v>
      </c>
    </row>
    <row r="37" spans="2:6">
      <c r="B37" s="87">
        <f>IF(C37="","",B36+1)</f>
        <v>22</v>
      </c>
      <c r="C37" s="88">
        <f>VFrequerido!B62</f>
        <v>0</v>
      </c>
      <c r="D37" s="370" t="s">
        <v>26</v>
      </c>
      <c r="E37" s="89" t="e">
        <f t="shared" si="2"/>
        <v>#N/A</v>
      </c>
      <c r="F37" s="89" t="str">
        <f>IF(OR(COUNTIF(D37:E37,0)&gt;0),"RECHAZADA",IF(OR(COUNTIF(D37:E37,"NO ADMISIBLE")&gt;0),"NO ADMISIBLE","ADMISIBLE"))</f>
        <v>ADMISIBLE</v>
      </c>
    </row>
    <row r="38" spans="2:6">
      <c r="B38" s="87">
        <f t="shared" ref="B38:B55" si="3">IF(C38="","",B37+1)</f>
        <v>23</v>
      </c>
      <c r="C38" s="88">
        <f>VFrequerido!B63</f>
        <v>0</v>
      </c>
      <c r="D38" s="89"/>
      <c r="E38" s="89" t="e">
        <f t="shared" si="2"/>
        <v>#N/A</v>
      </c>
      <c r="F38" s="89" t="s">
        <v>26</v>
      </c>
    </row>
    <row r="39" spans="2:6">
      <c r="B39" s="87">
        <f t="shared" si="3"/>
        <v>24</v>
      </c>
      <c r="C39" s="88">
        <f>VFrequerido!B64</f>
        <v>0</v>
      </c>
      <c r="D39" s="89"/>
      <c r="E39" s="89" t="e">
        <f t="shared" si="2"/>
        <v>#N/A</v>
      </c>
      <c r="F39" s="89" t="s">
        <v>26</v>
      </c>
    </row>
    <row r="40" spans="2:6">
      <c r="B40" s="87">
        <f t="shared" si="3"/>
        <v>25</v>
      </c>
      <c r="C40" s="88">
        <f>VFrequerido!B65</f>
        <v>0</v>
      </c>
      <c r="D40" s="89"/>
      <c r="E40" s="89" t="e">
        <f t="shared" si="2"/>
        <v>#N/A</v>
      </c>
      <c r="F40" s="89" t="s">
        <v>26</v>
      </c>
    </row>
    <row r="41" spans="2:6">
      <c r="B41" s="87">
        <f t="shared" si="3"/>
        <v>26</v>
      </c>
      <c r="C41" s="88">
        <f>VFrequerido!B66</f>
        <v>0</v>
      </c>
      <c r="D41" s="89"/>
      <c r="E41" s="89" t="e">
        <f t="shared" si="2"/>
        <v>#N/A</v>
      </c>
      <c r="F41" s="89" t="s">
        <v>26</v>
      </c>
    </row>
    <row r="42" spans="2:6">
      <c r="B42" s="87">
        <f t="shared" si="3"/>
        <v>27</v>
      </c>
      <c r="C42" s="88">
        <f>VFrequerido!B67</f>
        <v>0</v>
      </c>
      <c r="D42" s="89"/>
      <c r="E42" s="89" t="e">
        <f t="shared" si="2"/>
        <v>#N/A</v>
      </c>
      <c r="F42" s="89" t="s">
        <v>26</v>
      </c>
    </row>
    <row r="43" spans="2:6">
      <c r="B43" s="87">
        <f t="shared" si="3"/>
        <v>28</v>
      </c>
      <c r="C43" s="88">
        <f>VFrequerido!B68</f>
        <v>0</v>
      </c>
      <c r="D43" s="89"/>
      <c r="E43" s="89" t="e">
        <f t="shared" si="2"/>
        <v>#N/A</v>
      </c>
      <c r="F43" s="89" t="s">
        <v>26</v>
      </c>
    </row>
    <row r="44" spans="2:6">
      <c r="B44" s="87">
        <f t="shared" si="3"/>
        <v>29</v>
      </c>
      <c r="C44" s="88">
        <f>VFrequerido!B69</f>
        <v>0</v>
      </c>
      <c r="D44" s="89"/>
      <c r="E44" s="89" t="e">
        <f t="shared" si="2"/>
        <v>#N/A</v>
      </c>
      <c r="F44" s="89" t="s">
        <v>26</v>
      </c>
    </row>
    <row r="45" spans="2:6">
      <c r="B45" s="87">
        <f t="shared" si="3"/>
        <v>30</v>
      </c>
      <c r="C45" s="88">
        <f>VFrequerido!B70</f>
        <v>0</v>
      </c>
      <c r="D45" s="89"/>
      <c r="E45" s="89" t="e">
        <f t="shared" si="2"/>
        <v>#N/A</v>
      </c>
      <c r="F45" s="89" t="s">
        <v>26</v>
      </c>
    </row>
    <row r="46" spans="2:6">
      <c r="B46" s="87">
        <f t="shared" si="3"/>
        <v>31</v>
      </c>
      <c r="C46" s="88">
        <f>VFrequerido!B71</f>
        <v>0</v>
      </c>
      <c r="D46" s="89"/>
      <c r="E46" s="89" t="e">
        <f t="shared" si="2"/>
        <v>#N/A</v>
      </c>
      <c r="F46" s="89" t="s">
        <v>26</v>
      </c>
    </row>
    <row r="47" spans="2:6">
      <c r="B47" s="87">
        <f t="shared" si="3"/>
        <v>32</v>
      </c>
      <c r="C47" s="88">
        <f>VFrequerido!B72</f>
        <v>0</v>
      </c>
      <c r="D47" s="89"/>
      <c r="E47" s="89" t="e">
        <f t="shared" si="2"/>
        <v>#N/A</v>
      </c>
      <c r="F47" s="89" t="s">
        <v>26</v>
      </c>
    </row>
    <row r="48" spans="2:6">
      <c r="B48" s="87">
        <f t="shared" si="3"/>
        <v>33</v>
      </c>
      <c r="C48" s="88">
        <f>VFrequerido!B73</f>
        <v>0</v>
      </c>
      <c r="D48" s="370" t="s">
        <v>26</v>
      </c>
      <c r="E48" s="89" t="e">
        <f t="shared" ref="E48:E55" si="4">VLOOKUP("P"&amp;B48,FORM,15,FALSE)</f>
        <v>#N/A</v>
      </c>
      <c r="F48" s="89" t="str">
        <f>IF(OR(COUNTIF(D48:E48,0)&gt;0),"RECHAZADA",IF(OR(COUNTIF(D48:E48,"NO ADMISIBLE")&gt;0),"NO ADMISIBLE","ADMISIBLE"))</f>
        <v>ADMISIBLE</v>
      </c>
    </row>
    <row r="49" spans="2:6">
      <c r="B49" s="87">
        <f t="shared" si="3"/>
        <v>34</v>
      </c>
      <c r="C49" s="88">
        <f>VFrequerido!B74</f>
        <v>0</v>
      </c>
      <c r="D49" s="89"/>
      <c r="E49" s="89" t="e">
        <f t="shared" si="4"/>
        <v>#N/A</v>
      </c>
      <c r="F49" s="89" t="s">
        <v>26</v>
      </c>
    </row>
    <row r="50" spans="2:6">
      <c r="B50" s="87">
        <f t="shared" si="3"/>
        <v>35</v>
      </c>
      <c r="C50" s="88">
        <f>VFrequerido!B75</f>
        <v>0</v>
      </c>
      <c r="D50" s="89"/>
      <c r="E50" s="89" t="e">
        <f t="shared" si="4"/>
        <v>#N/A</v>
      </c>
      <c r="F50" s="89" t="s">
        <v>26</v>
      </c>
    </row>
    <row r="51" spans="2:6">
      <c r="B51" s="87">
        <f t="shared" si="3"/>
        <v>36</v>
      </c>
      <c r="C51" s="88">
        <f>VFrequerido!B76</f>
        <v>0</v>
      </c>
      <c r="D51" s="89"/>
      <c r="E51" s="89" t="e">
        <f t="shared" si="4"/>
        <v>#N/A</v>
      </c>
      <c r="F51" s="89" t="s">
        <v>26</v>
      </c>
    </row>
    <row r="52" spans="2:6">
      <c r="B52" s="87">
        <f t="shared" si="3"/>
        <v>37</v>
      </c>
      <c r="C52" s="88">
        <f>VFrequerido!B77</f>
        <v>0</v>
      </c>
      <c r="D52" s="89"/>
      <c r="E52" s="89" t="e">
        <f t="shared" si="4"/>
        <v>#N/A</v>
      </c>
      <c r="F52" s="89" t="s">
        <v>26</v>
      </c>
    </row>
    <row r="53" spans="2:6">
      <c r="B53" s="87">
        <f t="shared" si="3"/>
        <v>38</v>
      </c>
      <c r="C53" s="88">
        <f>VFrequerido!B78</f>
        <v>0</v>
      </c>
      <c r="D53" s="89"/>
      <c r="E53" s="89" t="e">
        <f t="shared" si="4"/>
        <v>#N/A</v>
      </c>
      <c r="F53" s="89" t="s">
        <v>26</v>
      </c>
    </row>
    <row r="54" spans="2:6">
      <c r="B54" s="87">
        <f t="shared" si="3"/>
        <v>39</v>
      </c>
      <c r="C54" s="88">
        <f>VFrequerido!B79</f>
        <v>0</v>
      </c>
      <c r="D54" s="89"/>
      <c r="E54" s="89" t="e">
        <f t="shared" si="4"/>
        <v>#N/A</v>
      </c>
      <c r="F54" s="89" t="s">
        <v>26</v>
      </c>
    </row>
    <row r="55" spans="2:6">
      <c r="B55" s="87">
        <f t="shared" si="3"/>
        <v>40</v>
      </c>
      <c r="C55" s="88">
        <f>VFrequerido!B80</f>
        <v>0</v>
      </c>
      <c r="D55" s="89"/>
      <c r="E55" s="89" t="e">
        <f t="shared" si="4"/>
        <v>#N/A</v>
      </c>
      <c r="F55" s="89" t="s">
        <v>26</v>
      </c>
    </row>
    <row r="56" spans="2:6" ht="3.95" customHeight="1" thickBot="1">
      <c r="B56" s="371">
        <v>1</v>
      </c>
      <c r="C56" s="90"/>
      <c r="D56" s="90"/>
      <c r="E56" s="90"/>
      <c r="F56" s="91"/>
    </row>
    <row r="57" spans="2:6" ht="7.5" customHeight="1" thickTop="1" thickBot="1"/>
    <row r="58" spans="2:6" ht="13.5" thickTop="1">
      <c r="E58" s="92" t="s">
        <v>26</v>
      </c>
      <c r="F58" s="93">
        <f>COUNTIF($F$15:$F$55,E58)</f>
        <v>40</v>
      </c>
    </row>
    <row r="59" spans="2:6">
      <c r="E59" s="94" t="s">
        <v>27</v>
      </c>
      <c r="F59" s="95">
        <f>COUNTIF($F$15:$F$55,E59)</f>
        <v>0</v>
      </c>
    </row>
    <row r="60" spans="2:6" ht="13.5" thickBot="1">
      <c r="E60" s="96" t="s">
        <v>28</v>
      </c>
      <c r="F60" s="97">
        <f>COUNTIF($F$15:$F$55,E60)</f>
        <v>0</v>
      </c>
    </row>
    <row r="61" spans="2:6" ht="14.25" thickTop="1" thickBot="1">
      <c r="E61" s="98" t="s">
        <v>25</v>
      </c>
      <c r="F61" s="99">
        <f>SUM(F58:F60)</f>
        <v>40</v>
      </c>
    </row>
    <row r="62" spans="2:6" ht="13.5" thickTop="1"/>
  </sheetData>
  <sheetProtection selectLockedCells="1"/>
  <customSheetViews>
    <customSheetView guid="{4FD7B380-97FE-41A2-99C1-9E1A481B7C5B}" showPageBreaks="1" printArea="1" showRuler="0" topLeftCell="A11">
      <selection activeCell="F39" sqref="F39"/>
      <pageMargins left="0.39370078740157483" right="0.39370078740157483" top="0.39370078740157483" bottom="0.62" header="0" footer="0"/>
      <printOptions horizontalCentered="1"/>
      <pageSetup paperSize="5" scale="90" orientation="portrait" horizontalDpi="1200" verticalDpi="1200" r:id="rId1"/>
      <headerFooter alignWithMargins="0"/>
    </customSheetView>
    <customSheetView guid="{DDA08836-FFF7-4F47-B058-4616FC9BD320}" showPageBreaks="1" printArea="1" showRuler="0" topLeftCell="A11">
      <selection activeCell="F39" sqref="F39"/>
      <pageMargins left="0.39370078740157483" right="0.39370078740157483" top="0.39370078740157483" bottom="0.62" header="0" footer="0"/>
      <printOptions horizontalCentered="1"/>
      <pageSetup paperSize="5" scale="90" orientation="portrait" horizontalDpi="1200" verticalDpi="1200" r:id="rId2"/>
      <headerFooter alignWithMargins="0"/>
    </customSheetView>
  </customSheetViews>
  <mergeCells count="4">
    <mergeCell ref="E13:E14"/>
    <mergeCell ref="C13:C14"/>
    <mergeCell ref="B10:F10"/>
    <mergeCell ref="B11:F11"/>
  </mergeCells>
  <phoneticPr fontId="5" type="noConversion"/>
  <conditionalFormatting sqref="F58 B16:C24 C25:C26 B25:B36">
    <cfRule type="cellIs" dxfId="221" priority="56" stopIfTrue="1" operator="greaterThan">
      <formula>0</formula>
    </cfRule>
  </conditionalFormatting>
  <conditionalFormatting sqref="E58:E59 F16:F26">
    <cfRule type="cellIs" dxfId="220" priority="57" stopIfTrue="1" operator="equal">
      <formula>"NO ADMISIBLE"</formula>
    </cfRule>
    <cfRule type="cellIs" dxfId="219" priority="58" stopIfTrue="1" operator="equal">
      <formula>"ADMISIBLE"</formula>
    </cfRule>
  </conditionalFormatting>
  <conditionalFormatting sqref="F59">
    <cfRule type="cellIs" dxfId="218" priority="59" stopIfTrue="1" operator="greaterThan">
      <formula>0</formula>
    </cfRule>
  </conditionalFormatting>
  <conditionalFormatting sqref="E61:F61">
    <cfRule type="cellIs" dxfId="217" priority="60" stopIfTrue="1" operator="greaterThan">
      <formula>0</formula>
    </cfRule>
  </conditionalFormatting>
  <conditionalFormatting sqref="E60:F60">
    <cfRule type="cellIs" dxfId="216" priority="61" stopIfTrue="1" operator="notBetween">
      <formula>5</formula>
      <formula>10</formula>
    </cfRule>
  </conditionalFormatting>
  <conditionalFormatting sqref="D16:E26">
    <cfRule type="cellIs" dxfId="215" priority="62" stopIfTrue="1" operator="equal">
      <formula>"NO ADMISIBLE"</formula>
    </cfRule>
    <cfRule type="cellIs" dxfId="214" priority="63" stopIfTrue="1" operator="equal">
      <formula>"ADMISIBLE"</formula>
    </cfRule>
  </conditionalFormatting>
  <conditionalFormatting sqref="E13 F13:F14 B13:B14 D13:D14 C13">
    <cfRule type="cellIs" dxfId="213" priority="64" stopIfTrue="1" operator="greaterThan">
      <formula>0</formula>
    </cfRule>
  </conditionalFormatting>
  <conditionalFormatting sqref="C27:C36">
    <cfRule type="cellIs" dxfId="212" priority="11" stopIfTrue="1" operator="greaterThan">
      <formula>0</formula>
    </cfRule>
  </conditionalFormatting>
  <conditionalFormatting sqref="F27:F36">
    <cfRule type="cellIs" dxfId="211" priority="12" stopIfTrue="1" operator="equal">
      <formula>"NO ADMISIBLE"</formula>
    </cfRule>
    <cfRule type="cellIs" dxfId="210" priority="13" stopIfTrue="1" operator="equal">
      <formula>"ADMISIBLE"</formula>
    </cfRule>
  </conditionalFormatting>
  <conditionalFormatting sqref="D27:E36">
    <cfRule type="cellIs" dxfId="209" priority="14" stopIfTrue="1" operator="equal">
      <formula>"NO ADMISIBLE"</formula>
    </cfRule>
    <cfRule type="cellIs" dxfId="208" priority="15" stopIfTrue="1" operator="equal">
      <formula>"ADMISIBLE"</formula>
    </cfRule>
  </conditionalFormatting>
  <conditionalFormatting sqref="B37:C45 C46:C47 B46:B55">
    <cfRule type="cellIs" dxfId="207" priority="6" stopIfTrue="1" operator="greaterThan">
      <formula>0</formula>
    </cfRule>
  </conditionalFormatting>
  <conditionalFormatting sqref="F37:F47">
    <cfRule type="cellIs" dxfId="206" priority="7" stopIfTrue="1" operator="equal">
      <formula>"NO ADMISIBLE"</formula>
    </cfRule>
    <cfRule type="cellIs" dxfId="205" priority="8" stopIfTrue="1" operator="equal">
      <formula>"ADMISIBLE"</formula>
    </cfRule>
  </conditionalFormatting>
  <conditionalFormatting sqref="D37:E47">
    <cfRule type="cellIs" dxfId="204" priority="9" stopIfTrue="1" operator="equal">
      <formula>"NO ADMISIBLE"</formula>
    </cfRule>
    <cfRule type="cellIs" dxfId="203" priority="10" stopIfTrue="1" operator="equal">
      <formula>"ADMISIBLE"</formula>
    </cfRule>
  </conditionalFormatting>
  <conditionalFormatting sqref="C48:C55">
    <cfRule type="cellIs" dxfId="202" priority="1" stopIfTrue="1" operator="greaterThan">
      <formula>0</formula>
    </cfRule>
  </conditionalFormatting>
  <conditionalFormatting sqref="F48:F55">
    <cfRule type="cellIs" dxfId="201" priority="2" stopIfTrue="1" operator="equal">
      <formula>"NO ADMISIBLE"</formula>
    </cfRule>
    <cfRule type="cellIs" dxfId="200" priority="3" stopIfTrue="1" operator="equal">
      <formula>"ADMISIBLE"</formula>
    </cfRule>
  </conditionalFormatting>
  <conditionalFormatting sqref="D48:E55">
    <cfRule type="cellIs" dxfId="199" priority="4" stopIfTrue="1" operator="equal">
      <formula>"NO ADMISIBLE"</formula>
    </cfRule>
    <cfRule type="cellIs" dxfId="198" priority="5" stopIfTrue="1" operator="equal">
      <formula>"ADMISIBLE"</formula>
    </cfRule>
  </conditionalFormatting>
  <printOptions horizontalCentered="1"/>
  <pageMargins left="0.39370078740157483" right="0.39370078740157483" top="1.7716535433070868" bottom="0.62992125984251968" header="0" footer="0"/>
  <pageSetup scale="90" orientation="portrait" horizontalDpi="1200" verticalDpi="1200" r:id="rId3"/>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indexed="19"/>
  </sheetPr>
  <dimension ref="A1:J102"/>
  <sheetViews>
    <sheetView topLeftCell="A25" zoomScaleNormal="100" workbookViewId="0">
      <selection activeCell="D46" sqref="D46"/>
    </sheetView>
  </sheetViews>
  <sheetFormatPr baseColWidth="10" defaultRowHeight="12.75"/>
  <cols>
    <col min="1" max="1" width="9.5703125" style="109" customWidth="1"/>
    <col min="2" max="2" width="39.7109375" style="109" customWidth="1"/>
    <col min="3" max="3" width="11" style="109" bestFit="1" customWidth="1"/>
    <col min="4" max="5" width="13" style="109" bestFit="1" customWidth="1"/>
    <col min="6" max="6" width="11.140625" style="109" hidden="1" customWidth="1"/>
    <col min="7" max="9" width="12" style="109" hidden="1" customWidth="1"/>
    <col min="10" max="10" width="12" style="109" customWidth="1"/>
    <col min="11" max="16384" width="11.42578125" style="109"/>
  </cols>
  <sheetData>
    <row r="1" spans="1:10">
      <c r="A1" s="108" t="str">
        <f>PRESUPUESTOS!B1</f>
        <v>INSTITUTO NACIONAL DE VÍAS</v>
      </c>
      <c r="B1" s="108"/>
      <c r="C1" s="108"/>
      <c r="D1" s="108"/>
      <c r="E1" s="108"/>
      <c r="F1" s="108"/>
      <c r="G1" s="108"/>
      <c r="H1" s="108"/>
      <c r="I1" s="108"/>
      <c r="J1" s="108"/>
    </row>
    <row r="2" spans="1:10">
      <c r="A2" s="108"/>
      <c r="B2" s="108"/>
      <c r="C2" s="108"/>
      <c r="D2" s="108"/>
      <c r="E2" s="108"/>
      <c r="F2" s="108"/>
      <c r="G2" s="108"/>
      <c r="H2" s="108"/>
      <c r="I2" s="108"/>
      <c r="J2" s="108"/>
    </row>
    <row r="3" spans="1:10" ht="15.75" customHeight="1">
      <c r="A3" s="110" t="str">
        <f>PRESUPUESTOS!B3</f>
        <v>CONCURSO DE MÉRITOS ABIERTO</v>
      </c>
      <c r="B3" s="110"/>
      <c r="C3" s="110"/>
      <c r="D3" s="110"/>
      <c r="E3" s="110"/>
      <c r="F3" s="110"/>
      <c r="G3" s="110"/>
      <c r="H3" s="110"/>
      <c r="I3" s="110"/>
      <c r="J3" s="110"/>
    </row>
    <row r="4" spans="1:10">
      <c r="A4" s="110" t="str">
        <f>PRESUPUESTOS!B4</f>
        <v>CONCURSO DE MERITOS CMA-DO-SRN-100-2019</v>
      </c>
      <c r="B4" s="111"/>
      <c r="C4" s="111"/>
      <c r="D4" s="111"/>
      <c r="E4" s="111"/>
      <c r="F4" s="111"/>
      <c r="G4" s="112"/>
      <c r="H4" s="112"/>
      <c r="I4" s="112"/>
      <c r="J4" s="112"/>
    </row>
    <row r="5" spans="1:10">
      <c r="A5" s="108"/>
      <c r="B5" s="108"/>
      <c r="C5" s="108"/>
      <c r="D5" s="108"/>
      <c r="E5" s="108"/>
      <c r="F5" s="108"/>
      <c r="G5" s="108"/>
      <c r="H5" s="108"/>
      <c r="I5" s="108"/>
      <c r="J5" s="108"/>
    </row>
    <row r="6" spans="1:10">
      <c r="A6" s="110" t="str">
        <f>PRESUPUESTOS!B6</f>
        <v>ADMINISTRACIÓN VIAL DE LAS CARRETERAS A CARGO DE LA TERRITORIAL SANTANDER</v>
      </c>
      <c r="B6" s="111"/>
      <c r="C6" s="111"/>
      <c r="D6" s="111"/>
      <c r="E6" s="111"/>
      <c r="F6" s="111"/>
      <c r="G6" s="112"/>
      <c r="H6" s="112"/>
      <c r="I6" s="112"/>
      <c r="J6" s="112"/>
    </row>
    <row r="7" spans="1:10">
      <c r="A7" s="644" t="str">
        <f>PRESUPUESTOS!B7</f>
        <v xml:space="preserve">MODULO </v>
      </c>
      <c r="B7" s="644"/>
      <c r="C7" s="644"/>
      <c r="D7" s="644"/>
      <c r="E7" s="644"/>
      <c r="F7" s="644"/>
      <c r="G7" s="644"/>
      <c r="H7" s="644"/>
      <c r="I7" s="644"/>
      <c r="J7" s="644"/>
    </row>
    <row r="8" spans="1:10" ht="12.75" customHeight="1">
      <c r="A8" s="113"/>
      <c r="B8" s="113"/>
      <c r="C8" s="113"/>
      <c r="D8" s="113"/>
      <c r="E8" s="113"/>
      <c r="F8" s="113"/>
      <c r="G8" s="113"/>
      <c r="H8" s="113"/>
      <c r="I8" s="113"/>
      <c r="J8" s="113"/>
    </row>
    <row r="9" spans="1:10" ht="20.25">
      <c r="A9" s="114" t="s">
        <v>54</v>
      </c>
      <c r="B9" s="115"/>
      <c r="C9" s="115"/>
      <c r="D9" s="115"/>
      <c r="E9" s="115"/>
      <c r="F9" s="115"/>
      <c r="G9" s="115"/>
      <c r="H9" s="115"/>
      <c r="I9" s="115"/>
      <c r="J9" s="115"/>
    </row>
    <row r="10" spans="1:10" ht="13.5" thickBot="1"/>
    <row r="11" spans="1:10" ht="13.5" thickTop="1">
      <c r="A11" s="116" t="s">
        <v>11</v>
      </c>
      <c r="B11" s="117" t="s">
        <v>12</v>
      </c>
      <c r="C11" s="117" t="s">
        <v>55</v>
      </c>
      <c r="D11" s="117" t="s">
        <v>56</v>
      </c>
      <c r="E11" s="117" t="s">
        <v>57</v>
      </c>
      <c r="F11" s="117" t="s">
        <v>58</v>
      </c>
      <c r="G11" s="118" t="s">
        <v>59</v>
      </c>
      <c r="H11" s="119" t="s">
        <v>60</v>
      </c>
      <c r="I11" s="119" t="s">
        <v>61</v>
      </c>
      <c r="J11" s="120" t="s">
        <v>62</v>
      </c>
    </row>
    <row r="12" spans="1:10" ht="13.5" thickBot="1">
      <c r="A12" s="121" t="s">
        <v>13</v>
      </c>
      <c r="B12" s="122"/>
      <c r="C12" s="122" t="s">
        <v>63</v>
      </c>
      <c r="D12" s="122" t="s">
        <v>64</v>
      </c>
      <c r="E12" s="122" t="s">
        <v>65</v>
      </c>
      <c r="F12" s="122" t="s">
        <v>66</v>
      </c>
      <c r="G12" s="123" t="s">
        <v>67</v>
      </c>
      <c r="H12" s="124" t="s">
        <v>68</v>
      </c>
      <c r="I12" s="124" t="s">
        <v>64</v>
      </c>
      <c r="J12" s="125" t="s">
        <v>5</v>
      </c>
    </row>
    <row r="13" spans="1:10" ht="4.5" customHeight="1" thickTop="1">
      <c r="A13" s="116"/>
      <c r="B13" s="117"/>
      <c r="C13" s="117"/>
      <c r="D13" s="117"/>
      <c r="E13" s="117"/>
      <c r="F13" s="117"/>
      <c r="G13" s="118"/>
      <c r="H13" s="119"/>
      <c r="I13" s="119"/>
      <c r="J13" s="126"/>
    </row>
    <row r="14" spans="1:10">
      <c r="A14" s="127">
        <v>1</v>
      </c>
      <c r="B14" s="645" t="str">
        <f>VFrequerido!B15</f>
        <v>CONSORCIO C &amp; J</v>
      </c>
      <c r="C14" s="646" t="s">
        <v>26</v>
      </c>
      <c r="D14" s="646" t="s">
        <v>26</v>
      </c>
      <c r="E14" s="646" t="str">
        <f t="shared" ref="E14:E49" ca="1" si="0">VLOOKUP(A14,EXPERIENCIA,8,FALSE)</f>
        <v>ADMISIBLE</v>
      </c>
      <c r="F14" s="646" t="s">
        <v>26</v>
      </c>
      <c r="G14" s="646" t="s">
        <v>26</v>
      </c>
      <c r="H14" s="646" t="s">
        <v>26</v>
      </c>
      <c r="I14" s="646" t="s">
        <v>26</v>
      </c>
      <c r="J14" s="647" t="str">
        <f ca="1">IF(COUNTIF(C14:E14,"ADMISIBLE")=3,"ADMISIBLE","NO ADMISIBLE")</f>
        <v>ADMISIBLE</v>
      </c>
    </row>
    <row r="15" spans="1:10">
      <c r="A15" s="127">
        <v>2</v>
      </c>
      <c r="B15" s="645" t="str">
        <f>VFrequerido!B16</f>
        <v>CONSORCIO RUTA SANTANDER 100</v>
      </c>
      <c r="C15" s="690" t="s">
        <v>26</v>
      </c>
      <c r="D15" s="690" t="s">
        <v>26</v>
      </c>
      <c r="E15" s="646" t="str">
        <f t="shared" ca="1" si="0"/>
        <v>ADMISIBLE</v>
      </c>
      <c r="F15" s="646"/>
      <c r="G15" s="646"/>
      <c r="H15" s="646"/>
      <c r="I15" s="646"/>
      <c r="J15" s="647" t="str">
        <f t="shared" ref="J15:J23" ca="1" si="1">IF(AND(C15="ADMISIBLE",D15="ADMISIBLE",E15="ADMISIBLE"),"ADMISIBLE","NO ADMISIBLE")</f>
        <v>ADMISIBLE</v>
      </c>
    </row>
    <row r="16" spans="1:10">
      <c r="A16" s="127">
        <v>3</v>
      </c>
      <c r="B16" s="645" t="str">
        <f>VFrequerido!B17</f>
        <v>CONSORCIO SIETE</v>
      </c>
      <c r="C16" s="690" t="s">
        <v>26</v>
      </c>
      <c r="D16" s="690" t="s">
        <v>26</v>
      </c>
      <c r="E16" s="646" t="str">
        <f t="shared" ca="1" si="0"/>
        <v>NO ADMISIBLE</v>
      </c>
      <c r="F16" s="646" t="s">
        <v>26</v>
      </c>
      <c r="G16" s="646" t="s">
        <v>26</v>
      </c>
      <c r="H16" s="646" t="s">
        <v>26</v>
      </c>
      <c r="I16" s="646" t="s">
        <v>26</v>
      </c>
      <c r="J16" s="647" t="str">
        <f t="shared" ca="1" si="1"/>
        <v>NO ADMISIBLE</v>
      </c>
    </row>
    <row r="17" spans="1:10">
      <c r="A17" s="127">
        <v>4</v>
      </c>
      <c r="B17" s="645" t="str">
        <f>VFrequerido!B18</f>
        <v>GIA INGENIERIA S.A.S</v>
      </c>
      <c r="C17" s="690" t="s">
        <v>26</v>
      </c>
      <c r="D17" s="690" t="s">
        <v>26</v>
      </c>
      <c r="E17" s="646" t="str">
        <f t="shared" ca="1" si="0"/>
        <v>ADMISIBLE</v>
      </c>
      <c r="F17" s="646"/>
      <c r="G17" s="646"/>
      <c r="H17" s="646"/>
      <c r="I17" s="646"/>
      <c r="J17" s="647" t="str">
        <f t="shared" ca="1" si="1"/>
        <v>ADMISIBLE</v>
      </c>
    </row>
    <row r="18" spans="1:10">
      <c r="A18" s="127">
        <v>5</v>
      </c>
      <c r="B18" s="645" t="str">
        <f>VFrequerido!B19</f>
        <v>CONSORCIO JJAB</v>
      </c>
      <c r="C18" s="690" t="s">
        <v>26</v>
      </c>
      <c r="D18" s="690" t="s">
        <v>26</v>
      </c>
      <c r="E18" s="646" t="str">
        <f t="shared" ca="1" si="0"/>
        <v>ADMISIBLE</v>
      </c>
      <c r="F18" s="646" t="s">
        <v>26</v>
      </c>
      <c r="G18" s="646" t="s">
        <v>26</v>
      </c>
      <c r="H18" s="646" t="s">
        <v>26</v>
      </c>
      <c r="I18" s="646" t="s">
        <v>26</v>
      </c>
      <c r="J18" s="647" t="str">
        <f t="shared" ca="1" si="1"/>
        <v>ADMISIBLE</v>
      </c>
    </row>
    <row r="19" spans="1:10">
      <c r="A19" s="127">
        <v>6</v>
      </c>
      <c r="B19" s="645" t="str">
        <f>VFrequerido!B20</f>
        <v>CONSORCIO JC SANTANDER</v>
      </c>
      <c r="C19" s="690" t="s">
        <v>26</v>
      </c>
      <c r="D19" s="690" t="s">
        <v>26</v>
      </c>
      <c r="E19" s="646" t="str">
        <f t="shared" ca="1" si="0"/>
        <v>ADMISIBLE</v>
      </c>
      <c r="F19" s="646"/>
      <c r="G19" s="646"/>
      <c r="H19" s="646"/>
      <c r="I19" s="646"/>
      <c r="J19" s="647" t="str">
        <f t="shared" ref="J19:J20" ca="1" si="2">IF(AND(C19="ADMISIBLE",D19="ADMISIBLE",E19="ADMISIBLE"),"ADMISIBLE","NO ADMISIBLE")</f>
        <v>ADMISIBLE</v>
      </c>
    </row>
    <row r="20" spans="1:10">
      <c r="A20" s="127">
        <v>7</v>
      </c>
      <c r="B20" s="645" t="str">
        <f>VFrequerido!B21</f>
        <v>ESTUDIOS TECNICOS Y ASESORIAS S.A</v>
      </c>
      <c r="C20" s="690" t="s">
        <v>26</v>
      </c>
      <c r="D20" s="690" t="s">
        <v>26</v>
      </c>
      <c r="E20" s="646" t="str">
        <f t="shared" ca="1" si="0"/>
        <v>ADMISIBLE</v>
      </c>
      <c r="F20" s="646" t="s">
        <v>26</v>
      </c>
      <c r="G20" s="646" t="s">
        <v>26</v>
      </c>
      <c r="H20" s="646" t="s">
        <v>26</v>
      </c>
      <c r="I20" s="646" t="s">
        <v>26</v>
      </c>
      <c r="J20" s="647" t="str">
        <f t="shared" ca="1" si="2"/>
        <v>ADMISIBLE</v>
      </c>
    </row>
    <row r="21" spans="1:10">
      <c r="A21" s="127">
        <v>8</v>
      </c>
      <c r="B21" s="645" t="str">
        <f>VFrequerido!B22</f>
        <v>CONSULTORIA BOGOTANA SAS</v>
      </c>
      <c r="C21" s="690" t="s">
        <v>26</v>
      </c>
      <c r="D21" s="690" t="s">
        <v>26</v>
      </c>
      <c r="E21" s="646" t="str">
        <f t="shared" ca="1" si="0"/>
        <v>ADMISIBLE</v>
      </c>
      <c r="F21" s="646" t="s">
        <v>26</v>
      </c>
      <c r="G21" s="646" t="s">
        <v>26</v>
      </c>
      <c r="H21" s="646" t="s">
        <v>26</v>
      </c>
      <c r="I21" s="646" t="s">
        <v>26</v>
      </c>
      <c r="J21" s="647" t="str">
        <f ca="1">IF(AND(C21="ADMISIBLE",D21="ADMISIBLE",E21="ADMISIBLE"),"ADMISIBLE","NO ADMISIBLE")</f>
        <v>ADMISIBLE</v>
      </c>
    </row>
    <row r="22" spans="1:10">
      <c r="A22" s="127">
        <v>9</v>
      </c>
      <c r="B22" s="645" t="str">
        <f>VFrequerido!B23</f>
        <v>RENE ARMANDO MARTINEZ DORADO</v>
      </c>
      <c r="C22" s="690" t="s">
        <v>26</v>
      </c>
      <c r="D22" s="690" t="s">
        <v>26</v>
      </c>
      <c r="E22" s="646" t="str">
        <f t="shared" ca="1" si="0"/>
        <v>NO ADMISIBLE</v>
      </c>
      <c r="F22" s="646"/>
      <c r="G22" s="646"/>
      <c r="H22" s="646"/>
      <c r="I22" s="646"/>
      <c r="J22" s="647" t="str">
        <f t="shared" ca="1" si="1"/>
        <v>NO ADMISIBLE</v>
      </c>
    </row>
    <row r="23" spans="1:10">
      <c r="A23" s="127">
        <v>10</v>
      </c>
      <c r="B23" s="645" t="str">
        <f>VFrequerido!B24</f>
        <v>CONSORCIO ADMON BM 100</v>
      </c>
      <c r="C23" s="690" t="s">
        <v>26</v>
      </c>
      <c r="D23" s="690" t="s">
        <v>26</v>
      </c>
      <c r="E23" s="646" t="str">
        <f t="shared" ca="1" si="0"/>
        <v>ADMISIBLE</v>
      </c>
      <c r="F23" s="646" t="s">
        <v>26</v>
      </c>
      <c r="G23" s="646" t="s">
        <v>26</v>
      </c>
      <c r="H23" s="646" t="s">
        <v>26</v>
      </c>
      <c r="I23" s="646" t="s">
        <v>26</v>
      </c>
      <c r="J23" s="647" t="str">
        <f t="shared" ca="1" si="1"/>
        <v>ADMISIBLE</v>
      </c>
    </row>
    <row r="24" spans="1:10">
      <c r="A24" s="127">
        <v>11</v>
      </c>
      <c r="B24" s="645" t="str">
        <f>VFrequerido!B25</f>
        <v>GNG INGENIERIA S.A.S</v>
      </c>
      <c r="C24" s="690" t="s">
        <v>26</v>
      </c>
      <c r="D24" s="690" t="s">
        <v>26</v>
      </c>
      <c r="E24" s="646" t="str">
        <f t="shared" ca="1" si="0"/>
        <v>NO ADMISIBLE</v>
      </c>
      <c r="F24" s="646" t="s">
        <v>26</v>
      </c>
      <c r="G24" s="646" t="s">
        <v>26</v>
      </c>
      <c r="H24" s="646" t="s">
        <v>26</v>
      </c>
      <c r="I24" s="646" t="s">
        <v>26</v>
      </c>
      <c r="J24" s="647" t="str">
        <f ca="1">IF(AND(C24="ADMISIBLE",D24="ADMISIBLE",E24="ADMISIBLE"),"ADMISIBLE","NO ADMISIBLE")</f>
        <v>NO ADMISIBLE</v>
      </c>
    </row>
    <row r="25" spans="1:10">
      <c r="A25" s="127">
        <v>12</v>
      </c>
      <c r="B25" s="645" t="str">
        <f>VFrequerido!B26</f>
        <v>RAMON IVAN ORDOÑEZ TEJADA</v>
      </c>
      <c r="C25" s="690" t="s">
        <v>26</v>
      </c>
      <c r="D25" s="690" t="s">
        <v>26</v>
      </c>
      <c r="E25" s="646" t="str">
        <f t="shared" ca="1" si="0"/>
        <v>ADMISIBLE</v>
      </c>
      <c r="F25" s="646" t="s">
        <v>26</v>
      </c>
      <c r="G25" s="646" t="s">
        <v>26</v>
      </c>
      <c r="H25" s="646" t="s">
        <v>26</v>
      </c>
      <c r="I25" s="646" t="s">
        <v>26</v>
      </c>
      <c r="J25" s="647" t="str">
        <f ca="1">IF(AND(C25="ADMISIBLE",D25="ADMISIBLE",E25="ADMISIBLE"),"ADMISIBLE","NO ADMISIBLE")</f>
        <v>ADMISIBLE</v>
      </c>
    </row>
    <row r="26" spans="1:10">
      <c r="A26" s="127">
        <v>13</v>
      </c>
      <c r="B26" s="645" t="str">
        <f>VFrequerido!B27</f>
        <v>CONSORCIO VIAS BICENTENARIO 2.0</v>
      </c>
      <c r="C26" s="690" t="s">
        <v>26</v>
      </c>
      <c r="D26" s="690" t="s">
        <v>26</v>
      </c>
      <c r="E26" s="646" t="str">
        <f t="shared" ca="1" si="0"/>
        <v>NO ADMISIBLE</v>
      </c>
      <c r="F26" s="646"/>
      <c r="G26" s="646"/>
      <c r="H26" s="646"/>
      <c r="I26" s="646"/>
      <c r="J26" s="647" t="str">
        <f t="shared" ref="J26:J27" ca="1" si="3">IF(AND(C26="ADMISIBLE",D26="ADMISIBLE",E26="ADMISIBLE"),"ADMISIBLE","NO ADMISIBLE")</f>
        <v>NO ADMISIBLE</v>
      </c>
    </row>
    <row r="27" spans="1:10">
      <c r="A27" s="127">
        <v>14</v>
      </c>
      <c r="B27" s="645" t="str">
        <f>VFrequerido!B28</f>
        <v>CONSORCIO INUC</v>
      </c>
      <c r="C27" s="690" t="s">
        <v>26</v>
      </c>
      <c r="D27" s="690" t="s">
        <v>26</v>
      </c>
      <c r="E27" s="646" t="str">
        <f t="shared" ca="1" si="0"/>
        <v>ADMISIBLE</v>
      </c>
      <c r="F27" s="646" t="s">
        <v>26</v>
      </c>
      <c r="G27" s="646" t="s">
        <v>26</v>
      </c>
      <c r="H27" s="646" t="s">
        <v>26</v>
      </c>
      <c r="I27" s="646" t="s">
        <v>26</v>
      </c>
      <c r="J27" s="647" t="str">
        <f t="shared" ca="1" si="3"/>
        <v>ADMISIBLE</v>
      </c>
    </row>
    <row r="28" spans="1:10">
      <c r="A28" s="127">
        <v>15</v>
      </c>
      <c r="B28" s="645" t="str">
        <f>VFrequerido!B29</f>
        <v>CONSORCIO CIVILES 100</v>
      </c>
      <c r="C28" s="690" t="s">
        <v>26</v>
      </c>
      <c r="D28" s="690" t="s">
        <v>26</v>
      </c>
      <c r="E28" s="646" t="str">
        <f t="shared" ca="1" si="0"/>
        <v>ADMISIBLE</v>
      </c>
      <c r="F28" s="646" t="s">
        <v>26</v>
      </c>
      <c r="G28" s="646" t="s">
        <v>26</v>
      </c>
      <c r="H28" s="646" t="s">
        <v>26</v>
      </c>
      <c r="I28" s="646" t="s">
        <v>26</v>
      </c>
      <c r="J28" s="647" t="str">
        <f ca="1">IF(AND(C28="ADMISIBLE",D28="ADMISIBLE",E28="ADMISIBLE"),"ADMISIBLE","NO ADMISIBLE")</f>
        <v>ADMISIBLE</v>
      </c>
    </row>
    <row r="29" spans="1:10">
      <c r="A29" s="127">
        <v>16</v>
      </c>
      <c r="B29" s="645" t="str">
        <f>VFrequerido!B30</f>
        <v>CONSORCIO ADMON IG 100</v>
      </c>
      <c r="C29" s="690" t="s">
        <v>26</v>
      </c>
      <c r="D29" s="690" t="s">
        <v>26</v>
      </c>
      <c r="E29" s="646" t="str">
        <f t="shared" ca="1" si="0"/>
        <v>NO ADMISIBLE</v>
      </c>
      <c r="F29" s="646"/>
      <c r="G29" s="646"/>
      <c r="H29" s="646"/>
      <c r="I29" s="646"/>
      <c r="J29" s="647" t="str">
        <f t="shared" ref="J29:J34" ca="1" si="4">IF(AND(C29="ADMISIBLE",D29="ADMISIBLE",E29="ADMISIBLE"),"ADMISIBLE","NO ADMISIBLE")</f>
        <v>NO ADMISIBLE</v>
      </c>
    </row>
    <row r="30" spans="1:10">
      <c r="A30" s="127">
        <v>17</v>
      </c>
      <c r="B30" s="645" t="str">
        <f>VFrequerido!B31</f>
        <v>CONSORCIO VIAL SANTANDER</v>
      </c>
      <c r="C30" s="690" t="s">
        <v>26</v>
      </c>
      <c r="D30" s="690" t="s">
        <v>26</v>
      </c>
      <c r="E30" s="646" t="str">
        <f t="shared" ca="1" si="0"/>
        <v>ADMISIBLE</v>
      </c>
      <c r="F30" s="646" t="s">
        <v>26</v>
      </c>
      <c r="G30" s="646" t="s">
        <v>26</v>
      </c>
      <c r="H30" s="646" t="s">
        <v>26</v>
      </c>
      <c r="I30" s="646" t="s">
        <v>26</v>
      </c>
      <c r="J30" s="647" t="str">
        <f t="shared" ca="1" si="4"/>
        <v>ADMISIBLE</v>
      </c>
    </row>
    <row r="31" spans="1:10">
      <c r="A31" s="127">
        <v>18</v>
      </c>
      <c r="B31" s="645" t="str">
        <f>VFrequerido!B32</f>
        <v>JAMES ALBERTO KAMMERER JIMENEZ</v>
      </c>
      <c r="C31" s="690" t="s">
        <v>26</v>
      </c>
      <c r="D31" s="690" t="s">
        <v>26</v>
      </c>
      <c r="E31" s="646" t="str">
        <f t="shared" ca="1" si="0"/>
        <v>ADMISIBLE</v>
      </c>
      <c r="F31" s="646"/>
      <c r="G31" s="646"/>
      <c r="H31" s="646"/>
      <c r="I31" s="646"/>
      <c r="J31" s="647" t="str">
        <f t="shared" ca="1" si="4"/>
        <v>ADMISIBLE</v>
      </c>
    </row>
    <row r="32" spans="1:10">
      <c r="A32" s="127">
        <v>19</v>
      </c>
      <c r="B32" s="645" t="str">
        <f>VFrequerido!B33</f>
        <v>CONSORCIO LEOS</v>
      </c>
      <c r="C32" s="690" t="s">
        <v>26</v>
      </c>
      <c r="D32" s="690" t="s">
        <v>26</v>
      </c>
      <c r="E32" s="646" t="str">
        <f t="shared" ca="1" si="0"/>
        <v>ADMISIBLE</v>
      </c>
      <c r="F32" s="646" t="s">
        <v>26</v>
      </c>
      <c r="G32" s="646" t="s">
        <v>26</v>
      </c>
      <c r="H32" s="646" t="s">
        <v>26</v>
      </c>
      <c r="I32" s="646" t="s">
        <v>26</v>
      </c>
      <c r="J32" s="647" t="str">
        <f t="shared" ca="1" si="4"/>
        <v>ADMISIBLE</v>
      </c>
    </row>
    <row r="33" spans="1:10">
      <c r="A33" s="127">
        <v>20</v>
      </c>
      <c r="B33" s="645" t="str">
        <f>VFrequerido!B34</f>
        <v>ut admon vial 2019 santander</v>
      </c>
      <c r="C33" s="690" t="s">
        <v>26</v>
      </c>
      <c r="D33" s="690" t="s">
        <v>26</v>
      </c>
      <c r="E33" s="646" t="str">
        <f t="shared" ca="1" si="0"/>
        <v>ADMISIBLE</v>
      </c>
      <c r="F33" s="646"/>
      <c r="G33" s="646"/>
      <c r="H33" s="646"/>
      <c r="I33" s="646"/>
      <c r="J33" s="647" t="str">
        <f t="shared" ca="1" si="4"/>
        <v>ADMISIBLE</v>
      </c>
    </row>
    <row r="34" spans="1:10">
      <c r="A34" s="127">
        <v>21</v>
      </c>
      <c r="B34" s="645" t="str">
        <f>VFrequerido!B35</f>
        <v>CONSORCIO ADMINISTRACION OPS</v>
      </c>
      <c r="C34" s="690" t="s">
        <v>26</v>
      </c>
      <c r="D34" s="690" t="s">
        <v>26</v>
      </c>
      <c r="E34" s="646" t="str">
        <f t="shared" ca="1" si="0"/>
        <v>NO ADMISIBLE</v>
      </c>
      <c r="F34" s="646" t="s">
        <v>26</v>
      </c>
      <c r="G34" s="646" t="s">
        <v>26</v>
      </c>
      <c r="H34" s="646" t="s">
        <v>26</v>
      </c>
      <c r="I34" s="646" t="s">
        <v>26</v>
      </c>
      <c r="J34" s="647" t="str">
        <f t="shared" ca="1" si="4"/>
        <v>NO ADMISIBLE</v>
      </c>
    </row>
    <row r="35" spans="1:10">
      <c r="A35" s="127">
        <v>22</v>
      </c>
      <c r="B35" s="645" t="str">
        <f>VFrequerido!B36</f>
        <v>CONSORCIO C&amp;C</v>
      </c>
      <c r="C35" s="690" t="s">
        <v>26</v>
      </c>
      <c r="D35" s="690" t="s">
        <v>26</v>
      </c>
      <c r="E35" s="646" t="str">
        <f t="shared" ca="1" si="0"/>
        <v>ADMISIBLE</v>
      </c>
      <c r="F35" s="646" t="s">
        <v>26</v>
      </c>
      <c r="G35" s="646" t="s">
        <v>26</v>
      </c>
      <c r="H35" s="646" t="s">
        <v>26</v>
      </c>
      <c r="I35" s="646" t="s">
        <v>26</v>
      </c>
      <c r="J35" s="647" t="str">
        <f ca="1">IF(AND(C35="ADMISIBLE",D35="ADMISIBLE",E35="ADMISIBLE"),"ADMISIBLE","NO ADMISIBLE")</f>
        <v>ADMISIBLE</v>
      </c>
    </row>
    <row r="36" spans="1:10">
      <c r="A36" s="127">
        <v>23</v>
      </c>
      <c r="B36" s="645" t="str">
        <f>VFrequerido!B37</f>
        <v>NELSON FREDY ARDILA GELVEZ</v>
      </c>
      <c r="C36" s="690" t="s">
        <v>26</v>
      </c>
      <c r="D36" s="690" t="s">
        <v>26</v>
      </c>
      <c r="E36" s="646" t="str">
        <f t="shared" ca="1" si="0"/>
        <v>ADMISIBLE</v>
      </c>
      <c r="F36" s="646"/>
      <c r="G36" s="646"/>
      <c r="H36" s="646"/>
      <c r="I36" s="646"/>
      <c r="J36" s="647" t="str">
        <f t="shared" ref="J36:J37" ca="1" si="5">IF(AND(C36="ADMISIBLE",D36="ADMISIBLE",E36="ADMISIBLE"),"ADMISIBLE","NO ADMISIBLE")</f>
        <v>ADMISIBLE</v>
      </c>
    </row>
    <row r="37" spans="1:10">
      <c r="A37" s="127">
        <v>24</v>
      </c>
      <c r="B37" s="645" t="str">
        <f>VFrequerido!B38</f>
        <v>CONSORCIO TERRA 100</v>
      </c>
      <c r="C37" s="690" t="s">
        <v>26</v>
      </c>
      <c r="D37" s="690" t="s">
        <v>26</v>
      </c>
      <c r="E37" s="646" t="str">
        <f t="shared" ca="1" si="0"/>
        <v>ADMISIBLE</v>
      </c>
      <c r="F37" s="646" t="s">
        <v>26</v>
      </c>
      <c r="G37" s="646" t="s">
        <v>26</v>
      </c>
      <c r="H37" s="646" t="s">
        <v>26</v>
      </c>
      <c r="I37" s="646" t="s">
        <v>26</v>
      </c>
      <c r="J37" s="647" t="str">
        <f t="shared" ca="1" si="5"/>
        <v>ADMISIBLE</v>
      </c>
    </row>
    <row r="38" spans="1:10">
      <c r="A38" s="127">
        <v>25</v>
      </c>
      <c r="B38" s="645" t="str">
        <f>VFrequerido!B39</f>
        <v>CONSORCIO ROCA</v>
      </c>
      <c r="C38" s="690" t="s">
        <v>26</v>
      </c>
      <c r="D38" s="690" t="s">
        <v>26</v>
      </c>
      <c r="E38" s="646" t="str">
        <f t="shared" ca="1" si="0"/>
        <v>ADMISIBLE</v>
      </c>
      <c r="F38" s="646" t="s">
        <v>26</v>
      </c>
      <c r="G38" s="646" t="s">
        <v>26</v>
      </c>
      <c r="H38" s="646" t="s">
        <v>26</v>
      </c>
      <c r="I38" s="646" t="s">
        <v>26</v>
      </c>
      <c r="J38" s="647" t="str">
        <f ca="1">IF(AND(C38="ADMISIBLE",D38="ADMISIBLE",E38="ADMISIBLE"),"ADMISIBLE","NO ADMISIBLE")</f>
        <v>ADMISIBLE</v>
      </c>
    </row>
    <row r="39" spans="1:10">
      <c r="A39" s="127">
        <v>26</v>
      </c>
      <c r="B39" s="645" t="str">
        <f>VFrequerido!B40</f>
        <v> CONSORCIO INTERADMIVIAL - SANTANDER</v>
      </c>
      <c r="C39" s="690" t="s">
        <v>26</v>
      </c>
      <c r="D39" s="690" t="s">
        <v>26</v>
      </c>
      <c r="E39" s="646" t="str">
        <f t="shared" ca="1" si="0"/>
        <v>NO ADMISIBLE</v>
      </c>
      <c r="F39" s="646" t="s">
        <v>26</v>
      </c>
      <c r="G39" s="646" t="s">
        <v>26</v>
      </c>
      <c r="H39" s="646" t="s">
        <v>26</v>
      </c>
      <c r="I39" s="646" t="s">
        <v>26</v>
      </c>
      <c r="J39" s="647" t="str">
        <f ca="1">IF(AND(C39="ADMISIBLE",D39="ADMISIBLE",E39="ADMISIBLE"),"ADMISIBLE","NO ADMISIBLE")</f>
        <v>NO ADMISIBLE</v>
      </c>
    </row>
    <row r="40" spans="1:10">
      <c r="A40" s="127">
        <v>27</v>
      </c>
      <c r="B40" s="645" t="str">
        <f>VFrequerido!B41</f>
        <v>CONSORCIO CAR-JASB</v>
      </c>
      <c r="C40" s="690" t="s">
        <v>26</v>
      </c>
      <c r="D40" s="690" t="s">
        <v>26</v>
      </c>
      <c r="E40" s="646" t="str">
        <f t="shared" ca="1" si="0"/>
        <v>ADMISIBLE</v>
      </c>
      <c r="F40" s="646"/>
      <c r="G40" s="646"/>
      <c r="H40" s="646"/>
      <c r="I40" s="646"/>
      <c r="J40" s="647" t="str">
        <f t="shared" ref="J40:J41" ca="1" si="6">IF(AND(C40="ADMISIBLE",D40="ADMISIBLE",E40="ADMISIBLE"),"ADMISIBLE","NO ADMISIBLE")</f>
        <v>ADMISIBLE</v>
      </c>
    </row>
    <row r="41" spans="1:10">
      <c r="A41" s="127">
        <v>28</v>
      </c>
      <c r="B41" s="645" t="str">
        <f>VFrequerido!B42</f>
        <v>CONSORCIO CJD</v>
      </c>
      <c r="C41" s="690" t="s">
        <v>26</v>
      </c>
      <c r="D41" s="690" t="s">
        <v>26</v>
      </c>
      <c r="E41" s="646" t="str">
        <f t="shared" ca="1" si="0"/>
        <v>ADMISIBLE</v>
      </c>
      <c r="F41" s="646" t="s">
        <v>26</v>
      </c>
      <c r="G41" s="646" t="s">
        <v>26</v>
      </c>
      <c r="H41" s="646" t="s">
        <v>26</v>
      </c>
      <c r="I41" s="646" t="s">
        <v>26</v>
      </c>
      <c r="J41" s="647" t="str">
        <f t="shared" ca="1" si="6"/>
        <v>ADMISIBLE</v>
      </c>
    </row>
    <row r="42" spans="1:10">
      <c r="A42" s="127">
        <v>29</v>
      </c>
      <c r="B42" s="645" t="str">
        <f>VFrequerido!B43</f>
        <v>GUILLERMO ALFONSO MEDINA ACEVEDO</v>
      </c>
      <c r="C42" s="690" t="s">
        <v>26</v>
      </c>
      <c r="D42" s="690" t="s">
        <v>26</v>
      </c>
      <c r="E42" s="646" t="str">
        <f t="shared" ca="1" si="0"/>
        <v>ADMISIBLE</v>
      </c>
      <c r="F42" s="646" t="s">
        <v>26</v>
      </c>
      <c r="G42" s="646" t="s">
        <v>26</v>
      </c>
      <c r="H42" s="646" t="s">
        <v>26</v>
      </c>
      <c r="I42" s="646" t="s">
        <v>26</v>
      </c>
      <c r="J42" s="647" t="str">
        <f ca="1">IF(AND(C42="ADMISIBLE",D42="ADMISIBLE",E42="ADMISIBLE"),"ADMISIBLE","NO ADMISIBLE")</f>
        <v>ADMISIBLE</v>
      </c>
    </row>
    <row r="43" spans="1:10">
      <c r="A43" s="127">
        <v>30</v>
      </c>
      <c r="B43" s="645" t="str">
        <f>VFrequerido!B44</f>
        <v>CONSORCIO PI</v>
      </c>
      <c r="C43" s="690" t="s">
        <v>26</v>
      </c>
      <c r="D43" s="690" t="s">
        <v>26</v>
      </c>
      <c r="E43" s="646" t="str">
        <f t="shared" ca="1" si="0"/>
        <v>ADMISIBLE</v>
      </c>
      <c r="F43" s="646"/>
      <c r="G43" s="646"/>
      <c r="H43" s="646"/>
      <c r="I43" s="646"/>
      <c r="J43" s="647" t="str">
        <f t="shared" ref="J43:J48" ca="1" si="7">IF(AND(C43="ADMISIBLE",D43="ADMISIBLE",E43="ADMISIBLE"),"ADMISIBLE","NO ADMISIBLE")</f>
        <v>ADMISIBLE</v>
      </c>
    </row>
    <row r="44" spans="1:10">
      <c r="A44" s="127">
        <v>31</v>
      </c>
      <c r="B44" s="645" t="str">
        <f>VFrequerido!B45</f>
        <v>CONSORCIO VIAL SANTANDER</v>
      </c>
      <c r="C44" s="690" t="s">
        <v>26</v>
      </c>
      <c r="D44" s="690" t="s">
        <v>26</v>
      </c>
      <c r="E44" s="646" t="str">
        <f t="shared" ca="1" si="0"/>
        <v>NO ADMISIBLE</v>
      </c>
      <c r="F44" s="646" t="s">
        <v>26</v>
      </c>
      <c r="G44" s="646" t="s">
        <v>26</v>
      </c>
      <c r="H44" s="646" t="s">
        <v>26</v>
      </c>
      <c r="I44" s="646" t="s">
        <v>26</v>
      </c>
      <c r="J44" s="647" t="str">
        <f t="shared" ca="1" si="7"/>
        <v>NO ADMISIBLE</v>
      </c>
    </row>
    <row r="45" spans="1:10">
      <c r="A45" s="127">
        <v>32</v>
      </c>
      <c r="B45" s="645" t="str">
        <f>VFrequerido!B46</f>
        <v>CONSORCIO DP-SANTANDER 2019</v>
      </c>
      <c r="C45" s="690" t="s">
        <v>26</v>
      </c>
      <c r="D45" s="690" t="s">
        <v>26</v>
      </c>
      <c r="E45" s="646" t="str">
        <f t="shared" ca="1" si="0"/>
        <v>ADMISIBLE</v>
      </c>
      <c r="F45" s="646"/>
      <c r="G45" s="646"/>
      <c r="H45" s="646"/>
      <c r="I45" s="646"/>
      <c r="J45" s="647" t="str">
        <f t="shared" ca="1" si="7"/>
        <v>ADMISIBLE</v>
      </c>
    </row>
    <row r="46" spans="1:10">
      <c r="A46" s="127">
        <v>33</v>
      </c>
      <c r="B46" s="645" t="str">
        <f>VFrequerido!B47</f>
        <v>CONSORCIO ADM SANTANDER</v>
      </c>
      <c r="C46" s="690" t="s">
        <v>26</v>
      </c>
      <c r="D46" s="690" t="s">
        <v>26</v>
      </c>
      <c r="E46" s="646" t="str">
        <f t="shared" ca="1" si="0"/>
        <v>ADMISIBLE</v>
      </c>
      <c r="F46" s="646" t="s">
        <v>26</v>
      </c>
      <c r="G46" s="646" t="s">
        <v>26</v>
      </c>
      <c r="H46" s="646" t="s">
        <v>26</v>
      </c>
      <c r="I46" s="646" t="s">
        <v>26</v>
      </c>
      <c r="J46" s="647" t="str">
        <f t="shared" ca="1" si="7"/>
        <v>ADMISIBLE</v>
      </c>
    </row>
    <row r="47" spans="1:10">
      <c r="A47" s="127">
        <v>34</v>
      </c>
      <c r="B47" s="645" t="str">
        <f>VFrequerido!B48</f>
        <v>ARQUITECTURA E INGENIERIA DE CONSULTA S.A.S.</v>
      </c>
      <c r="C47" s="690" t="s">
        <v>26</v>
      </c>
      <c r="D47" s="690" t="s">
        <v>26</v>
      </c>
      <c r="E47" s="646" t="str">
        <f t="shared" ca="1" si="0"/>
        <v>NO ADMISIBLE</v>
      </c>
      <c r="F47" s="646"/>
      <c r="G47" s="646"/>
      <c r="H47" s="646"/>
      <c r="I47" s="646"/>
      <c r="J47" s="647" t="str">
        <f t="shared" ca="1" si="7"/>
        <v>NO ADMISIBLE</v>
      </c>
    </row>
    <row r="48" spans="1:10">
      <c r="A48" s="127">
        <v>35</v>
      </c>
      <c r="B48" s="645" t="str">
        <f>VFrequerido!B49</f>
        <v>CONSTRUCCIONES INTERVENTORIAS ISAZA INGENIERIA SAS</v>
      </c>
      <c r="C48" s="690" t="s">
        <v>26</v>
      </c>
      <c r="D48" s="690" t="s">
        <v>26</v>
      </c>
      <c r="E48" s="646" t="str">
        <f t="shared" ca="1" si="0"/>
        <v>ADMISIBLE</v>
      </c>
      <c r="F48" s="646" t="s">
        <v>26</v>
      </c>
      <c r="G48" s="646" t="s">
        <v>26</v>
      </c>
      <c r="H48" s="646" t="s">
        <v>26</v>
      </c>
      <c r="I48" s="646" t="s">
        <v>26</v>
      </c>
      <c r="J48" s="647" t="str">
        <f t="shared" ca="1" si="7"/>
        <v>ADMISIBLE</v>
      </c>
    </row>
    <row r="49" spans="1:10">
      <c r="A49" s="127">
        <v>36</v>
      </c>
      <c r="B49" s="645" t="str">
        <f>VFrequerido!B50</f>
        <v>CONSORCIO ADMINISTRADOR HS</v>
      </c>
      <c r="C49" s="690" t="s">
        <v>28</v>
      </c>
      <c r="D49" s="690" t="s">
        <v>26</v>
      </c>
      <c r="E49" s="646" t="str">
        <f t="shared" ca="1" si="0"/>
        <v>NO ADMISIBLE</v>
      </c>
      <c r="F49" s="646" t="s">
        <v>26</v>
      </c>
      <c r="G49" s="646" t="s">
        <v>26</v>
      </c>
      <c r="H49" s="646" t="s">
        <v>26</v>
      </c>
      <c r="I49" s="646" t="s">
        <v>26</v>
      </c>
      <c r="J49" s="647" t="str">
        <f ca="1">IF(AND(C49="ADMISIBLE",D49="ADMISIBLE",E49="ADMISIBLE"),"ADMISIBLE","NO ADMISIBLE")</f>
        <v>NO ADMISIBLE</v>
      </c>
    </row>
    <row r="50" spans="1:10" ht="5.0999999999999996" customHeight="1" thickBot="1">
      <c r="A50" s="372">
        <v>1</v>
      </c>
      <c r="B50" s="129"/>
      <c r="C50" s="129"/>
      <c r="D50" s="129"/>
      <c r="E50" s="129"/>
      <c r="F50" s="129"/>
      <c r="G50" s="130"/>
      <c r="H50" s="131"/>
      <c r="I50" s="131"/>
      <c r="J50" s="132"/>
    </row>
    <row r="51" spans="1:10" ht="14.25" thickTop="1" thickBot="1"/>
    <row r="52" spans="1:10" ht="13.5" thickTop="1">
      <c r="E52" s="133" t="s">
        <v>26</v>
      </c>
      <c r="F52" s="134"/>
      <c r="G52" s="134"/>
      <c r="H52" s="135"/>
      <c r="I52" s="136" t="s">
        <v>26</v>
      </c>
      <c r="J52" s="137">
        <f ca="1">COUNTIF($J$14:$J$49,E52)</f>
        <v>26</v>
      </c>
    </row>
    <row r="53" spans="1:10">
      <c r="E53" s="138" t="s">
        <v>27</v>
      </c>
      <c r="F53" s="139"/>
      <c r="G53" s="139"/>
      <c r="H53" s="140"/>
      <c r="I53" s="141" t="s">
        <v>27</v>
      </c>
      <c r="J53" s="142">
        <f ca="1">COUNTIF($J$14:$J$49,E53)</f>
        <v>10</v>
      </c>
    </row>
    <row r="54" spans="1:10" ht="13.5" thickBot="1">
      <c r="E54" s="143" t="s">
        <v>28</v>
      </c>
      <c r="F54" s="144"/>
      <c r="G54" s="144"/>
      <c r="H54" s="145"/>
      <c r="I54" s="146" t="s">
        <v>28</v>
      </c>
      <c r="J54" s="147">
        <f ca="1">COUNTIF($J$14:$J$49,E54)</f>
        <v>0</v>
      </c>
    </row>
    <row r="55" spans="1:10" ht="14.25" thickTop="1" thickBot="1">
      <c r="E55" s="143" t="s">
        <v>148</v>
      </c>
      <c r="F55" s="144"/>
      <c r="G55" s="144"/>
      <c r="H55" s="145"/>
      <c r="I55" s="146" t="s">
        <v>28</v>
      </c>
      <c r="J55" s="147">
        <f ca="1">COUNTIF($J$14:$J$49,E55)</f>
        <v>0</v>
      </c>
    </row>
    <row r="56" spans="1:10" ht="14.25" thickTop="1" thickBot="1">
      <c r="E56" s="148" t="s">
        <v>25</v>
      </c>
      <c r="F56" s="149"/>
      <c r="G56" s="149"/>
      <c r="H56" s="150"/>
      <c r="I56" s="151" t="s">
        <v>25</v>
      </c>
      <c r="J56" s="152">
        <f ca="1">SUM(J52:J55)</f>
        <v>36</v>
      </c>
    </row>
    <row r="57" spans="1:10" ht="13.5" thickTop="1"/>
    <row r="61" spans="1:10" ht="40.5">
      <c r="A61" s="114" t="s">
        <v>75</v>
      </c>
      <c r="B61" s="153"/>
      <c r="C61" s="153"/>
      <c r="D61" s="153"/>
    </row>
    <row r="62" spans="1:10" ht="18.75" thickBot="1">
      <c r="E62" s="153"/>
      <c r="F62" s="153"/>
      <c r="G62" s="153"/>
      <c r="H62" s="153"/>
      <c r="I62" s="153"/>
      <c r="J62" s="153"/>
    </row>
    <row r="63" spans="1:10" ht="14.25" thickTop="1" thickBot="1">
      <c r="A63" s="116" t="s">
        <v>11</v>
      </c>
      <c r="B63" s="117" t="s">
        <v>12</v>
      </c>
      <c r="C63" s="117" t="s">
        <v>55</v>
      </c>
      <c r="D63" s="117" t="s">
        <v>56</v>
      </c>
    </row>
    <row r="64" spans="1:10" ht="14.25" thickTop="1" thickBot="1">
      <c r="A64" s="121" t="s">
        <v>13</v>
      </c>
      <c r="B64" s="122"/>
      <c r="C64" s="122" t="s">
        <v>63</v>
      </c>
      <c r="D64" s="122" t="s">
        <v>64</v>
      </c>
      <c r="E64" s="117" t="s">
        <v>57</v>
      </c>
      <c r="F64" s="117" t="s">
        <v>58</v>
      </c>
      <c r="G64" s="118" t="s">
        <v>59</v>
      </c>
      <c r="H64" s="119" t="s">
        <v>60</v>
      </c>
      <c r="I64" s="119" t="s">
        <v>61</v>
      </c>
      <c r="J64" s="120" t="s">
        <v>62</v>
      </c>
    </row>
    <row r="65" spans="1:10" ht="4.5" customHeight="1" thickTop="1" thickBot="1">
      <c r="A65" s="116"/>
      <c r="B65" s="117"/>
      <c r="C65" s="117"/>
      <c r="D65" s="117"/>
      <c r="E65" s="122" t="s">
        <v>65</v>
      </c>
      <c r="F65" s="122" t="s">
        <v>66</v>
      </c>
      <c r="G65" s="123" t="s">
        <v>67</v>
      </c>
      <c r="H65" s="124" t="s">
        <v>68</v>
      </c>
      <c r="I65" s="124" t="s">
        <v>64</v>
      </c>
      <c r="J65" s="125" t="s">
        <v>5</v>
      </c>
    </row>
    <row r="66" spans="1:10" ht="13.5" thickTop="1">
      <c r="A66" s="127">
        <v>2</v>
      </c>
      <c r="B66" s="648" t="s">
        <v>69</v>
      </c>
      <c r="C66" s="646" t="s">
        <v>26</v>
      </c>
      <c r="D66" s="646" t="s">
        <v>26</v>
      </c>
      <c r="E66" s="117"/>
      <c r="F66" s="117"/>
      <c r="G66" s="118"/>
      <c r="H66" s="119"/>
      <c r="I66" s="119"/>
      <c r="J66" s="126"/>
    </row>
    <row r="67" spans="1:10">
      <c r="A67" s="127">
        <v>8</v>
      </c>
      <c r="B67" s="648" t="s">
        <v>74</v>
      </c>
      <c r="C67" s="646" t="s">
        <v>26</v>
      </c>
      <c r="D67" s="646" t="s">
        <v>26</v>
      </c>
      <c r="E67" s="649" t="s">
        <v>26</v>
      </c>
      <c r="F67" s="646"/>
      <c r="G67" s="646"/>
      <c r="H67" s="646"/>
      <c r="I67" s="646"/>
      <c r="J67" s="649" t="s">
        <v>26</v>
      </c>
    </row>
    <row r="68" spans="1:10" ht="13.5" thickBot="1">
      <c r="A68" s="128"/>
      <c r="B68" s="129"/>
      <c r="C68" s="129"/>
      <c r="D68" s="129"/>
      <c r="E68" s="646" t="s">
        <v>26</v>
      </c>
      <c r="F68" s="646" t="s">
        <v>26</v>
      </c>
      <c r="G68" s="646" t="s">
        <v>26</v>
      </c>
      <c r="H68" s="646" t="s">
        <v>26</v>
      </c>
      <c r="I68" s="646" t="s">
        <v>26</v>
      </c>
      <c r="J68" s="647" t="s">
        <v>26</v>
      </c>
    </row>
    <row r="69" spans="1:10" ht="14.25" thickTop="1" thickBot="1">
      <c r="E69" s="129"/>
      <c r="F69" s="129"/>
      <c r="G69" s="130"/>
      <c r="H69" s="131"/>
      <c r="I69" s="131"/>
      <c r="J69" s="132"/>
    </row>
    <row r="70" spans="1:10" ht="13.5" thickTop="1"/>
    <row r="71" spans="1:10" ht="40.5">
      <c r="A71" s="114" t="s">
        <v>76</v>
      </c>
      <c r="B71" s="153"/>
      <c r="C71" s="153"/>
      <c r="D71" s="153"/>
    </row>
    <row r="72" spans="1:10" ht="18.75" thickBot="1">
      <c r="E72" s="153"/>
      <c r="F72" s="153"/>
      <c r="G72" s="153"/>
      <c r="H72" s="153"/>
      <c r="I72" s="153"/>
      <c r="J72" s="153"/>
    </row>
    <row r="73" spans="1:10" ht="14.25" thickTop="1" thickBot="1">
      <c r="A73" s="116" t="s">
        <v>11</v>
      </c>
      <c r="B73" s="117" t="s">
        <v>12</v>
      </c>
      <c r="C73" s="117" t="s">
        <v>55</v>
      </c>
      <c r="D73" s="117" t="s">
        <v>56</v>
      </c>
    </row>
    <row r="74" spans="1:10" ht="14.25" thickTop="1" thickBot="1">
      <c r="A74" s="121" t="s">
        <v>13</v>
      </c>
      <c r="B74" s="122"/>
      <c r="C74" s="122" t="s">
        <v>63</v>
      </c>
      <c r="D74" s="122" t="s">
        <v>64</v>
      </c>
      <c r="E74" s="117" t="s">
        <v>57</v>
      </c>
      <c r="F74" s="117" t="s">
        <v>58</v>
      </c>
      <c r="G74" s="118" t="s">
        <v>59</v>
      </c>
      <c r="H74" s="119" t="s">
        <v>60</v>
      </c>
      <c r="I74" s="119" t="s">
        <v>61</v>
      </c>
      <c r="J74" s="120" t="s">
        <v>62</v>
      </c>
    </row>
    <row r="75" spans="1:10" ht="4.5" customHeight="1" thickTop="1" thickBot="1">
      <c r="A75" s="116"/>
      <c r="B75" s="117"/>
      <c r="C75" s="117"/>
      <c r="D75" s="117"/>
      <c r="E75" s="122" t="s">
        <v>65</v>
      </c>
      <c r="F75" s="122" t="s">
        <v>66</v>
      </c>
      <c r="G75" s="123" t="s">
        <v>67</v>
      </c>
      <c r="H75" s="124" t="s">
        <v>68</v>
      </c>
      <c r="I75" s="124" t="s">
        <v>64</v>
      </c>
      <c r="J75" s="125" t="s">
        <v>5</v>
      </c>
    </row>
    <row r="76" spans="1:10" ht="13.5" thickTop="1">
      <c r="A76" s="127">
        <v>8</v>
      </c>
      <c r="B76" s="648" t="s">
        <v>74</v>
      </c>
      <c r="C76" s="646" t="s">
        <v>26</v>
      </c>
      <c r="D76" s="646" t="s">
        <v>26</v>
      </c>
      <c r="E76" s="117"/>
      <c r="F76" s="117"/>
      <c r="G76" s="118"/>
      <c r="H76" s="119"/>
      <c r="I76" s="119"/>
      <c r="J76" s="126"/>
    </row>
    <row r="77" spans="1:10" ht="13.5" thickBot="1">
      <c r="A77" s="128"/>
      <c r="B77" s="129"/>
      <c r="C77" s="129"/>
      <c r="D77" s="129"/>
      <c r="E77" s="646" t="s">
        <v>26</v>
      </c>
      <c r="F77" s="646" t="s">
        <v>26</v>
      </c>
      <c r="G77" s="646" t="s">
        <v>26</v>
      </c>
      <c r="H77" s="646" t="s">
        <v>26</v>
      </c>
      <c r="I77" s="646" t="s">
        <v>26</v>
      </c>
      <c r="J77" s="647" t="s">
        <v>26</v>
      </c>
    </row>
    <row r="78" spans="1:10" ht="14.25" thickTop="1" thickBot="1">
      <c r="E78" s="129"/>
      <c r="F78" s="129"/>
      <c r="G78" s="130"/>
      <c r="H78" s="131"/>
      <c r="I78" s="131"/>
      <c r="J78" s="132"/>
    </row>
    <row r="79" spans="1:10" ht="13.5" thickTop="1"/>
    <row r="80" spans="1:10" ht="40.5">
      <c r="A80" s="114" t="s">
        <v>77</v>
      </c>
      <c r="B80" s="153"/>
      <c r="C80" s="153"/>
      <c r="D80" s="153"/>
    </row>
    <row r="81" spans="1:10" ht="18.75" thickBot="1">
      <c r="E81" s="153"/>
      <c r="F81" s="153"/>
      <c r="G81" s="153"/>
      <c r="H81" s="153"/>
      <c r="I81" s="153"/>
      <c r="J81" s="153"/>
    </row>
    <row r="82" spans="1:10" ht="14.25" thickTop="1" thickBot="1">
      <c r="A82" s="116" t="s">
        <v>11</v>
      </c>
      <c r="B82" s="117" t="s">
        <v>12</v>
      </c>
      <c r="C82" s="117" t="s">
        <v>55</v>
      </c>
      <c r="D82" s="117" t="s">
        <v>56</v>
      </c>
    </row>
    <row r="83" spans="1:10" ht="14.25" thickTop="1" thickBot="1">
      <c r="A83" s="121" t="s">
        <v>13</v>
      </c>
      <c r="B83" s="122"/>
      <c r="C83" s="122" t="s">
        <v>63</v>
      </c>
      <c r="D83" s="122" t="s">
        <v>64</v>
      </c>
      <c r="E83" s="117" t="s">
        <v>57</v>
      </c>
      <c r="F83" s="117" t="s">
        <v>58</v>
      </c>
      <c r="G83" s="118" t="s">
        <v>59</v>
      </c>
      <c r="H83" s="119" t="s">
        <v>60</v>
      </c>
      <c r="I83" s="119" t="s">
        <v>61</v>
      </c>
      <c r="J83" s="120" t="s">
        <v>62</v>
      </c>
    </row>
    <row r="84" spans="1:10" ht="4.5" customHeight="1" thickTop="1" thickBot="1">
      <c r="A84" s="116"/>
      <c r="B84" s="117"/>
      <c r="C84" s="117"/>
      <c r="D84" s="117"/>
      <c r="E84" s="122" t="s">
        <v>65</v>
      </c>
      <c r="F84" s="122" t="s">
        <v>66</v>
      </c>
      <c r="G84" s="123" t="s">
        <v>67</v>
      </c>
      <c r="H84" s="124" t="s">
        <v>68</v>
      </c>
      <c r="I84" s="124" t="s">
        <v>64</v>
      </c>
      <c r="J84" s="125" t="s">
        <v>5</v>
      </c>
    </row>
    <row r="85" spans="1:10" ht="13.5" thickTop="1">
      <c r="A85" s="127">
        <v>3</v>
      </c>
      <c r="B85" s="648" t="s">
        <v>70</v>
      </c>
      <c r="C85" s="646" t="s">
        <v>26</v>
      </c>
      <c r="D85" s="646" t="s">
        <v>26</v>
      </c>
      <c r="E85" s="117"/>
      <c r="F85" s="117"/>
      <c r="G85" s="118"/>
      <c r="H85" s="119"/>
      <c r="I85" s="119"/>
      <c r="J85" s="126"/>
    </row>
    <row r="86" spans="1:10">
      <c r="A86" s="127">
        <v>6</v>
      </c>
      <c r="B86" s="648" t="s">
        <v>72</v>
      </c>
      <c r="C86" s="646" t="s">
        <v>26</v>
      </c>
      <c r="D86" s="646" t="s">
        <v>26</v>
      </c>
      <c r="E86" s="646" t="s">
        <v>26</v>
      </c>
      <c r="F86" s="646" t="s">
        <v>26</v>
      </c>
      <c r="G86" s="646" t="s">
        <v>26</v>
      </c>
      <c r="H86" s="646" t="s">
        <v>26</v>
      </c>
      <c r="I86" s="646" t="s">
        <v>26</v>
      </c>
      <c r="J86" s="649" t="s">
        <v>26</v>
      </c>
    </row>
    <row r="87" spans="1:10">
      <c r="A87" s="127">
        <f>+A86+1</f>
        <v>7</v>
      </c>
      <c r="B87" s="648" t="s">
        <v>73</v>
      </c>
      <c r="C87" s="646" t="s">
        <v>26</v>
      </c>
      <c r="D87" s="646" t="s">
        <v>26</v>
      </c>
      <c r="E87" s="649" t="s">
        <v>26</v>
      </c>
      <c r="F87" s="646"/>
      <c r="G87" s="646"/>
      <c r="H87" s="646"/>
      <c r="I87" s="646"/>
      <c r="J87" s="649" t="s">
        <v>26</v>
      </c>
    </row>
    <row r="88" spans="1:10" ht="13.5" thickBot="1">
      <c r="A88" s="128"/>
      <c r="B88" s="129"/>
      <c r="C88" s="129"/>
      <c r="D88" s="129"/>
      <c r="E88" s="646" t="s">
        <v>26</v>
      </c>
      <c r="F88" s="646" t="s">
        <v>26</v>
      </c>
      <c r="G88" s="646" t="s">
        <v>26</v>
      </c>
      <c r="H88" s="646" t="s">
        <v>26</v>
      </c>
      <c r="I88" s="646" t="s">
        <v>26</v>
      </c>
      <c r="J88" s="647" t="s">
        <v>26</v>
      </c>
    </row>
    <row r="89" spans="1:10" ht="14.25" thickTop="1" thickBot="1">
      <c r="E89" s="129"/>
      <c r="F89" s="129"/>
      <c r="G89" s="130"/>
      <c r="H89" s="131"/>
      <c r="I89" s="131"/>
      <c r="J89" s="132"/>
    </row>
    <row r="90" spans="1:10" ht="13.5" thickTop="1"/>
    <row r="91" spans="1:10" ht="40.5">
      <c r="A91" s="114" t="s">
        <v>78</v>
      </c>
      <c r="B91" s="153"/>
      <c r="C91" s="153"/>
      <c r="D91" s="153"/>
    </row>
    <row r="92" spans="1:10" ht="18.75" thickBot="1">
      <c r="E92" s="153"/>
      <c r="F92" s="153"/>
      <c r="G92" s="153"/>
      <c r="H92" s="153"/>
      <c r="I92" s="153"/>
      <c r="J92" s="153"/>
    </row>
    <row r="93" spans="1:10" ht="14.25" thickTop="1" thickBot="1">
      <c r="A93" s="116" t="s">
        <v>11</v>
      </c>
      <c r="B93" s="117" t="s">
        <v>12</v>
      </c>
      <c r="C93" s="117" t="s">
        <v>55</v>
      </c>
      <c r="D93" s="117" t="s">
        <v>56</v>
      </c>
    </row>
    <row r="94" spans="1:10" ht="14.25" thickTop="1" thickBot="1">
      <c r="A94" s="121" t="s">
        <v>13</v>
      </c>
      <c r="B94" s="122"/>
      <c r="C94" s="122" t="s">
        <v>63</v>
      </c>
      <c r="D94" s="122" t="s">
        <v>64</v>
      </c>
      <c r="E94" s="117" t="s">
        <v>57</v>
      </c>
      <c r="F94" s="117" t="s">
        <v>58</v>
      </c>
      <c r="G94" s="118" t="s">
        <v>59</v>
      </c>
      <c r="H94" s="119" t="s">
        <v>60</v>
      </c>
      <c r="I94" s="119" t="s">
        <v>61</v>
      </c>
      <c r="J94" s="120" t="s">
        <v>62</v>
      </c>
    </row>
    <row r="95" spans="1:10" ht="4.5" customHeight="1" thickTop="1" thickBot="1">
      <c r="A95" s="116"/>
      <c r="B95" s="117"/>
      <c r="C95" s="117"/>
      <c r="D95" s="117"/>
      <c r="E95" s="122" t="s">
        <v>65</v>
      </c>
      <c r="F95" s="122" t="s">
        <v>66</v>
      </c>
      <c r="G95" s="123" t="s">
        <v>67</v>
      </c>
      <c r="H95" s="124" t="s">
        <v>68</v>
      </c>
      <c r="I95" s="124" t="s">
        <v>64</v>
      </c>
      <c r="J95" s="125" t="s">
        <v>5</v>
      </c>
    </row>
    <row r="96" spans="1:10" ht="13.5" thickTop="1">
      <c r="A96" s="127">
        <v>3</v>
      </c>
      <c r="B96" s="650" t="s">
        <v>70</v>
      </c>
      <c r="C96" s="646" t="s">
        <v>26</v>
      </c>
      <c r="D96" s="646" t="s">
        <v>26</v>
      </c>
      <c r="E96" s="117"/>
      <c r="F96" s="117"/>
      <c r="G96" s="118"/>
      <c r="H96" s="119"/>
      <c r="I96" s="119"/>
      <c r="J96" s="126"/>
    </row>
    <row r="97" spans="1:10">
      <c r="A97" s="127">
        <f>+A96+1</f>
        <v>4</v>
      </c>
      <c r="B97" s="650" t="s">
        <v>71</v>
      </c>
      <c r="C97" s="646" t="s">
        <v>26</v>
      </c>
      <c r="D97" s="646" t="s">
        <v>26</v>
      </c>
      <c r="E97" s="646" t="s">
        <v>26</v>
      </c>
      <c r="F97" s="646" t="s">
        <v>26</v>
      </c>
      <c r="G97" s="646" t="s">
        <v>26</v>
      </c>
      <c r="H97" s="646" t="s">
        <v>26</v>
      </c>
      <c r="I97" s="646" t="s">
        <v>26</v>
      </c>
      <c r="J97" s="649" t="s">
        <v>26</v>
      </c>
    </row>
    <row r="98" spans="1:10">
      <c r="A98" s="127">
        <v>6</v>
      </c>
      <c r="B98" s="650" t="s">
        <v>72</v>
      </c>
      <c r="C98" s="646" t="s">
        <v>26</v>
      </c>
      <c r="D98" s="646" t="s">
        <v>26</v>
      </c>
      <c r="E98" s="646" t="s">
        <v>26</v>
      </c>
      <c r="F98" s="646"/>
      <c r="G98" s="646"/>
      <c r="H98" s="646"/>
      <c r="I98" s="646"/>
      <c r="J98" s="647" t="s">
        <v>26</v>
      </c>
    </row>
    <row r="99" spans="1:10">
      <c r="A99" s="127">
        <f>+A98+1</f>
        <v>7</v>
      </c>
      <c r="B99" s="650" t="s">
        <v>73</v>
      </c>
      <c r="C99" s="646" t="s">
        <v>26</v>
      </c>
      <c r="D99" s="646" t="s">
        <v>26</v>
      </c>
      <c r="E99" s="649" t="s">
        <v>26</v>
      </c>
      <c r="F99" s="646"/>
      <c r="G99" s="646"/>
      <c r="H99" s="646"/>
      <c r="I99" s="646"/>
      <c r="J99" s="649" t="s">
        <v>26</v>
      </c>
    </row>
    <row r="100" spans="1:10" ht="3.95" customHeight="1" thickBot="1">
      <c r="A100" s="372">
        <v>1</v>
      </c>
      <c r="B100" s="129"/>
      <c r="C100" s="129"/>
      <c r="D100" s="129"/>
      <c r="E100" s="646" t="s">
        <v>26</v>
      </c>
      <c r="F100" s="646" t="s">
        <v>26</v>
      </c>
      <c r="G100" s="646" t="s">
        <v>26</v>
      </c>
      <c r="H100" s="646" t="s">
        <v>26</v>
      </c>
      <c r="I100" s="646" t="s">
        <v>26</v>
      </c>
      <c r="J100" s="647" t="s">
        <v>26</v>
      </c>
    </row>
    <row r="101" spans="1:10" ht="14.25" thickTop="1" thickBot="1">
      <c r="E101" s="129"/>
      <c r="F101" s="129"/>
      <c r="G101" s="130"/>
      <c r="H101" s="131"/>
      <c r="I101" s="131"/>
      <c r="J101" s="132"/>
    </row>
    <row r="102" spans="1:10" ht="13.5" thickTop="1"/>
  </sheetData>
  <sheetProtection sheet="1" objects="1" scenarios="1" selectLockedCells="1"/>
  <conditionalFormatting sqref="J14:J49 E52:E55">
    <cfRule type="cellIs" dxfId="197" priority="32" operator="equal">
      <formula>"NO ADMISIBLE"</formula>
    </cfRule>
  </conditionalFormatting>
  <conditionalFormatting sqref="E52 C14:E49">
    <cfRule type="cellIs" dxfId="196" priority="31" operator="equal">
      <formula>"ADMISIBLE"</formula>
    </cfRule>
  </conditionalFormatting>
  <conditionalFormatting sqref="C14:E49">
    <cfRule type="cellIs" dxfId="195" priority="3" operator="equal">
      <formula>"PENDIENTE"</formula>
    </cfRule>
    <cfRule type="cellIs" dxfId="194" priority="4" operator="equal">
      <formula>"RECHAZADA"</formula>
    </cfRule>
    <cfRule type="cellIs" dxfId="193" priority="6" operator="equal">
      <formula>"NO ADMISIBLE"</formula>
    </cfRule>
  </conditionalFormatting>
  <conditionalFormatting sqref="J14:J49 E52:E55">
    <cfRule type="cellIs" dxfId="192" priority="1" operator="equal">
      <formula>"RECHAZADA"</formula>
    </cfRule>
    <cfRule type="cellIs" dxfId="191" priority="2" operator="equal">
      <formula>"PENDIENTE"</formula>
    </cfRule>
    <cfRule type="cellIs" dxfId="190" priority="5" operator="equal">
      <formula>"ADMISIBLE"</formula>
    </cfRule>
  </conditionalFormatting>
  <dataValidations count="1">
    <dataValidation type="list" allowBlank="1" showInputMessage="1" showErrorMessage="1" sqref="E52:E55 C14:D49">
      <formula1>ADMISION</formula1>
    </dataValidation>
  </dataValidations>
  <printOptions horizontalCentered="1"/>
  <pageMargins left="0.39370078740157483" right="0.39370078740157483" top="1.5748031496062993" bottom="1.5748031496062993" header="0" footer="0"/>
  <pageSetup scale="92" orientation="portrait" horizontalDpi="1200" verticalDpi="1200" r:id="rId1"/>
  <headerFooter alignWithMargins="0">
    <oddFooter>&amp;CPagina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indexed="50"/>
  </sheetPr>
  <dimension ref="B1:T77"/>
  <sheetViews>
    <sheetView topLeftCell="A16" zoomScaleNormal="100" workbookViewId="0">
      <selection activeCell="P21" sqref="P21"/>
    </sheetView>
  </sheetViews>
  <sheetFormatPr baseColWidth="10" defaultRowHeight="12.75"/>
  <cols>
    <col min="1" max="1" width="11.42578125" style="109"/>
    <col min="2" max="2" width="5.5703125" style="109" customWidth="1"/>
    <col min="3" max="3" width="30.7109375" style="109" customWidth="1"/>
    <col min="4" max="4" width="12.7109375" style="109" customWidth="1"/>
    <col min="5" max="5" width="20.140625" style="109" customWidth="1"/>
    <col min="6" max="6" width="5" style="392" customWidth="1"/>
    <col min="7" max="7" width="30.7109375" style="109" customWidth="1"/>
    <col min="8" max="8" width="12.7109375" style="393" customWidth="1"/>
    <col min="9" max="10" width="12.140625" style="109" customWidth="1"/>
    <col min="11" max="11" width="17.85546875" style="109" customWidth="1"/>
    <col min="12" max="12" width="12.7109375" style="384" hidden="1" customWidth="1"/>
    <col min="13" max="13" width="11.28515625" style="385" hidden="1" customWidth="1"/>
    <col min="14" max="14" width="11.5703125" style="109" hidden="1" customWidth="1"/>
    <col min="15" max="15" width="2.140625" style="109" customWidth="1"/>
    <col min="16" max="16" width="12.7109375" style="386" bestFit="1" customWidth="1"/>
    <col min="17" max="20" width="11.42578125" style="386"/>
    <col min="21" max="16384" width="11.42578125" style="109"/>
  </cols>
  <sheetData>
    <row r="1" spans="2:14" ht="20.100000000000001" customHeight="1">
      <c r="B1" s="382" t="str">
        <f>[2]RESUMEN!A1</f>
        <v>INSTITUTO NACIONAL DE VIAS</v>
      </c>
      <c r="C1" s="383"/>
      <c r="D1" s="383"/>
      <c r="E1" s="383"/>
      <c r="F1" s="383"/>
      <c r="G1" s="383"/>
      <c r="H1" s="383"/>
      <c r="I1" s="383"/>
      <c r="J1" s="383"/>
      <c r="K1" s="383"/>
    </row>
    <row r="2" spans="2:14" ht="20.100000000000001" customHeight="1">
      <c r="B2" s="382" t="str">
        <f>[2]RESUMEN!A2</f>
        <v>SUBDIRECCION DE LA RED TERCIARIA Y FERREA</v>
      </c>
      <c r="C2" s="387"/>
      <c r="D2" s="387"/>
      <c r="E2" s="387"/>
      <c r="F2" s="387"/>
      <c r="G2" s="387"/>
      <c r="H2" s="387"/>
      <c r="I2" s="387"/>
      <c r="J2" s="387"/>
      <c r="K2" s="387"/>
    </row>
    <row r="3" spans="2:14" ht="9.9499999999999993" customHeight="1">
      <c r="B3" s="382"/>
      <c r="C3" s="388"/>
      <c r="D3" s="388"/>
      <c r="E3" s="388"/>
      <c r="F3" s="388"/>
      <c r="G3" s="388"/>
      <c r="H3" s="388"/>
      <c r="I3" s="388"/>
      <c r="J3" s="388"/>
      <c r="K3" s="388"/>
    </row>
    <row r="4" spans="2:14" ht="15.75" customHeight="1">
      <c r="B4" s="382" t="str">
        <f>PRESUPUESTOS!B1</f>
        <v>INSTITUTO NACIONAL DE VÍAS</v>
      </c>
      <c r="C4" s="389"/>
      <c r="D4" s="389"/>
      <c r="E4" s="389"/>
      <c r="F4" s="389"/>
      <c r="G4" s="389"/>
      <c r="H4" s="389"/>
      <c r="I4" s="389"/>
      <c r="J4" s="389"/>
      <c r="K4" s="389"/>
    </row>
    <row r="5" spans="2:14" ht="9.9499999999999993" customHeight="1">
      <c r="B5" s="382"/>
      <c r="C5" s="387"/>
      <c r="D5" s="387"/>
      <c r="E5" s="387"/>
      <c r="F5" s="387"/>
      <c r="G5" s="387"/>
      <c r="H5" s="387"/>
      <c r="I5" s="387"/>
      <c r="J5" s="387"/>
      <c r="K5" s="387"/>
    </row>
    <row r="6" spans="2:14" ht="20.100000000000001" customHeight="1">
      <c r="B6" s="382" t="str">
        <f>PRESUPUESTOS!B3</f>
        <v>CONCURSO DE MÉRITOS ABIERTO</v>
      </c>
      <c r="C6" s="387"/>
      <c r="D6" s="387"/>
      <c r="E6" s="387"/>
      <c r="F6" s="387"/>
      <c r="G6" s="387"/>
      <c r="H6" s="387"/>
      <c r="I6" s="387"/>
      <c r="J6" s="387"/>
      <c r="K6" s="387"/>
    </row>
    <row r="7" spans="2:14" ht="20.100000000000001" customHeight="1">
      <c r="B7" s="382" t="str">
        <f>PRESUPUESTOS!B4</f>
        <v>CONCURSO DE MERITOS CMA-DO-SRN-100-2019</v>
      </c>
      <c r="C7" s="387"/>
      <c r="D7" s="387"/>
      <c r="E7" s="387"/>
      <c r="F7" s="387"/>
      <c r="G7" s="387"/>
      <c r="H7" s="387"/>
      <c r="I7" s="387"/>
      <c r="J7" s="387"/>
      <c r="K7" s="387"/>
    </row>
    <row r="8" spans="2:14" ht="39.950000000000003" customHeight="1">
      <c r="B8" s="108" t="str">
        <f>PRESUPUESTOS!B6</f>
        <v>ADMINISTRACIÓN VIAL DE LAS CARRETERAS A CARGO DE LA TERRITORIAL SANTANDER</v>
      </c>
      <c r="C8" s="387"/>
      <c r="D8" s="387"/>
      <c r="E8" s="387"/>
      <c r="F8" s="387"/>
      <c r="G8" s="387"/>
      <c r="H8" s="387"/>
      <c r="I8" s="387"/>
      <c r="J8" s="387"/>
      <c r="K8" s="387"/>
    </row>
    <row r="9" spans="2:14" ht="9.9499999999999993" customHeight="1">
      <c r="B9" s="382"/>
      <c r="C9" s="387"/>
      <c r="D9" s="387"/>
      <c r="E9" s="387"/>
      <c r="F9" s="387"/>
      <c r="G9" s="387"/>
      <c r="H9" s="387"/>
      <c r="I9" s="387"/>
      <c r="J9" s="387"/>
      <c r="K9" s="387"/>
    </row>
    <row r="10" spans="2:14" ht="20.100000000000001" customHeight="1">
      <c r="B10" s="382"/>
      <c r="C10" s="387"/>
      <c r="D10" s="387"/>
      <c r="E10" s="387"/>
      <c r="F10" s="387"/>
      <c r="G10" s="387"/>
      <c r="H10" s="387"/>
      <c r="I10" s="387"/>
      <c r="J10" s="387"/>
      <c r="K10" s="387"/>
    </row>
    <row r="11" spans="2:14" ht="20.100000000000001" customHeight="1">
      <c r="B11" s="767">
        <v>1</v>
      </c>
      <c r="C11" s="767"/>
      <c r="D11" s="767"/>
      <c r="E11" s="767"/>
      <c r="F11" s="767"/>
      <c r="G11" s="767"/>
      <c r="H11" s="767"/>
      <c r="I11" s="767"/>
      <c r="J11" s="767"/>
      <c r="K11" s="767"/>
    </row>
    <row r="12" spans="2:14" ht="13.5" thickBot="1">
      <c r="B12" s="390"/>
      <c r="C12" s="391"/>
      <c r="D12" s="391"/>
    </row>
    <row r="13" spans="2:14" ht="25.5">
      <c r="B13" s="768" t="s">
        <v>79</v>
      </c>
      <c r="C13" s="769"/>
      <c r="D13" s="769"/>
      <c r="E13" s="769"/>
      <c r="F13" s="770" t="s">
        <v>80</v>
      </c>
      <c r="G13" s="771"/>
      <c r="H13" s="771"/>
      <c r="I13" s="771"/>
      <c r="J13" s="771"/>
      <c r="K13" s="772"/>
    </row>
    <row r="14" spans="2:14" ht="13.5" thickBot="1">
      <c r="B14" s="394"/>
      <c r="C14" s="391"/>
      <c r="D14" s="391"/>
      <c r="F14" s="395"/>
      <c r="G14" s="396"/>
      <c r="H14" s="397"/>
      <c r="I14" s="396"/>
      <c r="J14" s="396"/>
      <c r="K14" s="398"/>
    </row>
    <row r="15" spans="2:14" ht="21.75" customHeight="1">
      <c r="B15" s="773" t="s">
        <v>81</v>
      </c>
      <c r="C15" s="775" t="s">
        <v>12</v>
      </c>
      <c r="D15" s="775" t="s">
        <v>82</v>
      </c>
      <c r="E15" s="399">
        <f>N(B11)</f>
        <v>1</v>
      </c>
      <c r="F15" s="777" t="s">
        <v>81</v>
      </c>
      <c r="G15" s="779" t="s">
        <v>12</v>
      </c>
      <c r="H15" s="781" t="s">
        <v>82</v>
      </c>
      <c r="I15" s="783" t="s">
        <v>84</v>
      </c>
      <c r="J15" s="400"/>
      <c r="K15" s="779" t="s">
        <v>85</v>
      </c>
      <c r="L15" s="785" t="s">
        <v>86</v>
      </c>
      <c r="M15" s="788" t="s">
        <v>87</v>
      </c>
      <c r="N15" s="788" t="s">
        <v>88</v>
      </c>
    </row>
    <row r="16" spans="2:14" ht="13.5" thickBot="1">
      <c r="B16" s="774"/>
      <c r="C16" s="776"/>
      <c r="D16" s="776"/>
      <c r="E16" s="401">
        <f>IF(E15=1,VFrequerido!C15,IF(E15=2,VFrequerido!D15,IF(E15=3,VFrequerido!E15,VFrequerido!F15)))</f>
        <v>0</v>
      </c>
      <c r="F16" s="778"/>
      <c r="G16" s="780"/>
      <c r="H16" s="782"/>
      <c r="I16" s="784"/>
      <c r="J16" s="402"/>
      <c r="K16" s="780"/>
      <c r="L16" s="786"/>
      <c r="M16" s="789"/>
      <c r="N16" s="789"/>
    </row>
    <row r="17" spans="2:17" ht="13.5" thickBot="1">
      <c r="B17" s="403"/>
      <c r="C17" s="404" t="s">
        <v>90</v>
      </c>
      <c r="D17" s="405">
        <f ca="1">COUNTIF(D21:D60,"&gt;0")</f>
        <v>10</v>
      </c>
      <c r="E17" s="406"/>
      <c r="F17" s="407"/>
      <c r="G17" s="408" t="s">
        <v>90</v>
      </c>
      <c r="H17" s="409">
        <f ca="1">COUNT(H21:H40)</f>
        <v>0</v>
      </c>
      <c r="I17" s="410"/>
      <c r="J17" s="410"/>
      <c r="K17" s="411">
        <v>800</v>
      </c>
      <c r="L17" s="787"/>
      <c r="M17" s="790"/>
      <c r="N17" s="790"/>
    </row>
    <row r="18" spans="2:17" ht="3" customHeight="1">
      <c r="B18" s="412"/>
      <c r="C18" s="413"/>
      <c r="D18" s="414"/>
      <c r="E18" s="406"/>
      <c r="F18" s="415"/>
      <c r="G18" s="416"/>
      <c r="H18" s="417"/>
      <c r="I18" s="418"/>
      <c r="J18" s="419"/>
      <c r="K18" s="419"/>
    </row>
    <row r="19" spans="2:17" ht="12" customHeight="1">
      <c r="B19" s="420"/>
      <c r="C19" s="421" t="s">
        <v>92</v>
      </c>
      <c r="D19" s="422"/>
      <c r="E19" s="423"/>
      <c r="F19" s="424"/>
      <c r="G19" s="425"/>
      <c r="H19" s="426"/>
      <c r="I19" s="423"/>
      <c r="J19" s="427"/>
      <c r="K19" s="428" t="str">
        <f>IF(OR(I19="DESCARTADO",I19=""),"",IF(H19=$H$61,800,IF(H19=$H$62,0,(800-((800*(H19-$H$61)/($H$62-$H$61)))))))</f>
        <v/>
      </c>
      <c r="L19" s="429"/>
      <c r="M19" s="430"/>
      <c r="N19" s="430"/>
      <c r="P19" s="431"/>
    </row>
    <row r="20" spans="2:17" ht="3" customHeight="1">
      <c r="B20" s="432"/>
      <c r="C20" s="433"/>
      <c r="D20" s="422"/>
      <c r="E20" s="423"/>
      <c r="F20" s="424"/>
      <c r="G20" s="425"/>
      <c r="H20" s="426"/>
      <c r="I20" s="423"/>
      <c r="J20" s="427"/>
      <c r="K20" s="428"/>
      <c r="L20" s="429"/>
      <c r="M20" s="430"/>
      <c r="N20" s="430"/>
    </row>
    <row r="21" spans="2:17" ht="15.75">
      <c r="B21" s="434">
        <v>1</v>
      </c>
      <c r="C21" s="435" t="str">
        <f>IF(AND(B21=VFrequerido!$A15,VFrequerido!$C15=$E$15),VFrequerido!$B15,IF(AND(B21=VFrequerido!$A15,VFrequerido!$D15=$E$15),VFrequerido!$B15,IF(AND(B21=VFrequerido!$A15,VFrequerido!$E15=$E$15),VFrequerido!$B15,IF(AND(B21=VFrequerido!$A15,VFrequerido!$F15=$E$15),VFrequerido!$B15,IF(AND(B21=VFrequerido!$A15,VFrequerido!$G15=$E$15),VFrequerido!$B15,IF(AND(B21=VFrequerido!$A15,VFrequerido!$H15=$E$15),VFrequerido!$B15,IF(AND(B21=VFrequerido!$A15,VFrequerido!$I15=$E$15),VFrequerido!$B15,"")))))))</f>
        <v/>
      </c>
      <c r="D21" s="436" t="str">
        <f>IF(C21="","",LOOKUP(B21,EXPERIENCIA!$B$11:$B$50,EXPERIENCIA!$F$11:$F$50))</f>
        <v/>
      </c>
      <c r="E21" s="437" t="str">
        <f ca="1">IF(OR(D21&lt;$D$68,D21&gt;$D$67),"DESCARTADO","ADMISIBLE")</f>
        <v>DESCARTADO</v>
      </c>
      <c r="F21" s="438">
        <f t="shared" ref="F21:F40" si="0">B21</f>
        <v>1</v>
      </c>
      <c r="G21" s="439" t="str">
        <f t="shared" ref="G21:G40" ca="1" si="1">IF(E21="ADMISIBLE",C21,"")</f>
        <v/>
      </c>
      <c r="H21" s="440" t="str">
        <f t="shared" ref="H21:H40" ca="1" si="2">IF(G21="","",D21)</f>
        <v/>
      </c>
      <c r="I21" s="441" t="str">
        <f ca="1">IF(OR(E21="DESCARTADO",H21&lt;=$H$61),"DESCARTADO","ADMISIBLE")</f>
        <v>DESCARTADO</v>
      </c>
      <c r="J21" s="442" t="str">
        <f ca="1">IFERROR(IF(OR((H21-$I$68)&lt;0,H21=""),"",H21-$I$68),"")</f>
        <v/>
      </c>
      <c r="K21" s="443" t="str">
        <f ca="1">IF(OR(I21="DESCARTADO",I21=""),"",IF(OR(H21&gt;$H$67,H21&gt;$I$61),"DESCARTADO",IF(J21=$J$61,$K$17,IF(H21=$H$61,0,((($K$17*(H21-$H$61)/($I$61-$H$61))))))))</f>
        <v/>
      </c>
      <c r="L21" s="444" t="str">
        <f t="shared" ref="L21:L61" ca="1" si="3">IF(K21&lt;&gt;"",H21/$D$19,"")</f>
        <v/>
      </c>
      <c r="M21" s="445" t="str">
        <f t="shared" ref="M21:M61" ca="1" si="4">IF(K21&lt;&gt;"",H21/$D$65,"")</f>
        <v/>
      </c>
      <c r="N21" s="445" t="str">
        <f t="shared" ref="N21:N61" ca="1" si="5">IF(K21&lt;&gt;"",H21/$H$65,"")</f>
        <v/>
      </c>
      <c r="P21" s="446"/>
    </row>
    <row r="22" spans="2:17" ht="15.75">
      <c r="B22" s="434">
        <v>2</v>
      </c>
      <c r="C22" s="435" t="str">
        <f>IF(AND(B22=VFrequerido!$A16,VFrequerido!$C16=$E$15),VFrequerido!$B16,IF(AND(B22=VFrequerido!$A16,VFrequerido!$D16=$E$15),VFrequerido!$B16,IF(AND(B22=VFrequerido!$A16,VFrequerido!$E16=$E$15),VFrequerido!$B16,IF(AND(B22=VFrequerido!$A16,VFrequerido!$F16=$E$15),VFrequerido!$B16,IF(AND(B22=VFrequerido!$A16,VFrequerido!$G16=$E$15),VFrequerido!$B16,IF(AND(B22=VFrequerido!$A16,VFrequerido!$H16=$E$15),VFrequerido!$B16,IF(AND(B22=VFrequerido!$A16,VFrequerido!$I16=$E$15),VFrequerido!$B16,"")))))))</f>
        <v>CONSORCIO RUTA SANTANDER 100</v>
      </c>
      <c r="D22" s="436" t="str">
        <f ca="1">IF(C22="","",LOOKUP(B22,EXPERIENCIA!$B$11:$B$50,EXPERIENCIA!$F$11:$F$50))</f>
        <v>CUMPLE</v>
      </c>
      <c r="E22" s="437" t="str">
        <f t="shared" ref="E22:E40" ca="1" si="6">IF(OR(D22&lt;$D$68,D22&gt;$D$67),"DESCARTADO","ADMISIBLE")</f>
        <v>DESCARTADO</v>
      </c>
      <c r="F22" s="438">
        <f t="shared" si="0"/>
        <v>2</v>
      </c>
      <c r="G22" s="439" t="str">
        <f t="shared" ca="1" si="1"/>
        <v/>
      </c>
      <c r="H22" s="440" t="str">
        <f t="shared" ca="1" si="2"/>
        <v/>
      </c>
      <c r="I22" s="441" t="str">
        <f t="shared" ref="I22:I40" ca="1" si="7">IF(OR(E22="DESCARTADO",H22&lt;=$H$61),"DESCARTADO","ADMISIBLE")</f>
        <v>DESCARTADO</v>
      </c>
      <c r="J22" s="442" t="str">
        <f t="shared" ref="J22:J40" ca="1" si="8">IFERROR(IF(OR((H22-$I$68)&lt;0,H22=""),"",H22-$I$68),"")</f>
        <v/>
      </c>
      <c r="K22" s="443" t="str">
        <f t="shared" ref="K22:K40" ca="1" si="9">IF(OR(I22="DESCARTADO",I22=""),"",IF(OR(H22&gt;$H$67,H22&gt;$I$61),"DESCARTADO",IF(J22=$J$61,$K$17,IF(H22=$H$61,0,((($K$17*(H22-$H$61)/($I$61-$H$61))))))))</f>
        <v/>
      </c>
      <c r="L22" s="444" t="str">
        <f t="shared" ca="1" si="3"/>
        <v/>
      </c>
      <c r="M22" s="445" t="str">
        <f t="shared" ca="1" si="4"/>
        <v/>
      </c>
      <c r="N22" s="445" t="str">
        <f t="shared" ca="1" si="5"/>
        <v/>
      </c>
      <c r="P22" s="446"/>
    </row>
    <row r="23" spans="2:17" ht="15.75">
      <c r="B23" s="434">
        <v>3</v>
      </c>
      <c r="C23" s="435" t="str">
        <f>IF(AND(B23=VFrequerido!$A17,VFrequerido!$C17=$E$15),VFrequerido!$B17,IF(AND(B23=VFrequerido!$A17,VFrequerido!$D17=$E$15),VFrequerido!$B17,IF(AND(B23=VFrequerido!$A17,VFrequerido!$E17=$E$15),VFrequerido!$B17,IF(AND(B23=VFrequerido!$A17,VFrequerido!$F17=$E$15),VFrequerido!$B17,IF(AND(B23=VFrequerido!$A17,VFrequerido!$G17=$E$15),VFrequerido!$B17,IF(AND(B23=VFrequerido!$A17,VFrequerido!$H17=$E$15),VFrequerido!$B17,IF(AND(B23=VFrequerido!$A17,VFrequerido!$I17=$E$15),VFrequerido!$B17,"")))))))</f>
        <v>CONSORCIO SIETE</v>
      </c>
      <c r="D23" s="436" t="str">
        <f ca="1">IF(C23="","",LOOKUP(B23,EXPERIENCIA!$B$11:$B$50,EXPERIENCIA!$F$11:$F$50))</f>
        <v>NO CUMPLE</v>
      </c>
      <c r="E23" s="437" t="str">
        <f t="shared" ca="1" si="6"/>
        <v>DESCARTADO</v>
      </c>
      <c r="F23" s="438">
        <f t="shared" si="0"/>
        <v>3</v>
      </c>
      <c r="G23" s="439" t="str">
        <f t="shared" ca="1" si="1"/>
        <v/>
      </c>
      <c r="H23" s="440" t="str">
        <f t="shared" ca="1" si="2"/>
        <v/>
      </c>
      <c r="I23" s="441" t="str">
        <f t="shared" ca="1" si="7"/>
        <v>DESCARTADO</v>
      </c>
      <c r="J23" s="442" t="str">
        <f t="shared" ca="1" si="8"/>
        <v/>
      </c>
      <c r="K23" s="443" t="str">
        <f t="shared" ca="1" si="9"/>
        <v/>
      </c>
      <c r="L23" s="444" t="str">
        <f t="shared" ca="1" si="3"/>
        <v/>
      </c>
      <c r="M23" s="445" t="str">
        <f t="shared" ca="1" si="4"/>
        <v/>
      </c>
      <c r="N23" s="445" t="str">
        <f t="shared" ca="1" si="5"/>
        <v/>
      </c>
      <c r="P23" s="446"/>
      <c r="Q23" s="447"/>
    </row>
    <row r="24" spans="2:17" ht="15.75">
      <c r="B24" s="434">
        <v>4</v>
      </c>
      <c r="C24" s="435" t="str">
        <f>IF(AND(B24=VFrequerido!$A18,VFrequerido!$C18=$E$15),VFrequerido!$B18,IF(AND(B24=VFrequerido!$A18,VFrequerido!$D18=$E$15),VFrequerido!$B18,IF(AND(B24=VFrequerido!$A18,VFrequerido!$E18=$E$15),VFrequerido!$B18,IF(AND(B24=VFrequerido!$A18,VFrequerido!$F18=$E$15),VFrequerido!$B18,IF(AND(B24=VFrequerido!$A18,VFrequerido!$G18=$E$15),VFrequerido!$B18,IF(AND(B24=VFrequerido!$A18,VFrequerido!$H18=$E$15),VFrequerido!$B18,IF(AND(B24=VFrequerido!$A18,VFrequerido!$I18=$E$15),VFrequerido!$B18,"")))))))</f>
        <v/>
      </c>
      <c r="D24" s="436" t="str">
        <f>IF(C24="","",LOOKUP(B24,EXPERIENCIA!$B$11:$B$50,EXPERIENCIA!$F$11:$F$50))</f>
        <v/>
      </c>
      <c r="E24" s="437" t="str">
        <f t="shared" ca="1" si="6"/>
        <v>DESCARTADO</v>
      </c>
      <c r="F24" s="438">
        <f t="shared" si="0"/>
        <v>4</v>
      </c>
      <c r="G24" s="439" t="str">
        <f t="shared" ca="1" si="1"/>
        <v/>
      </c>
      <c r="H24" s="440" t="str">
        <f t="shared" ca="1" si="2"/>
        <v/>
      </c>
      <c r="I24" s="441" t="str">
        <f t="shared" ca="1" si="7"/>
        <v>DESCARTADO</v>
      </c>
      <c r="J24" s="442" t="str">
        <f t="shared" ca="1" si="8"/>
        <v/>
      </c>
      <c r="K24" s="443" t="str">
        <f t="shared" ca="1" si="9"/>
        <v/>
      </c>
      <c r="L24" s="444" t="str">
        <f t="shared" ca="1" si="3"/>
        <v/>
      </c>
      <c r="M24" s="445" t="str">
        <f t="shared" ca="1" si="4"/>
        <v/>
      </c>
      <c r="N24" s="445" t="str">
        <f t="shared" ca="1" si="5"/>
        <v/>
      </c>
      <c r="P24" s="446"/>
      <c r="Q24" s="448"/>
    </row>
    <row r="25" spans="2:17" ht="15.75">
      <c r="B25" s="434">
        <v>5</v>
      </c>
      <c r="C25" s="435" t="str">
        <f>IF(AND(B25=VFrequerido!$A19,VFrequerido!$C19=$E$15),VFrequerido!$B19,IF(AND(B25=VFrequerido!$A19,VFrequerido!$D19=$E$15),VFrequerido!$B19,IF(AND(B25=VFrequerido!$A19,VFrequerido!$E19=$E$15),VFrequerido!$B19,IF(AND(B25=VFrequerido!$A19,VFrequerido!$F19=$E$15),VFrequerido!$B19,IF(AND(B25=VFrequerido!$A19,VFrequerido!$G19=$E$15),VFrequerido!$B19,IF(AND(B25=VFrequerido!$A19,VFrequerido!$H19=$E$15),VFrequerido!$B19,IF(AND(B25=VFrequerido!$A19,VFrequerido!$I19=$E$15),VFrequerido!$B19,"")))))))</f>
        <v>CONSORCIO JJAB</v>
      </c>
      <c r="D25" s="436" t="str">
        <f ca="1">IF(C25="","",LOOKUP(B25,EXPERIENCIA!$B$11:$B$50,EXPERIENCIA!$F$11:$F$50))</f>
        <v>CUMPLE</v>
      </c>
      <c r="E25" s="437" t="str">
        <f t="shared" ca="1" si="6"/>
        <v>DESCARTADO</v>
      </c>
      <c r="F25" s="438">
        <f t="shared" si="0"/>
        <v>5</v>
      </c>
      <c r="G25" s="439" t="str">
        <f t="shared" ca="1" si="1"/>
        <v/>
      </c>
      <c r="H25" s="440" t="str">
        <f t="shared" ca="1" si="2"/>
        <v/>
      </c>
      <c r="I25" s="441" t="str">
        <f t="shared" ca="1" si="7"/>
        <v>DESCARTADO</v>
      </c>
      <c r="J25" s="442" t="str">
        <f t="shared" ca="1" si="8"/>
        <v/>
      </c>
      <c r="K25" s="443" t="str">
        <f t="shared" ca="1" si="9"/>
        <v/>
      </c>
      <c r="L25" s="444" t="str">
        <f t="shared" ca="1" si="3"/>
        <v/>
      </c>
      <c r="M25" s="445" t="str">
        <f t="shared" ca="1" si="4"/>
        <v/>
      </c>
      <c r="N25" s="445" t="str">
        <f t="shared" ca="1" si="5"/>
        <v/>
      </c>
      <c r="P25" s="446"/>
    </row>
    <row r="26" spans="2:17" ht="15.75">
      <c r="B26" s="434">
        <v>6</v>
      </c>
      <c r="C26" s="435" t="str">
        <f>IF(AND(B26=VFrequerido!$A20,VFrequerido!$C20=$E$15),VFrequerido!$B20,IF(AND(B26=VFrequerido!$A20,VFrequerido!$D20=$E$15),VFrequerido!$B20,IF(AND(B26=VFrequerido!$A20,VFrequerido!$E20=$E$15),VFrequerido!$B20,IF(AND(B26=VFrequerido!$A20,VFrequerido!$F20=$E$15),VFrequerido!$B20,IF(AND(B26=VFrequerido!$A20,VFrequerido!$G20=$E$15),VFrequerido!$B20,IF(AND(B26=VFrequerido!$A20,VFrequerido!$H20=$E$15),VFrequerido!$B20,IF(AND(B26=VFrequerido!$A20,VFrequerido!$I20=$E$15),VFrequerido!$B20,"")))))))</f>
        <v/>
      </c>
      <c r="D26" s="436" t="str">
        <f>IF(C26="","",LOOKUP(B26,EXPERIENCIA!$B$11:$B$50,EXPERIENCIA!$F$11:$F$50))</f>
        <v/>
      </c>
      <c r="E26" s="437" t="str">
        <f t="shared" ca="1" si="6"/>
        <v>DESCARTADO</v>
      </c>
      <c r="F26" s="438">
        <f t="shared" si="0"/>
        <v>6</v>
      </c>
      <c r="G26" s="439" t="str">
        <f t="shared" ca="1" si="1"/>
        <v/>
      </c>
      <c r="H26" s="440" t="str">
        <f t="shared" ca="1" si="2"/>
        <v/>
      </c>
      <c r="I26" s="441" t="str">
        <f t="shared" ca="1" si="7"/>
        <v>DESCARTADO</v>
      </c>
      <c r="J26" s="442" t="str">
        <f t="shared" ca="1" si="8"/>
        <v/>
      </c>
      <c r="K26" s="443" t="str">
        <f t="shared" ca="1" si="9"/>
        <v/>
      </c>
      <c r="L26" s="444" t="str">
        <f t="shared" ca="1" si="3"/>
        <v/>
      </c>
      <c r="M26" s="445" t="str">
        <f t="shared" ca="1" si="4"/>
        <v/>
      </c>
      <c r="N26" s="445" t="str">
        <f t="shared" ca="1" si="5"/>
        <v/>
      </c>
      <c r="P26" s="446"/>
    </row>
    <row r="27" spans="2:17" ht="15.75">
      <c r="B27" s="434">
        <v>7</v>
      </c>
      <c r="C27" s="435" t="str">
        <f>IF(AND(B27=VFrequerido!$A21,VFrequerido!$C21=$E$15),VFrequerido!$B21,IF(AND(B27=VFrequerido!$A21,VFrequerido!$D21=$E$15),VFrequerido!$B21,IF(AND(B27=VFrequerido!$A21,VFrequerido!$E21=$E$15),VFrequerido!$B21,IF(AND(B27=VFrequerido!$A21,VFrequerido!$F21=$E$15),VFrequerido!$B21,IF(AND(B27=VFrequerido!$A21,VFrequerido!$G21=$E$15),VFrequerido!$B21,IF(AND(B27=VFrequerido!$A21,VFrequerido!$H21=$E$15),VFrequerido!$B21,IF(AND(B27=VFrequerido!$A21,VFrequerido!$I21=$E$15),VFrequerido!$B21,"")))))))</f>
        <v>ESTUDIOS TECNICOS Y ASESORIAS S.A</v>
      </c>
      <c r="D27" s="436" t="str">
        <f ca="1">IF(C27="","",LOOKUP(B27,EXPERIENCIA!$B$11:$B$50,EXPERIENCIA!$F$11:$F$50))</f>
        <v>CUMPLE</v>
      </c>
      <c r="E27" s="437" t="str">
        <f t="shared" ca="1" si="6"/>
        <v>DESCARTADO</v>
      </c>
      <c r="F27" s="438">
        <f t="shared" si="0"/>
        <v>7</v>
      </c>
      <c r="G27" s="439" t="str">
        <f t="shared" ca="1" si="1"/>
        <v/>
      </c>
      <c r="H27" s="440" t="str">
        <f t="shared" ca="1" si="2"/>
        <v/>
      </c>
      <c r="I27" s="441" t="str">
        <f t="shared" ca="1" si="7"/>
        <v>DESCARTADO</v>
      </c>
      <c r="J27" s="442" t="str">
        <f t="shared" ca="1" si="8"/>
        <v/>
      </c>
      <c r="K27" s="443" t="str">
        <f t="shared" ca="1" si="9"/>
        <v/>
      </c>
      <c r="L27" s="444" t="str">
        <f t="shared" ca="1" si="3"/>
        <v/>
      </c>
      <c r="M27" s="445" t="str">
        <f t="shared" ca="1" si="4"/>
        <v/>
      </c>
      <c r="N27" s="445" t="str">
        <f t="shared" ca="1" si="5"/>
        <v/>
      </c>
      <c r="P27" s="446"/>
    </row>
    <row r="28" spans="2:17" ht="15.75">
      <c r="B28" s="434">
        <v>8</v>
      </c>
      <c r="C28" s="435" t="str">
        <f>IF(AND(B28=VFrequerido!$A22,VFrequerido!$C22=$E$15),VFrequerido!$B22,IF(AND(B28=VFrequerido!$A22,VFrequerido!$D22=$E$15),VFrequerido!$B22,IF(AND(B28=VFrequerido!$A22,VFrequerido!$E22=$E$15),VFrequerido!$B22,IF(AND(B28=VFrequerido!$A22,VFrequerido!$F22=$E$15),VFrequerido!$B22,IF(AND(B28=VFrequerido!$A22,VFrequerido!$G22=$E$15),VFrequerido!$B22,IF(AND(B28=VFrequerido!$A22,VFrequerido!$H22=$E$15),VFrequerido!$B22,IF(AND(B28=VFrequerido!$A22,VFrequerido!$I22=$E$15),VFrequerido!$B22,"")))))))</f>
        <v>CONSULTORIA BOGOTANA SAS</v>
      </c>
      <c r="D28" s="436" t="str">
        <f ca="1">IF(C28="","",LOOKUP(B28,EXPERIENCIA!$B$11:$B$50,EXPERIENCIA!$F$11:$F$50))</f>
        <v>CUMPLE</v>
      </c>
      <c r="E28" s="437" t="str">
        <f t="shared" ca="1" si="6"/>
        <v>DESCARTADO</v>
      </c>
      <c r="F28" s="438">
        <f t="shared" si="0"/>
        <v>8</v>
      </c>
      <c r="G28" s="439" t="str">
        <f t="shared" ca="1" si="1"/>
        <v/>
      </c>
      <c r="H28" s="440" t="str">
        <f t="shared" ca="1" si="2"/>
        <v/>
      </c>
      <c r="I28" s="441" t="str">
        <f t="shared" ca="1" si="7"/>
        <v>DESCARTADO</v>
      </c>
      <c r="J28" s="442" t="str">
        <f t="shared" ca="1" si="8"/>
        <v/>
      </c>
      <c r="K28" s="443" t="str">
        <f t="shared" ca="1" si="9"/>
        <v/>
      </c>
      <c r="L28" s="444" t="str">
        <f t="shared" ca="1" si="3"/>
        <v/>
      </c>
      <c r="M28" s="445" t="str">
        <f t="shared" ca="1" si="4"/>
        <v/>
      </c>
      <c r="N28" s="445" t="str">
        <f t="shared" ca="1" si="5"/>
        <v/>
      </c>
      <c r="P28" s="446"/>
    </row>
    <row r="29" spans="2:17" ht="15.75">
      <c r="B29" s="434">
        <v>9</v>
      </c>
      <c r="C29" s="435" t="str">
        <f>IF(AND(B29=VFrequerido!$A23,VFrequerido!$C23=$E$15),VFrequerido!$B23,IF(AND(B29=VFrequerido!$A23,VFrequerido!$D23=$E$15),VFrequerido!$B23,IF(AND(B29=VFrequerido!$A23,VFrequerido!$E23=$E$15),VFrequerido!$B23,IF(AND(B29=VFrequerido!$A23,VFrequerido!$F23=$E$15),VFrequerido!$B23,IF(AND(B29=VFrequerido!$A23,VFrequerido!$G23=$E$15),VFrequerido!$B23,IF(AND(B29=VFrequerido!$A23,VFrequerido!$H23=$E$15),VFrequerido!$B23,IF(AND(B29=VFrequerido!$A23,VFrequerido!$I23=$E$15),VFrequerido!$B23,"")))))))</f>
        <v>RENE ARMANDO MARTINEZ DORADO</v>
      </c>
      <c r="D29" s="436" t="str">
        <f ca="1">IF(C29="","",LOOKUP(B29,EXPERIENCIA!$B$11:$B$50,EXPERIENCIA!$F$11:$F$50))</f>
        <v>NO CUMPLE</v>
      </c>
      <c r="E29" s="437" t="str">
        <f t="shared" ca="1" si="6"/>
        <v>DESCARTADO</v>
      </c>
      <c r="F29" s="438">
        <f t="shared" si="0"/>
        <v>9</v>
      </c>
      <c r="G29" s="439" t="str">
        <f t="shared" ca="1" si="1"/>
        <v/>
      </c>
      <c r="H29" s="440" t="str">
        <f t="shared" ca="1" si="2"/>
        <v/>
      </c>
      <c r="I29" s="441" t="str">
        <f t="shared" ca="1" si="7"/>
        <v>DESCARTADO</v>
      </c>
      <c r="J29" s="442" t="str">
        <f t="shared" ca="1" si="8"/>
        <v/>
      </c>
      <c r="K29" s="443" t="str">
        <f t="shared" ca="1" si="9"/>
        <v/>
      </c>
      <c r="L29" s="444" t="str">
        <f t="shared" ca="1" si="3"/>
        <v/>
      </c>
      <c r="M29" s="445" t="str">
        <f t="shared" ca="1" si="4"/>
        <v/>
      </c>
      <c r="N29" s="445" t="str">
        <f t="shared" ca="1" si="5"/>
        <v/>
      </c>
      <c r="P29" s="446"/>
    </row>
    <row r="30" spans="2:17" ht="15.75">
      <c r="B30" s="434">
        <v>10</v>
      </c>
      <c r="C30" s="435" t="str">
        <f>IF(AND(B30=VFrequerido!$A24,VFrequerido!$C24=$E$15),VFrequerido!$B24,IF(AND(B30=VFrequerido!$A24,VFrequerido!$D24=$E$15),VFrequerido!$B24,IF(AND(B30=VFrequerido!$A24,VFrequerido!$E24=$E$15),VFrequerido!$B24,IF(AND(B30=VFrequerido!$A24,VFrequerido!$F24=$E$15),VFrequerido!$B24,IF(AND(B30=VFrequerido!$A24,VFrequerido!$G24=$E$15),VFrequerido!$B24,IF(AND(B30=VFrequerido!$A24,VFrequerido!$H24=$E$15),VFrequerido!$B24,IF(AND(B30=VFrequerido!$A24,VFrequerido!$I24=$E$15),VFrequerido!$B24,"")))))))</f>
        <v>CONSORCIO ADMON BM 100</v>
      </c>
      <c r="D30" s="436" t="str">
        <f ca="1">IF(C30="","",LOOKUP(B30,EXPERIENCIA!$B$11:$B$50,EXPERIENCIA!$F$11:$F$50))</f>
        <v>CUMPLE</v>
      </c>
      <c r="E30" s="437" t="str">
        <f t="shared" ca="1" si="6"/>
        <v>DESCARTADO</v>
      </c>
      <c r="F30" s="438">
        <f t="shared" si="0"/>
        <v>10</v>
      </c>
      <c r="G30" s="439" t="str">
        <f t="shared" ca="1" si="1"/>
        <v/>
      </c>
      <c r="H30" s="440" t="str">
        <f t="shared" ca="1" si="2"/>
        <v/>
      </c>
      <c r="I30" s="441" t="str">
        <f t="shared" ca="1" si="7"/>
        <v>DESCARTADO</v>
      </c>
      <c r="J30" s="442" t="str">
        <f t="shared" ca="1" si="8"/>
        <v/>
      </c>
      <c r="K30" s="443" t="str">
        <f t="shared" ca="1" si="9"/>
        <v/>
      </c>
      <c r="L30" s="444" t="str">
        <f t="shared" ca="1" si="3"/>
        <v/>
      </c>
      <c r="M30" s="445" t="str">
        <f t="shared" ca="1" si="4"/>
        <v/>
      </c>
      <c r="N30" s="445" t="str">
        <f t="shared" ca="1" si="5"/>
        <v/>
      </c>
      <c r="P30" s="446"/>
    </row>
    <row r="31" spans="2:17" ht="15.75">
      <c r="B31" s="434">
        <v>11</v>
      </c>
      <c r="C31" s="435" t="str">
        <f>IF(AND(B31=VFrequerido!$A51,VFrequerido!$C51=$E$15),VFrequerido!$B51,IF(AND(B31=VFrequerido!$A51,VFrequerido!$D51=$E$15),VFrequerido!$B51,IF(AND(B31=VFrequerido!$A51,VFrequerido!$E51=$E$15),VFrequerido!$B51,IF(AND(B31=VFrequerido!$A51,VFrequerido!$F51=$E$15),VFrequerido!$B51,IF(AND(B31=VFrequerido!$A51,VFrequerido!$G51=$E$15),VFrequerido!$B51,IF(AND(B31=VFrequerido!$A51,VFrequerido!$H51=$E$15),VFrequerido!$B51,IF(AND(B31=VFrequerido!$A51,VFrequerido!$I51=$E$15),VFrequerido!$B51,"")))))))</f>
        <v/>
      </c>
      <c r="D31" s="436" t="str">
        <f>IF(C31="","",LOOKUP(B31,EXPERIENCIA!$B$11:$B$50,EXPERIENCIA!$F$11:$F$50))</f>
        <v/>
      </c>
      <c r="E31" s="437" t="str">
        <f t="shared" ca="1" si="6"/>
        <v>DESCARTADO</v>
      </c>
      <c r="F31" s="438">
        <f t="shared" si="0"/>
        <v>11</v>
      </c>
      <c r="G31" s="439" t="str">
        <f t="shared" ca="1" si="1"/>
        <v/>
      </c>
      <c r="H31" s="440" t="str">
        <f t="shared" ca="1" si="2"/>
        <v/>
      </c>
      <c r="I31" s="441" t="str">
        <f t="shared" ca="1" si="7"/>
        <v>DESCARTADO</v>
      </c>
      <c r="J31" s="442" t="str">
        <f t="shared" ca="1" si="8"/>
        <v/>
      </c>
      <c r="K31" s="443" t="str">
        <f t="shared" ca="1" si="9"/>
        <v/>
      </c>
      <c r="L31" s="444" t="str">
        <f t="shared" ca="1" si="3"/>
        <v/>
      </c>
      <c r="M31" s="445" t="str">
        <f t="shared" ca="1" si="4"/>
        <v/>
      </c>
      <c r="N31" s="445" t="str">
        <f t="shared" ca="1" si="5"/>
        <v/>
      </c>
      <c r="P31" s="446"/>
    </row>
    <row r="32" spans="2:17" ht="15.75">
      <c r="B32" s="434">
        <v>12</v>
      </c>
      <c r="C32" s="435" t="str">
        <f>IF(AND(B32=VFrequerido!$A52,VFrequerido!$C52=$E$15),VFrequerido!$B52,IF(AND(B32=VFrequerido!$A52,VFrequerido!$D52=$E$15),VFrequerido!$B52,IF(AND(B32=VFrequerido!$A52,VFrequerido!$E52=$E$15),VFrequerido!$B52,IF(AND(B32=VFrequerido!$A52,VFrequerido!$F52=$E$15),VFrequerido!$B52,IF(AND(B32=VFrequerido!$A52,VFrequerido!$G52=$E$15),VFrequerido!$B52,IF(AND(B32=VFrequerido!$A52,VFrequerido!$H52=$E$15),VFrequerido!$B52,IF(AND(B32=VFrequerido!$A52,VFrequerido!$I52=$E$15),VFrequerido!$B52,"")))))))</f>
        <v/>
      </c>
      <c r="D32" s="436" t="str">
        <f>IF(C32="","",LOOKUP(B32,EXPERIENCIA!$B$11:$B$50,EXPERIENCIA!$F$11:$F$50))</f>
        <v/>
      </c>
      <c r="E32" s="437" t="str">
        <f t="shared" ca="1" si="6"/>
        <v>DESCARTADO</v>
      </c>
      <c r="F32" s="438">
        <f t="shared" si="0"/>
        <v>12</v>
      </c>
      <c r="G32" s="439" t="str">
        <f t="shared" ca="1" si="1"/>
        <v/>
      </c>
      <c r="H32" s="440" t="str">
        <f t="shared" ca="1" si="2"/>
        <v/>
      </c>
      <c r="I32" s="441" t="str">
        <f t="shared" ca="1" si="7"/>
        <v>DESCARTADO</v>
      </c>
      <c r="J32" s="442" t="str">
        <f t="shared" ca="1" si="8"/>
        <v/>
      </c>
      <c r="K32" s="443" t="str">
        <f t="shared" ca="1" si="9"/>
        <v/>
      </c>
      <c r="L32" s="444" t="str">
        <f t="shared" ca="1" si="3"/>
        <v/>
      </c>
      <c r="M32" s="445" t="str">
        <f t="shared" ca="1" si="4"/>
        <v/>
      </c>
      <c r="N32" s="445" t="str">
        <f t="shared" ca="1" si="5"/>
        <v/>
      </c>
      <c r="P32" s="446"/>
    </row>
    <row r="33" spans="2:17" ht="15.75">
      <c r="B33" s="434">
        <v>13</v>
      </c>
      <c r="C33" s="435" t="str">
        <f>IF(AND(B33=VFrequerido!$A53,VFrequerido!$C53=$E$15),VFrequerido!$B53,IF(AND(B33=VFrequerido!$A53,VFrequerido!$D53=$E$15),VFrequerido!$B53,IF(AND(B33=VFrequerido!$A53,VFrequerido!$E53=$E$15),VFrequerido!$B53,IF(AND(B33=VFrequerido!$A53,VFrequerido!$F53=$E$15),VFrequerido!$B53,IF(AND(B33=VFrequerido!$A53,VFrequerido!$G53=$E$15),VFrequerido!$B53,IF(AND(B33=VFrequerido!$A53,VFrequerido!$H53=$E$15),VFrequerido!$B53,IF(AND(B33=VFrequerido!$A53,VFrequerido!$I53=$E$15),VFrequerido!$B53,"")))))))</f>
        <v/>
      </c>
      <c r="D33" s="436"/>
      <c r="E33" s="437" t="str">
        <f t="shared" ca="1" si="6"/>
        <v>DESCARTADO</v>
      </c>
      <c r="F33" s="438">
        <f t="shared" si="0"/>
        <v>13</v>
      </c>
      <c r="G33" s="439" t="str">
        <f t="shared" ca="1" si="1"/>
        <v/>
      </c>
      <c r="H33" s="440" t="str">
        <f t="shared" ca="1" si="2"/>
        <v/>
      </c>
      <c r="I33" s="441" t="str">
        <f t="shared" ca="1" si="7"/>
        <v>DESCARTADO</v>
      </c>
      <c r="J33" s="442" t="str">
        <f t="shared" ca="1" si="8"/>
        <v/>
      </c>
      <c r="K33" s="443" t="str">
        <f t="shared" ca="1" si="9"/>
        <v/>
      </c>
      <c r="L33" s="444" t="str">
        <f t="shared" ca="1" si="3"/>
        <v/>
      </c>
      <c r="M33" s="445" t="str">
        <f t="shared" ca="1" si="4"/>
        <v/>
      </c>
      <c r="N33" s="445" t="str">
        <f t="shared" ca="1" si="5"/>
        <v/>
      </c>
    </row>
    <row r="34" spans="2:17" ht="15.75">
      <c r="B34" s="434">
        <v>14</v>
      </c>
      <c r="C34" s="435" t="str">
        <f>IF(AND(B34=VFrequerido!$A54,VFrequerido!$C54=$E$15),VFrequerido!$B54,IF(AND(B34=VFrequerido!$A54,VFrequerido!$D54=$E$15),VFrequerido!$B54,IF(AND(B34=VFrequerido!$A54,VFrequerido!$E54=$E$15),VFrequerido!$B54,IF(AND(B34=VFrequerido!$A54,VFrequerido!$F54=$E$15),VFrequerido!$B54,IF(AND(B34=VFrequerido!$A54,VFrequerido!$G54=$E$15),VFrequerido!$B54,IF(AND(B34=VFrequerido!$A54,VFrequerido!$H54=$E$15),VFrequerido!$B54,IF(AND(B34=VFrequerido!$A54,VFrequerido!$I54=$E$15),VFrequerido!$B54,"")))))))</f>
        <v/>
      </c>
      <c r="D34" s="436">
        <f ca="1">LOOKUP(B34,VFrequerido!$A$15:$A$51,VFrequerido!$Y$15:$Y$51)</f>
        <v>537.11</v>
      </c>
      <c r="E34" s="437" t="str">
        <f t="shared" ca="1" si="6"/>
        <v>ADMISIBLE</v>
      </c>
      <c r="F34" s="438">
        <f t="shared" si="0"/>
        <v>14</v>
      </c>
      <c r="G34" s="439" t="str">
        <f t="shared" ca="1" si="1"/>
        <v/>
      </c>
      <c r="H34" s="440" t="str">
        <f t="shared" ca="1" si="2"/>
        <v/>
      </c>
      <c r="I34" s="441" t="str">
        <f t="shared" ca="1" si="7"/>
        <v>DESCARTADO</v>
      </c>
      <c r="J34" s="442" t="str">
        <f t="shared" ca="1" si="8"/>
        <v/>
      </c>
      <c r="K34" s="443" t="str">
        <f t="shared" ca="1" si="9"/>
        <v/>
      </c>
      <c r="L34" s="444" t="str">
        <f t="shared" ca="1" si="3"/>
        <v/>
      </c>
      <c r="M34" s="445" t="str">
        <f t="shared" ca="1" si="4"/>
        <v/>
      </c>
      <c r="N34" s="445" t="str">
        <f t="shared" ca="1" si="5"/>
        <v/>
      </c>
    </row>
    <row r="35" spans="2:17" ht="15.75">
      <c r="B35" s="434">
        <v>15</v>
      </c>
      <c r="C35" s="435" t="str">
        <f>IF(AND(B35=VFrequerido!$A55,VFrequerido!$C55=$E$15),VFrequerido!$B55,IF(AND(B35=VFrequerido!$A55,VFrequerido!$D55=$E$15),VFrequerido!$B55,IF(AND(B35=VFrequerido!$A55,VFrequerido!$E55=$E$15),VFrequerido!$B55,IF(AND(B35=VFrequerido!$A55,VFrequerido!$F55=$E$15),VFrequerido!$B55,IF(AND(B35=VFrequerido!$A55,VFrequerido!$G55=$E$15),VFrequerido!$B55,IF(AND(B35=VFrequerido!$A55,VFrequerido!$H55=$E$15),VFrequerido!$B55,IF(AND(B35=VFrequerido!$A55,VFrequerido!$I55=$E$15),VFrequerido!$B55,"")))))))</f>
        <v/>
      </c>
      <c r="D35" s="436">
        <f ca="1">LOOKUP(B35,VFrequerido!$A$15:$A$51,VFrequerido!$Y$15:$Y$51)</f>
        <v>537.11</v>
      </c>
      <c r="E35" s="437" t="str">
        <f t="shared" ca="1" si="6"/>
        <v>ADMISIBLE</v>
      </c>
      <c r="F35" s="438">
        <f t="shared" si="0"/>
        <v>15</v>
      </c>
      <c r="G35" s="439" t="str">
        <f t="shared" ca="1" si="1"/>
        <v/>
      </c>
      <c r="H35" s="440" t="str">
        <f t="shared" ca="1" si="2"/>
        <v/>
      </c>
      <c r="I35" s="441" t="str">
        <f t="shared" ca="1" si="7"/>
        <v>DESCARTADO</v>
      </c>
      <c r="J35" s="442" t="str">
        <f t="shared" ca="1" si="8"/>
        <v/>
      </c>
      <c r="K35" s="443" t="str">
        <f t="shared" ca="1" si="9"/>
        <v/>
      </c>
      <c r="L35" s="444" t="str">
        <f t="shared" ca="1" si="3"/>
        <v/>
      </c>
      <c r="M35" s="445" t="str">
        <f t="shared" ca="1" si="4"/>
        <v/>
      </c>
      <c r="N35" s="445" t="str">
        <f t="shared" ca="1" si="5"/>
        <v/>
      </c>
    </row>
    <row r="36" spans="2:17" ht="15.75">
      <c r="B36" s="434">
        <v>16</v>
      </c>
      <c r="C36" s="435" t="str">
        <f>IF(AND(B36=VFrequerido!$A56,VFrequerido!$C56=$E$15),VFrequerido!$B56,IF(AND(B36=VFrequerido!$A56,VFrequerido!$D56=$E$15),VFrequerido!$B56,IF(AND(B36=VFrequerido!$A56,VFrequerido!$E56=$E$15),VFrequerido!$B56,IF(AND(B36=VFrequerido!$A56,VFrequerido!$F56=$E$15),VFrequerido!$B56,IF(AND(B36=VFrequerido!$A56,VFrequerido!$G56=$E$15),VFrequerido!$B56,IF(AND(B36=VFrequerido!$A56,VFrequerido!$H56=$E$15),VFrequerido!$B56,IF(AND(B36=VFrequerido!$A56,VFrequerido!$I56=$E$15),VFrequerido!$B56,"")))))))</f>
        <v/>
      </c>
      <c r="D36" s="436">
        <f ca="1">LOOKUP(B36,VFrequerido!$A$15:$A$51,VFrequerido!$Y$15:$Y$51)</f>
        <v>537.11</v>
      </c>
      <c r="E36" s="437" t="str">
        <f t="shared" ca="1" si="6"/>
        <v>ADMISIBLE</v>
      </c>
      <c r="F36" s="438">
        <f t="shared" si="0"/>
        <v>16</v>
      </c>
      <c r="G36" s="439" t="str">
        <f t="shared" ca="1" si="1"/>
        <v/>
      </c>
      <c r="H36" s="440" t="str">
        <f t="shared" ca="1" si="2"/>
        <v/>
      </c>
      <c r="I36" s="441" t="str">
        <f t="shared" ca="1" si="7"/>
        <v>DESCARTADO</v>
      </c>
      <c r="J36" s="442" t="str">
        <f t="shared" ca="1" si="8"/>
        <v/>
      </c>
      <c r="K36" s="443" t="str">
        <f t="shared" ca="1" si="9"/>
        <v/>
      </c>
      <c r="L36" s="444" t="str">
        <f t="shared" ca="1" si="3"/>
        <v/>
      </c>
      <c r="M36" s="445" t="str">
        <f t="shared" ca="1" si="4"/>
        <v/>
      </c>
      <c r="N36" s="445" t="str">
        <f t="shared" ca="1" si="5"/>
        <v/>
      </c>
    </row>
    <row r="37" spans="2:17" ht="15.75">
      <c r="B37" s="434">
        <v>17</v>
      </c>
      <c r="C37" s="435" t="str">
        <f>IF(AND(B37=VFrequerido!$A57,VFrequerido!$C57=$E$15),VFrequerido!$B57,IF(AND(B37=VFrequerido!$A57,VFrequerido!$D57=$E$15),VFrequerido!$B57,IF(AND(B37=VFrequerido!$A57,VFrequerido!$E57=$E$15),VFrequerido!$B57,IF(AND(B37=VFrequerido!$A57,VFrequerido!$F57=$E$15),VFrequerido!$B57,IF(AND(B37=VFrequerido!$A57,VFrequerido!$G57=$E$15),VFrequerido!$B57,IF(AND(B37=VFrequerido!$A57,VFrequerido!$H57=$E$15),VFrequerido!$B57,IF(AND(B37=VFrequerido!$A57,VFrequerido!$I57=$E$15),VFrequerido!$B57,"")))))))</f>
        <v/>
      </c>
      <c r="D37" s="436">
        <f ca="1">LOOKUP(B37,VFrequerido!$A$15:$A$51,VFrequerido!$Y$15:$Y$51)</f>
        <v>537.11</v>
      </c>
      <c r="E37" s="437" t="str">
        <f t="shared" ca="1" si="6"/>
        <v>ADMISIBLE</v>
      </c>
      <c r="F37" s="438">
        <f t="shared" si="0"/>
        <v>17</v>
      </c>
      <c r="G37" s="439" t="str">
        <f t="shared" ca="1" si="1"/>
        <v/>
      </c>
      <c r="H37" s="440" t="str">
        <f t="shared" ca="1" si="2"/>
        <v/>
      </c>
      <c r="I37" s="441" t="str">
        <f t="shared" ca="1" si="7"/>
        <v>DESCARTADO</v>
      </c>
      <c r="J37" s="442" t="str">
        <f t="shared" ca="1" si="8"/>
        <v/>
      </c>
      <c r="K37" s="443" t="str">
        <f t="shared" ca="1" si="9"/>
        <v/>
      </c>
      <c r="L37" s="444" t="str">
        <f t="shared" ca="1" si="3"/>
        <v/>
      </c>
      <c r="M37" s="445" t="str">
        <f t="shared" ca="1" si="4"/>
        <v/>
      </c>
      <c r="N37" s="445" t="str">
        <f t="shared" ca="1" si="5"/>
        <v/>
      </c>
    </row>
    <row r="38" spans="2:17" ht="15.75">
      <c r="B38" s="434">
        <v>18</v>
      </c>
      <c r="C38" s="435" t="str">
        <f>IF(AND(B38=VFrequerido!$A58,VFrequerido!$C58=$E$15),VFrequerido!$B58,IF(AND(B38=VFrequerido!$A58,VFrequerido!$D58=$E$15),VFrequerido!$B58,IF(AND(B38=VFrequerido!$A58,VFrequerido!$E58=$E$15),VFrequerido!$B58,IF(AND(B38=VFrequerido!$A58,VFrequerido!$F58=$E$15),VFrequerido!$B58,IF(AND(B38=VFrequerido!$A58,VFrequerido!$G58=$E$15),VFrequerido!$B58,IF(AND(B38=VFrequerido!$A58,VFrequerido!$H58=$E$15),VFrequerido!$B58,IF(AND(B38=VFrequerido!$A58,VFrequerido!$I58=$E$15),VFrequerido!$B58,"")))))))</f>
        <v/>
      </c>
      <c r="D38" s="436">
        <f ca="1">LOOKUP(B38,VFrequerido!$A$15:$A$51,VFrequerido!$Y$15:$Y$51)</f>
        <v>537.11</v>
      </c>
      <c r="E38" s="437" t="str">
        <f t="shared" ca="1" si="6"/>
        <v>ADMISIBLE</v>
      </c>
      <c r="F38" s="438">
        <f t="shared" si="0"/>
        <v>18</v>
      </c>
      <c r="G38" s="439" t="str">
        <f t="shared" ca="1" si="1"/>
        <v/>
      </c>
      <c r="H38" s="440" t="str">
        <f t="shared" ca="1" si="2"/>
        <v/>
      </c>
      <c r="I38" s="441" t="str">
        <f t="shared" ca="1" si="7"/>
        <v>DESCARTADO</v>
      </c>
      <c r="J38" s="442" t="str">
        <f t="shared" ca="1" si="8"/>
        <v/>
      </c>
      <c r="K38" s="443" t="str">
        <f t="shared" ca="1" si="9"/>
        <v/>
      </c>
      <c r="L38" s="444" t="str">
        <f t="shared" ca="1" si="3"/>
        <v/>
      </c>
      <c r="M38" s="445" t="str">
        <f t="shared" ca="1" si="4"/>
        <v/>
      </c>
      <c r="N38" s="445" t="str">
        <f t="shared" ca="1" si="5"/>
        <v/>
      </c>
    </row>
    <row r="39" spans="2:17" ht="15.75">
      <c r="B39" s="434">
        <v>19</v>
      </c>
      <c r="C39" s="435" t="str">
        <f>IF(AND(B39=VFrequerido!$A59,VFrequerido!$C59=$E$15),VFrequerido!$B59,IF(AND(B39=VFrequerido!$A59,VFrequerido!$D59=$E$15),VFrequerido!$B59,IF(AND(B39=VFrequerido!$A59,VFrequerido!$E59=$E$15),VFrequerido!$B59,IF(AND(B39=VFrequerido!$A59,VFrequerido!$F59=$E$15),VFrequerido!$B59,IF(AND(B39=VFrequerido!$A59,VFrequerido!$G59=$E$15),VFrequerido!$B59,IF(AND(B39=VFrequerido!$A59,VFrequerido!$H59=$E$15),VFrequerido!$B59,IF(AND(B39=VFrequerido!$A59,VFrequerido!$I59=$E$15),VFrequerido!$B59,"")))))))</f>
        <v/>
      </c>
      <c r="D39" s="436">
        <f ca="1">LOOKUP(B39,VFrequerido!$A$15:$A$51,VFrequerido!$Y$15:$Y$51)</f>
        <v>537.11</v>
      </c>
      <c r="E39" s="437" t="str">
        <f t="shared" ca="1" si="6"/>
        <v>ADMISIBLE</v>
      </c>
      <c r="F39" s="438">
        <f t="shared" si="0"/>
        <v>19</v>
      </c>
      <c r="G39" s="439" t="str">
        <f t="shared" ca="1" si="1"/>
        <v/>
      </c>
      <c r="H39" s="440" t="str">
        <f t="shared" ca="1" si="2"/>
        <v/>
      </c>
      <c r="I39" s="441" t="str">
        <f t="shared" ca="1" si="7"/>
        <v>DESCARTADO</v>
      </c>
      <c r="J39" s="442" t="str">
        <f t="shared" ca="1" si="8"/>
        <v/>
      </c>
      <c r="K39" s="443" t="str">
        <f t="shared" ca="1" si="9"/>
        <v/>
      </c>
      <c r="L39" s="444" t="str">
        <f t="shared" ca="1" si="3"/>
        <v/>
      </c>
      <c r="M39" s="445" t="str">
        <f t="shared" ca="1" si="4"/>
        <v/>
      </c>
      <c r="N39" s="445" t="str">
        <f t="shared" ca="1" si="5"/>
        <v/>
      </c>
    </row>
    <row r="40" spans="2:17" ht="15.75">
      <c r="B40" s="434">
        <v>20</v>
      </c>
      <c r="C40" s="435" t="str">
        <f>IF(AND(B40=VFrequerido!$A60,VFrequerido!$C60=$E$15),VFrequerido!$B60,IF(AND(B40=VFrequerido!$A60,VFrequerido!$D60=$E$15),VFrequerido!$B60,IF(AND(B40=VFrequerido!$A60,VFrequerido!$E60=$E$15),VFrequerido!$B60,IF(AND(B40=VFrequerido!$A60,VFrequerido!$F60=$E$15),VFrequerido!$B60,IF(AND(B40=VFrequerido!$A60,VFrequerido!$G60=$E$15),VFrequerido!$B60,IF(AND(B40=VFrequerido!$A60,VFrequerido!$H60=$E$15),VFrequerido!$B60,IF(AND(B40=VFrequerido!$A60,VFrequerido!$I60=$E$15),VFrequerido!$B60,"")))))))</f>
        <v/>
      </c>
      <c r="D40" s="436">
        <f ca="1">LOOKUP(B40,VFrequerido!$A$15:$A$51,VFrequerido!$Y$15:$Y$51)</f>
        <v>537.11</v>
      </c>
      <c r="E40" s="437" t="str">
        <f t="shared" ca="1" si="6"/>
        <v>ADMISIBLE</v>
      </c>
      <c r="F40" s="438">
        <f t="shared" si="0"/>
        <v>20</v>
      </c>
      <c r="G40" s="439" t="str">
        <f t="shared" ca="1" si="1"/>
        <v/>
      </c>
      <c r="H40" s="440" t="str">
        <f t="shared" ca="1" si="2"/>
        <v/>
      </c>
      <c r="I40" s="441" t="str">
        <f t="shared" ca="1" si="7"/>
        <v>DESCARTADO</v>
      </c>
      <c r="J40" s="442" t="str">
        <f t="shared" ca="1" si="8"/>
        <v/>
      </c>
      <c r="K40" s="443" t="str">
        <f t="shared" ca="1" si="9"/>
        <v/>
      </c>
      <c r="L40" s="444" t="str">
        <f t="shared" ca="1" si="3"/>
        <v/>
      </c>
      <c r="M40" s="445" t="str">
        <f t="shared" ca="1" si="4"/>
        <v/>
      </c>
      <c r="N40" s="445" t="str">
        <f t="shared" ca="1" si="5"/>
        <v/>
      </c>
    </row>
    <row r="41" spans="2:17" ht="15.75">
      <c r="B41" s="434">
        <v>21</v>
      </c>
      <c r="C41" s="435" t="str">
        <f>IF(AND(B41=VFrequerido!$A61,VFrequerido!$C61=$E$15),VFrequerido!$B61,IF(AND(B41=VFrequerido!$A61,VFrequerido!$D61=$E$15),VFrequerido!$B61,IF(AND(B41=VFrequerido!$A61,VFrequerido!$E61=$E$15),VFrequerido!$B61,IF(AND(B41=VFrequerido!$A61,VFrequerido!$F61=$E$15),VFrequerido!$B61,IF(AND(B41=VFrequerido!$A61,VFrequerido!$G61=$E$15),VFrequerido!$B61,IF(AND(B41=VFrequerido!$A61,VFrequerido!$H61=$E$15),VFrequerido!$B61,IF(AND(B41=VFrequerido!$A61,VFrequerido!$I61=$E$15),VFrequerido!$B61,"")))))))</f>
        <v/>
      </c>
      <c r="D41" s="436" t="str">
        <f>IF(C41="","",LOOKUP(B41,EXPERIENCIA!$B$11:$B$50,EXPERIENCIA!$F$11:$F$50))</f>
        <v/>
      </c>
      <c r="E41" s="437" t="str">
        <f ca="1">IF(OR(D41&lt;$D$68,D41&gt;$D$67),"DESCARTADO","ADMISIBLE")</f>
        <v>DESCARTADO</v>
      </c>
      <c r="F41" s="438">
        <f t="shared" ref="F41:F60" si="10">B41</f>
        <v>21</v>
      </c>
      <c r="G41" s="439" t="str">
        <f t="shared" ref="G41:G60" ca="1" si="11">IF(E41="ADMISIBLE",C41,"")</f>
        <v/>
      </c>
      <c r="H41" s="440" t="str">
        <f t="shared" ref="H41:H60" ca="1" si="12">IF(G41="","",D41)</f>
        <v/>
      </c>
      <c r="I41" s="441" t="str">
        <f ca="1">IF(OR(E41="DESCARTADO",H41&lt;=$H$61),"DESCARTADO","ADMISIBLE")</f>
        <v>DESCARTADO</v>
      </c>
      <c r="J41" s="442" t="str">
        <f ca="1">IFERROR(IF(OR((H41-$I$68)&lt;0,H41=""),"",H41-$I$68),"")</f>
        <v/>
      </c>
      <c r="K41" s="443" t="str">
        <f ca="1">IF(OR(I41="DESCARTADO",I41=""),"",IF(OR(H41&gt;$H$67,H41&gt;$I$61),"DESCARTADO",IF(J41=$J$61,$K$17,IF(H41=$H$61,0,((($K$17*(H41-$H$61)/($I$61-$H$61))))))))</f>
        <v/>
      </c>
      <c r="L41" s="444" t="str">
        <f t="shared" ref="L41:L60" ca="1" si="13">IF(K41&lt;&gt;"",H41/$D$19,"")</f>
        <v/>
      </c>
      <c r="M41" s="445" t="str">
        <f t="shared" ref="M41:M60" ca="1" si="14">IF(K41&lt;&gt;"",H41/$D$65,"")</f>
        <v/>
      </c>
      <c r="N41" s="445" t="str">
        <f t="shared" ref="N41:N60" ca="1" si="15">IF(K41&lt;&gt;"",H41/$H$65,"")</f>
        <v/>
      </c>
      <c r="P41" s="446"/>
    </row>
    <row r="42" spans="2:17" ht="15.75">
      <c r="B42" s="434">
        <v>22</v>
      </c>
      <c r="C42" s="435" t="str">
        <f>IF(AND(B42=VFrequerido!$A62,VFrequerido!$C62=$E$15),VFrequerido!$B62,IF(AND(B42=VFrequerido!$A62,VFrequerido!$D62=$E$15),VFrequerido!$B62,IF(AND(B42=VFrequerido!$A62,VFrequerido!$E62=$E$15),VFrequerido!$B62,IF(AND(B42=VFrequerido!$A62,VFrequerido!$F62=$E$15),VFrequerido!$B62,IF(AND(B42=VFrequerido!$A62,VFrequerido!$G62=$E$15),VFrequerido!$B62,IF(AND(B42=VFrequerido!$A62,VFrequerido!$H62=$E$15),VFrequerido!$B62,IF(AND(B42=VFrequerido!$A62,VFrequerido!$I62=$E$15),VFrequerido!$B62,"")))))))</f>
        <v/>
      </c>
      <c r="D42" s="436" t="str">
        <f>IF(C42="","",LOOKUP(B42,EXPERIENCIA!$B$11:$B$50,EXPERIENCIA!$F$11:$F$50))</f>
        <v/>
      </c>
      <c r="E42" s="437" t="str">
        <f t="shared" ref="E42:E60" ca="1" si="16">IF(OR(D42&lt;$D$68,D42&gt;$D$67),"DESCARTADO","ADMISIBLE")</f>
        <v>DESCARTADO</v>
      </c>
      <c r="F42" s="438">
        <f t="shared" si="10"/>
        <v>22</v>
      </c>
      <c r="G42" s="439" t="str">
        <f t="shared" ca="1" si="11"/>
        <v/>
      </c>
      <c r="H42" s="440" t="str">
        <f t="shared" ca="1" si="12"/>
        <v/>
      </c>
      <c r="I42" s="441" t="str">
        <f t="shared" ref="I42:I60" ca="1" si="17">IF(OR(E42="DESCARTADO",H42&lt;=$H$61),"DESCARTADO","ADMISIBLE")</f>
        <v>DESCARTADO</v>
      </c>
      <c r="J42" s="442" t="str">
        <f t="shared" ref="J42:J60" ca="1" si="18">IFERROR(IF(OR((H42-$I$68)&lt;0,H42=""),"",H42-$I$68),"")</f>
        <v/>
      </c>
      <c r="K42" s="443" t="str">
        <f t="shared" ref="K42:K60" ca="1" si="19">IF(OR(I42="DESCARTADO",I42=""),"",IF(OR(H42&gt;$H$67,H42&gt;$I$61),"DESCARTADO",IF(J42=$J$61,$K$17,IF(H42=$H$61,0,((($K$17*(H42-$H$61)/($I$61-$H$61))))))))</f>
        <v/>
      </c>
      <c r="L42" s="444" t="str">
        <f t="shared" ca="1" si="13"/>
        <v/>
      </c>
      <c r="M42" s="445" t="str">
        <f t="shared" ca="1" si="14"/>
        <v/>
      </c>
      <c r="N42" s="445" t="str">
        <f t="shared" ca="1" si="15"/>
        <v/>
      </c>
      <c r="P42" s="446"/>
    </row>
    <row r="43" spans="2:17" ht="15.75">
      <c r="B43" s="434">
        <v>23</v>
      </c>
      <c r="C43" s="435" t="str">
        <f>IF(AND(B43=VFrequerido!$A63,VFrequerido!$C63=$E$15),VFrequerido!$B63,IF(AND(B43=VFrequerido!$A63,VFrequerido!$D63=$E$15),VFrequerido!$B63,IF(AND(B43=VFrequerido!$A63,VFrequerido!$E63=$E$15),VFrequerido!$B63,IF(AND(B43=VFrequerido!$A63,VFrequerido!$F63=$E$15),VFrequerido!$B63,IF(AND(B43=VFrequerido!$A63,VFrequerido!$G63=$E$15),VFrequerido!$B63,IF(AND(B43=VFrequerido!$A63,VFrequerido!$H63=$E$15),VFrequerido!$B63,IF(AND(B43=VFrequerido!$A63,VFrequerido!$I63=$E$15),VFrequerido!$B63,"")))))))</f>
        <v/>
      </c>
      <c r="D43" s="436" t="str">
        <f>IF(C43="","",LOOKUP(B43,EXPERIENCIA!$B$11:$B$50,EXPERIENCIA!$F$11:$F$50))</f>
        <v/>
      </c>
      <c r="E43" s="437" t="str">
        <f t="shared" ca="1" si="16"/>
        <v>DESCARTADO</v>
      </c>
      <c r="F43" s="438">
        <f t="shared" si="10"/>
        <v>23</v>
      </c>
      <c r="G43" s="439" t="str">
        <f t="shared" ca="1" si="11"/>
        <v/>
      </c>
      <c r="H43" s="440" t="str">
        <f t="shared" ca="1" si="12"/>
        <v/>
      </c>
      <c r="I43" s="441" t="str">
        <f t="shared" ca="1" si="17"/>
        <v>DESCARTADO</v>
      </c>
      <c r="J43" s="442" t="str">
        <f t="shared" ca="1" si="18"/>
        <v/>
      </c>
      <c r="K43" s="443" t="str">
        <f t="shared" ca="1" si="19"/>
        <v/>
      </c>
      <c r="L43" s="444" t="str">
        <f t="shared" ca="1" si="13"/>
        <v/>
      </c>
      <c r="M43" s="445" t="str">
        <f t="shared" ca="1" si="14"/>
        <v/>
      </c>
      <c r="N43" s="445" t="str">
        <f t="shared" ca="1" si="15"/>
        <v/>
      </c>
      <c r="P43" s="446"/>
      <c r="Q43" s="447"/>
    </row>
    <row r="44" spans="2:17" ht="15.75">
      <c r="B44" s="434">
        <v>24</v>
      </c>
      <c r="C44" s="435" t="str">
        <f>IF(AND(B44=VFrequerido!$A64,VFrequerido!$C64=$E$15),VFrequerido!$B64,IF(AND(B44=VFrequerido!$A64,VFrequerido!$D64=$E$15),VFrequerido!$B64,IF(AND(B44=VFrequerido!$A64,VFrequerido!$E64=$E$15),VFrequerido!$B64,IF(AND(B44=VFrequerido!$A64,VFrequerido!$F64=$E$15),VFrequerido!$B64,IF(AND(B44=VFrequerido!$A64,VFrequerido!$G64=$E$15),VFrequerido!$B64,IF(AND(B44=VFrequerido!$A64,VFrequerido!$H64=$E$15),VFrequerido!$B64,IF(AND(B44=VFrequerido!$A64,VFrequerido!$I64=$E$15),VFrequerido!$B64,"")))))))</f>
        <v/>
      </c>
      <c r="D44" s="436" t="str">
        <f>IF(C44="","",LOOKUP(B44,EXPERIENCIA!$B$11:$B$50,EXPERIENCIA!$F$11:$F$50))</f>
        <v/>
      </c>
      <c r="E44" s="437" t="str">
        <f t="shared" ca="1" si="16"/>
        <v>DESCARTADO</v>
      </c>
      <c r="F44" s="438">
        <f t="shared" si="10"/>
        <v>24</v>
      </c>
      <c r="G44" s="439" t="str">
        <f t="shared" ca="1" si="11"/>
        <v/>
      </c>
      <c r="H44" s="440" t="str">
        <f t="shared" ca="1" si="12"/>
        <v/>
      </c>
      <c r="I44" s="441" t="str">
        <f t="shared" ca="1" si="17"/>
        <v>DESCARTADO</v>
      </c>
      <c r="J44" s="442" t="str">
        <f t="shared" ca="1" si="18"/>
        <v/>
      </c>
      <c r="K44" s="443" t="str">
        <f t="shared" ca="1" si="19"/>
        <v/>
      </c>
      <c r="L44" s="444" t="str">
        <f t="shared" ca="1" si="13"/>
        <v/>
      </c>
      <c r="M44" s="445" t="str">
        <f t="shared" ca="1" si="14"/>
        <v/>
      </c>
      <c r="N44" s="445" t="str">
        <f t="shared" ca="1" si="15"/>
        <v/>
      </c>
      <c r="P44" s="446"/>
      <c r="Q44" s="448"/>
    </row>
    <row r="45" spans="2:17" ht="15.75">
      <c r="B45" s="434">
        <v>25</v>
      </c>
      <c r="C45" s="435" t="str">
        <f>IF(AND(B45=VFrequerido!$A65,VFrequerido!$C65=$E$15),VFrequerido!$B65,IF(AND(B45=VFrequerido!$A65,VFrequerido!$D65=$E$15),VFrequerido!$B65,IF(AND(B45=VFrequerido!$A65,VFrequerido!$E65=$E$15),VFrequerido!$B65,IF(AND(B45=VFrequerido!$A65,VFrequerido!$F65=$E$15),VFrequerido!$B65,IF(AND(B45=VFrequerido!$A65,VFrequerido!$G65=$E$15),VFrequerido!$B65,IF(AND(B45=VFrequerido!$A65,VFrequerido!$H65=$E$15),VFrequerido!$B65,IF(AND(B45=VFrequerido!$A65,VFrequerido!$I65=$E$15),VFrequerido!$B65,"")))))))</f>
        <v/>
      </c>
      <c r="D45" s="436" t="str">
        <f>IF(C45="","",LOOKUP(B45,EXPERIENCIA!$B$11:$B$50,EXPERIENCIA!$F$11:$F$50))</f>
        <v/>
      </c>
      <c r="E45" s="437" t="str">
        <f t="shared" ca="1" si="16"/>
        <v>DESCARTADO</v>
      </c>
      <c r="F45" s="438">
        <f t="shared" si="10"/>
        <v>25</v>
      </c>
      <c r="G45" s="439" t="str">
        <f t="shared" ca="1" si="11"/>
        <v/>
      </c>
      <c r="H45" s="440" t="str">
        <f t="shared" ca="1" si="12"/>
        <v/>
      </c>
      <c r="I45" s="441" t="str">
        <f t="shared" ca="1" si="17"/>
        <v>DESCARTADO</v>
      </c>
      <c r="J45" s="442" t="str">
        <f t="shared" ca="1" si="18"/>
        <v/>
      </c>
      <c r="K45" s="443" t="str">
        <f t="shared" ca="1" si="19"/>
        <v/>
      </c>
      <c r="L45" s="444" t="str">
        <f t="shared" ca="1" si="13"/>
        <v/>
      </c>
      <c r="M45" s="445" t="str">
        <f t="shared" ca="1" si="14"/>
        <v/>
      </c>
      <c r="N45" s="445" t="str">
        <f t="shared" ca="1" si="15"/>
        <v/>
      </c>
      <c r="P45" s="446"/>
    </row>
    <row r="46" spans="2:17" ht="15.75">
      <c r="B46" s="434">
        <v>26</v>
      </c>
      <c r="C46" s="435" t="str">
        <f>IF(AND(B46=VFrequerido!$A66,VFrequerido!$C66=$E$15),VFrequerido!$B66,IF(AND(B46=VFrequerido!$A66,VFrequerido!$D66=$E$15),VFrequerido!$B66,IF(AND(B46=VFrequerido!$A66,VFrequerido!$E66=$E$15),VFrequerido!$B66,IF(AND(B46=VFrequerido!$A66,VFrequerido!$F66=$E$15),VFrequerido!$B66,IF(AND(B46=VFrequerido!$A66,VFrequerido!$G66=$E$15),VFrequerido!$B66,IF(AND(B46=VFrequerido!$A66,VFrequerido!$H66=$E$15),VFrequerido!$B66,IF(AND(B46=VFrequerido!$A66,VFrequerido!$I66=$E$15),VFrequerido!$B66,"")))))))</f>
        <v/>
      </c>
      <c r="D46" s="436" t="str">
        <f>IF(C46="","",LOOKUP(B46,EXPERIENCIA!$B$11:$B$50,EXPERIENCIA!$F$11:$F$50))</f>
        <v/>
      </c>
      <c r="E46" s="437" t="str">
        <f t="shared" ca="1" si="16"/>
        <v>DESCARTADO</v>
      </c>
      <c r="F46" s="438">
        <f t="shared" si="10"/>
        <v>26</v>
      </c>
      <c r="G46" s="439" t="str">
        <f t="shared" ca="1" si="11"/>
        <v/>
      </c>
      <c r="H46" s="440" t="str">
        <f t="shared" ca="1" si="12"/>
        <v/>
      </c>
      <c r="I46" s="441" t="str">
        <f t="shared" ca="1" si="17"/>
        <v>DESCARTADO</v>
      </c>
      <c r="J46" s="442" t="str">
        <f t="shared" ca="1" si="18"/>
        <v/>
      </c>
      <c r="K46" s="443" t="str">
        <f t="shared" ca="1" si="19"/>
        <v/>
      </c>
      <c r="L46" s="444" t="str">
        <f t="shared" ca="1" si="13"/>
        <v/>
      </c>
      <c r="M46" s="445" t="str">
        <f t="shared" ca="1" si="14"/>
        <v/>
      </c>
      <c r="N46" s="445" t="str">
        <f t="shared" ca="1" si="15"/>
        <v/>
      </c>
      <c r="P46" s="446"/>
    </row>
    <row r="47" spans="2:17" ht="15.75">
      <c r="B47" s="434">
        <v>27</v>
      </c>
      <c r="C47" s="435" t="str">
        <f>IF(AND(B47=VFrequerido!$A67,VFrequerido!$C67=$E$15),VFrequerido!$B67,IF(AND(B47=VFrequerido!$A67,VFrequerido!$D67=$E$15),VFrequerido!$B67,IF(AND(B47=VFrequerido!$A67,VFrequerido!$E67=$E$15),VFrequerido!$B67,IF(AND(B47=VFrequerido!$A67,VFrequerido!$F67=$E$15),VFrequerido!$B67,IF(AND(B47=VFrequerido!$A67,VFrequerido!$G67=$E$15),VFrequerido!$B67,IF(AND(B47=VFrequerido!$A67,VFrequerido!$H67=$E$15),VFrequerido!$B67,IF(AND(B47=VFrequerido!$A67,VFrequerido!$I67=$E$15),VFrequerido!$B67,"")))))))</f>
        <v/>
      </c>
      <c r="D47" s="436" t="str">
        <f>IF(C47="","",LOOKUP(B47,EXPERIENCIA!$B$11:$B$50,EXPERIENCIA!$F$11:$F$50))</f>
        <v/>
      </c>
      <c r="E47" s="437" t="str">
        <f t="shared" ca="1" si="16"/>
        <v>DESCARTADO</v>
      </c>
      <c r="F47" s="438">
        <f t="shared" si="10"/>
        <v>27</v>
      </c>
      <c r="G47" s="439" t="str">
        <f t="shared" ca="1" si="11"/>
        <v/>
      </c>
      <c r="H47" s="440" t="str">
        <f t="shared" ca="1" si="12"/>
        <v/>
      </c>
      <c r="I47" s="441" t="str">
        <f t="shared" ca="1" si="17"/>
        <v>DESCARTADO</v>
      </c>
      <c r="J47" s="442" t="str">
        <f t="shared" ca="1" si="18"/>
        <v/>
      </c>
      <c r="K47" s="443" t="str">
        <f t="shared" ca="1" si="19"/>
        <v/>
      </c>
      <c r="L47" s="444" t="str">
        <f t="shared" ca="1" si="13"/>
        <v/>
      </c>
      <c r="M47" s="445" t="str">
        <f t="shared" ca="1" si="14"/>
        <v/>
      </c>
      <c r="N47" s="445" t="str">
        <f t="shared" ca="1" si="15"/>
        <v/>
      </c>
      <c r="P47" s="446"/>
    </row>
    <row r="48" spans="2:17" ht="15.75">
      <c r="B48" s="434">
        <v>28</v>
      </c>
      <c r="C48" s="435" t="str">
        <f>IF(AND(B48=VFrequerido!$A68,VFrequerido!$C68=$E$15),VFrequerido!$B68,IF(AND(B48=VFrequerido!$A68,VFrequerido!$D68=$E$15),VFrequerido!$B68,IF(AND(B48=VFrequerido!$A68,VFrequerido!$E68=$E$15),VFrequerido!$B68,IF(AND(B48=VFrequerido!$A68,VFrequerido!$F68=$E$15),VFrequerido!$B68,IF(AND(B48=VFrequerido!$A68,VFrequerido!$G68=$E$15),VFrequerido!$B68,IF(AND(B48=VFrequerido!$A68,VFrequerido!$H68=$E$15),VFrequerido!$B68,IF(AND(B48=VFrequerido!$A68,VFrequerido!$I68=$E$15),VFrequerido!$B68,"")))))))</f>
        <v/>
      </c>
      <c r="D48" s="436" t="str">
        <f>IF(C48="","",LOOKUP(B48,EXPERIENCIA!$B$11:$B$50,EXPERIENCIA!$F$11:$F$50))</f>
        <v/>
      </c>
      <c r="E48" s="437" t="str">
        <f t="shared" ca="1" si="16"/>
        <v>DESCARTADO</v>
      </c>
      <c r="F48" s="438">
        <f t="shared" si="10"/>
        <v>28</v>
      </c>
      <c r="G48" s="439" t="str">
        <f t="shared" ca="1" si="11"/>
        <v/>
      </c>
      <c r="H48" s="440" t="str">
        <f t="shared" ca="1" si="12"/>
        <v/>
      </c>
      <c r="I48" s="441" t="str">
        <f t="shared" ca="1" si="17"/>
        <v>DESCARTADO</v>
      </c>
      <c r="J48" s="442" t="str">
        <f t="shared" ca="1" si="18"/>
        <v/>
      </c>
      <c r="K48" s="443" t="str">
        <f t="shared" ca="1" si="19"/>
        <v/>
      </c>
      <c r="L48" s="444" t="str">
        <f t="shared" ca="1" si="13"/>
        <v/>
      </c>
      <c r="M48" s="445" t="str">
        <f t="shared" ca="1" si="14"/>
        <v/>
      </c>
      <c r="N48" s="445" t="str">
        <f t="shared" ca="1" si="15"/>
        <v/>
      </c>
      <c r="P48" s="446"/>
    </row>
    <row r="49" spans="2:16" ht="15.75">
      <c r="B49" s="434">
        <v>29</v>
      </c>
      <c r="C49" s="435" t="str">
        <f>IF(AND(B49=VFrequerido!$A69,VFrequerido!$C69=$E$15),VFrequerido!$B69,IF(AND(B49=VFrequerido!$A69,VFrequerido!$D69=$E$15),VFrequerido!$B69,IF(AND(B49=VFrequerido!$A69,VFrequerido!$E69=$E$15),VFrequerido!$B69,IF(AND(B49=VFrequerido!$A69,VFrequerido!$F69=$E$15),VFrequerido!$B69,IF(AND(B49=VFrequerido!$A69,VFrequerido!$G69=$E$15),VFrequerido!$B69,IF(AND(B49=VFrequerido!$A69,VFrequerido!$H69=$E$15),VFrequerido!$B69,IF(AND(B49=VFrequerido!$A69,VFrequerido!$I69=$E$15),VFrequerido!$B69,"")))))))</f>
        <v/>
      </c>
      <c r="D49" s="436" t="str">
        <f>IF(C49="","",LOOKUP(B49,EXPERIENCIA!$B$11:$B$50,EXPERIENCIA!$F$11:$F$50))</f>
        <v/>
      </c>
      <c r="E49" s="437" t="str">
        <f t="shared" ca="1" si="16"/>
        <v>DESCARTADO</v>
      </c>
      <c r="F49" s="438">
        <f t="shared" si="10"/>
        <v>29</v>
      </c>
      <c r="G49" s="439" t="str">
        <f t="shared" ca="1" si="11"/>
        <v/>
      </c>
      <c r="H49" s="440" t="str">
        <f t="shared" ca="1" si="12"/>
        <v/>
      </c>
      <c r="I49" s="441" t="str">
        <f t="shared" ca="1" si="17"/>
        <v>DESCARTADO</v>
      </c>
      <c r="J49" s="442" t="str">
        <f t="shared" ca="1" si="18"/>
        <v/>
      </c>
      <c r="K49" s="443" t="str">
        <f t="shared" ca="1" si="19"/>
        <v/>
      </c>
      <c r="L49" s="444" t="str">
        <f t="shared" ca="1" si="13"/>
        <v/>
      </c>
      <c r="M49" s="445" t="str">
        <f t="shared" ca="1" si="14"/>
        <v/>
      </c>
      <c r="N49" s="445" t="str">
        <f t="shared" ca="1" si="15"/>
        <v/>
      </c>
      <c r="P49" s="446"/>
    </row>
    <row r="50" spans="2:16" ht="15.75">
      <c r="B50" s="434">
        <v>30</v>
      </c>
      <c r="C50" s="435" t="str">
        <f>IF(AND(B50=VFrequerido!$A70,VFrequerido!$C70=$E$15),VFrequerido!$B70,IF(AND(B50=VFrequerido!$A70,VFrequerido!$D70=$E$15),VFrequerido!$B70,IF(AND(B50=VFrequerido!$A70,VFrequerido!$E70=$E$15),VFrequerido!$B70,IF(AND(B50=VFrequerido!$A70,VFrequerido!$F70=$E$15),VFrequerido!$B70,IF(AND(B50=VFrequerido!$A70,VFrequerido!$G70=$E$15),VFrequerido!$B70,IF(AND(B50=VFrequerido!$A70,VFrequerido!$H70=$E$15),VFrequerido!$B70,IF(AND(B50=VFrequerido!$A70,VFrequerido!$I70=$E$15),VFrequerido!$B70,"")))))))</f>
        <v/>
      </c>
      <c r="D50" s="436" t="str">
        <f>IF(C50="","",LOOKUP(B50,EXPERIENCIA!$B$11:$B$50,EXPERIENCIA!$F$11:$F$50))</f>
        <v/>
      </c>
      <c r="E50" s="437" t="str">
        <f t="shared" ca="1" si="16"/>
        <v>DESCARTADO</v>
      </c>
      <c r="F50" s="438">
        <f t="shared" si="10"/>
        <v>30</v>
      </c>
      <c r="G50" s="439" t="str">
        <f t="shared" ca="1" si="11"/>
        <v/>
      </c>
      <c r="H50" s="440" t="str">
        <f t="shared" ca="1" si="12"/>
        <v/>
      </c>
      <c r="I50" s="441" t="str">
        <f t="shared" ca="1" si="17"/>
        <v>DESCARTADO</v>
      </c>
      <c r="J50" s="442" t="str">
        <f t="shared" ca="1" si="18"/>
        <v/>
      </c>
      <c r="K50" s="443" t="str">
        <f t="shared" ca="1" si="19"/>
        <v/>
      </c>
      <c r="L50" s="444" t="str">
        <f t="shared" ca="1" si="13"/>
        <v/>
      </c>
      <c r="M50" s="445" t="str">
        <f t="shared" ca="1" si="14"/>
        <v/>
      </c>
      <c r="N50" s="445" t="str">
        <f t="shared" ca="1" si="15"/>
        <v/>
      </c>
      <c r="P50" s="446"/>
    </row>
    <row r="51" spans="2:16" ht="15.75">
      <c r="B51" s="434">
        <v>31</v>
      </c>
      <c r="C51" s="435" t="str">
        <f>IF(AND(B51=VFrequerido!$A71,VFrequerido!$C71=$E$15),VFrequerido!$B71,IF(AND(B51=VFrequerido!$A71,VFrequerido!$D71=$E$15),VFrequerido!$B71,IF(AND(B51=VFrequerido!$A71,VFrequerido!$E71=$E$15),VFrequerido!$B71,IF(AND(B51=VFrequerido!$A71,VFrequerido!$F71=$E$15),VFrequerido!$B71,IF(AND(B51=VFrequerido!$A71,VFrequerido!$G71=$E$15),VFrequerido!$B71,IF(AND(B51=VFrequerido!$A71,VFrequerido!$H71=$E$15),VFrequerido!$B71,IF(AND(B51=VFrequerido!$A71,VFrequerido!$I71=$E$15),VFrequerido!$B71,"")))))))</f>
        <v/>
      </c>
      <c r="D51" s="436" t="str">
        <f>IF(C51="","",LOOKUP(B51,EXPERIENCIA!$B$11:$B$50,EXPERIENCIA!$F$11:$F$50))</f>
        <v/>
      </c>
      <c r="E51" s="437" t="str">
        <f t="shared" ca="1" si="16"/>
        <v>DESCARTADO</v>
      </c>
      <c r="F51" s="438">
        <f t="shared" si="10"/>
        <v>31</v>
      </c>
      <c r="G51" s="439" t="str">
        <f t="shared" ca="1" si="11"/>
        <v/>
      </c>
      <c r="H51" s="440" t="str">
        <f t="shared" ca="1" si="12"/>
        <v/>
      </c>
      <c r="I51" s="441" t="str">
        <f t="shared" ca="1" si="17"/>
        <v>DESCARTADO</v>
      </c>
      <c r="J51" s="442" t="str">
        <f t="shared" ca="1" si="18"/>
        <v/>
      </c>
      <c r="K51" s="443" t="str">
        <f t="shared" ca="1" si="19"/>
        <v/>
      </c>
      <c r="L51" s="444" t="str">
        <f t="shared" ca="1" si="13"/>
        <v/>
      </c>
      <c r="M51" s="445" t="str">
        <f t="shared" ca="1" si="14"/>
        <v/>
      </c>
      <c r="N51" s="445" t="str">
        <f t="shared" ca="1" si="15"/>
        <v/>
      </c>
      <c r="P51" s="446"/>
    </row>
    <row r="52" spans="2:16" ht="15.75">
      <c r="B52" s="434">
        <v>32</v>
      </c>
      <c r="C52" s="435" t="str">
        <f>IF(AND(B52=VFrequerido!$A72,VFrequerido!$C72=$E$15),VFrequerido!$B72,IF(AND(B52=VFrequerido!$A72,VFrequerido!$D72=$E$15),VFrequerido!$B72,IF(AND(B52=VFrequerido!$A72,VFrequerido!$E72=$E$15),VFrequerido!$B72,IF(AND(B52=VFrequerido!$A72,VFrequerido!$F72=$E$15),VFrequerido!$B72,IF(AND(B52=VFrequerido!$A72,VFrequerido!$G72=$E$15),VFrequerido!$B72,IF(AND(B52=VFrequerido!$A72,VFrequerido!$H72=$E$15),VFrequerido!$B72,IF(AND(B52=VFrequerido!$A72,VFrequerido!$I72=$E$15),VFrequerido!$B72,"")))))))</f>
        <v/>
      </c>
      <c r="D52" s="436" t="str">
        <f>IF(C52="","",LOOKUP(B52,EXPERIENCIA!$B$11:$B$50,EXPERIENCIA!$F$11:$F$50))</f>
        <v/>
      </c>
      <c r="E52" s="437" t="str">
        <f t="shared" ca="1" si="16"/>
        <v>DESCARTADO</v>
      </c>
      <c r="F52" s="438">
        <f t="shared" si="10"/>
        <v>32</v>
      </c>
      <c r="G52" s="439" t="str">
        <f t="shared" ca="1" si="11"/>
        <v/>
      </c>
      <c r="H52" s="440" t="str">
        <f t="shared" ca="1" si="12"/>
        <v/>
      </c>
      <c r="I52" s="441" t="str">
        <f t="shared" ca="1" si="17"/>
        <v>DESCARTADO</v>
      </c>
      <c r="J52" s="442" t="str">
        <f t="shared" ca="1" si="18"/>
        <v/>
      </c>
      <c r="K52" s="443" t="str">
        <f t="shared" ca="1" si="19"/>
        <v/>
      </c>
      <c r="L52" s="444" t="str">
        <f t="shared" ca="1" si="13"/>
        <v/>
      </c>
      <c r="M52" s="445" t="str">
        <f t="shared" ca="1" si="14"/>
        <v/>
      </c>
      <c r="N52" s="445" t="str">
        <f t="shared" ca="1" si="15"/>
        <v/>
      </c>
      <c r="P52" s="446"/>
    </row>
    <row r="53" spans="2:16" ht="15.75">
      <c r="B53" s="434">
        <v>33</v>
      </c>
      <c r="C53" s="435" t="str">
        <f>IF(AND(B53=VFrequerido!$A73,VFrequerido!$C73=$E$15),VFrequerido!$B73,IF(AND(B53=VFrequerido!$A73,VFrequerido!$D73=$E$15),VFrequerido!$B73,IF(AND(B53=VFrequerido!$A73,VFrequerido!$E73=$E$15),VFrequerido!$B73,IF(AND(B53=VFrequerido!$A73,VFrequerido!$F73=$E$15),VFrequerido!$B73,IF(AND(B53=VFrequerido!$A73,VFrequerido!$G73=$E$15),VFrequerido!$B73,IF(AND(B53=VFrequerido!$A73,VFrequerido!$H73=$E$15),VFrequerido!$B73,IF(AND(B53=VFrequerido!$A73,VFrequerido!$I73=$E$15),VFrequerido!$B73,"")))))))</f>
        <v/>
      </c>
      <c r="D53" s="436"/>
      <c r="E53" s="437" t="str">
        <f t="shared" ca="1" si="16"/>
        <v>DESCARTADO</v>
      </c>
      <c r="F53" s="438">
        <f t="shared" si="10"/>
        <v>33</v>
      </c>
      <c r="G53" s="439" t="str">
        <f t="shared" ca="1" si="11"/>
        <v/>
      </c>
      <c r="H53" s="440" t="str">
        <f t="shared" ca="1" si="12"/>
        <v/>
      </c>
      <c r="I53" s="441" t="str">
        <f t="shared" ca="1" si="17"/>
        <v>DESCARTADO</v>
      </c>
      <c r="J53" s="442" t="str">
        <f t="shared" ca="1" si="18"/>
        <v/>
      </c>
      <c r="K53" s="443" t="str">
        <f t="shared" ca="1" si="19"/>
        <v/>
      </c>
      <c r="L53" s="444" t="str">
        <f t="shared" ca="1" si="13"/>
        <v/>
      </c>
      <c r="M53" s="445" t="str">
        <f t="shared" ca="1" si="14"/>
        <v/>
      </c>
      <c r="N53" s="445" t="str">
        <f t="shared" ca="1" si="15"/>
        <v/>
      </c>
    </row>
    <row r="54" spans="2:16" ht="15.75">
      <c r="B54" s="434">
        <v>34</v>
      </c>
      <c r="C54" s="435" t="str">
        <f>IF(AND(B54=VFrequerido!$A74,VFrequerido!$C74=$E$15),VFrequerido!$B74,IF(AND(B54=VFrequerido!$A74,VFrequerido!$D74=$E$15),VFrequerido!$B74,IF(AND(B54=VFrequerido!$A74,VFrequerido!$E74=$E$15),VFrequerido!$B74,IF(AND(B54=VFrequerido!$A74,VFrequerido!$F74=$E$15),VFrequerido!$B74,IF(AND(B54=VFrequerido!$A74,VFrequerido!$G74=$E$15),VFrequerido!$B74,IF(AND(B54=VFrequerido!$A74,VFrequerido!$H74=$E$15),VFrequerido!$B74,IF(AND(B54=VFrequerido!$A74,VFrequerido!$I74=$E$15),VFrequerido!$B74,"")))))))</f>
        <v/>
      </c>
      <c r="D54" s="436">
        <f ca="1">LOOKUP(B54,VFrequerido!$A$15:$A$51,VFrequerido!$Y$15:$Y$51)</f>
        <v>537.11</v>
      </c>
      <c r="E54" s="437" t="str">
        <f t="shared" ca="1" si="16"/>
        <v>ADMISIBLE</v>
      </c>
      <c r="F54" s="438">
        <f t="shared" si="10"/>
        <v>34</v>
      </c>
      <c r="G54" s="439" t="str">
        <f t="shared" ca="1" si="11"/>
        <v/>
      </c>
      <c r="H54" s="440" t="str">
        <f t="shared" ca="1" si="12"/>
        <v/>
      </c>
      <c r="I54" s="441" t="str">
        <f t="shared" ca="1" si="17"/>
        <v>DESCARTADO</v>
      </c>
      <c r="J54" s="442" t="str">
        <f t="shared" ca="1" si="18"/>
        <v/>
      </c>
      <c r="K54" s="443" t="str">
        <f t="shared" ca="1" si="19"/>
        <v/>
      </c>
      <c r="L54" s="444" t="str">
        <f t="shared" ca="1" si="13"/>
        <v/>
      </c>
      <c r="M54" s="445" t="str">
        <f t="shared" ca="1" si="14"/>
        <v/>
      </c>
      <c r="N54" s="445" t="str">
        <f t="shared" ca="1" si="15"/>
        <v/>
      </c>
    </row>
    <row r="55" spans="2:16" ht="15.75">
      <c r="B55" s="434">
        <v>35</v>
      </c>
      <c r="C55" s="435" t="str">
        <f>IF(AND(B55=VFrequerido!$A75,VFrequerido!$C75=$E$15),VFrequerido!$B75,IF(AND(B55=VFrequerido!$A75,VFrequerido!$D75=$E$15),VFrequerido!$B75,IF(AND(B55=VFrequerido!$A75,VFrequerido!$E75=$E$15),VFrequerido!$B75,IF(AND(B55=VFrequerido!$A75,VFrequerido!$F75=$E$15),VFrequerido!$B75,IF(AND(B55=VFrequerido!$A75,VFrequerido!$G75=$E$15),VFrequerido!$B75,IF(AND(B55=VFrequerido!$A75,VFrequerido!$H75=$E$15),VFrequerido!$B75,IF(AND(B55=VFrequerido!$A75,VFrequerido!$I75=$E$15),VFrequerido!$B75,"")))))))</f>
        <v/>
      </c>
      <c r="D55" s="436">
        <f ca="1">LOOKUP(B55,VFrequerido!$A$15:$A$51,VFrequerido!$Y$15:$Y$51)</f>
        <v>537.11</v>
      </c>
      <c r="E55" s="437" t="str">
        <f t="shared" ca="1" si="16"/>
        <v>ADMISIBLE</v>
      </c>
      <c r="F55" s="438">
        <f t="shared" si="10"/>
        <v>35</v>
      </c>
      <c r="G55" s="439" t="str">
        <f t="shared" ca="1" si="11"/>
        <v/>
      </c>
      <c r="H55" s="440" t="str">
        <f t="shared" ca="1" si="12"/>
        <v/>
      </c>
      <c r="I55" s="441" t="str">
        <f t="shared" ca="1" si="17"/>
        <v>DESCARTADO</v>
      </c>
      <c r="J55" s="442" t="str">
        <f t="shared" ca="1" si="18"/>
        <v/>
      </c>
      <c r="K55" s="443" t="str">
        <f t="shared" ca="1" si="19"/>
        <v/>
      </c>
      <c r="L55" s="444" t="str">
        <f t="shared" ca="1" si="13"/>
        <v/>
      </c>
      <c r="M55" s="445" t="str">
        <f t="shared" ca="1" si="14"/>
        <v/>
      </c>
      <c r="N55" s="445" t="str">
        <f t="shared" ca="1" si="15"/>
        <v/>
      </c>
    </row>
    <row r="56" spans="2:16" ht="15.75">
      <c r="B56" s="434">
        <v>36</v>
      </c>
      <c r="C56" s="435" t="str">
        <f>IF(AND(B56=VFrequerido!$A76,VFrequerido!$C76=$E$15),VFrequerido!$B76,IF(AND(B56=VFrequerido!$A76,VFrequerido!$D76=$E$15),VFrequerido!$B76,IF(AND(B56=VFrequerido!$A76,VFrequerido!$E76=$E$15),VFrequerido!$B76,IF(AND(B56=VFrequerido!$A76,VFrequerido!$F76=$E$15),VFrequerido!$B76,IF(AND(B56=VFrequerido!$A76,VFrequerido!$G76=$E$15),VFrequerido!$B76,IF(AND(B56=VFrequerido!$A76,VFrequerido!$H76=$E$15),VFrequerido!$B76,IF(AND(B56=VFrequerido!$A76,VFrequerido!$I76=$E$15),VFrequerido!$B76,"")))))))</f>
        <v/>
      </c>
      <c r="D56" s="436">
        <f ca="1">LOOKUP(B56,VFrequerido!$A$15:$A$51,VFrequerido!$Y$15:$Y$51)</f>
        <v>537.11</v>
      </c>
      <c r="E56" s="437" t="str">
        <f t="shared" ca="1" si="16"/>
        <v>ADMISIBLE</v>
      </c>
      <c r="F56" s="438">
        <f t="shared" si="10"/>
        <v>36</v>
      </c>
      <c r="G56" s="439" t="str">
        <f t="shared" ca="1" si="11"/>
        <v/>
      </c>
      <c r="H56" s="440" t="str">
        <f t="shared" ca="1" si="12"/>
        <v/>
      </c>
      <c r="I56" s="441" t="str">
        <f t="shared" ca="1" si="17"/>
        <v>DESCARTADO</v>
      </c>
      <c r="J56" s="442" t="str">
        <f t="shared" ca="1" si="18"/>
        <v/>
      </c>
      <c r="K56" s="443" t="str">
        <f t="shared" ca="1" si="19"/>
        <v/>
      </c>
      <c r="L56" s="444" t="str">
        <f t="shared" ca="1" si="13"/>
        <v/>
      </c>
      <c r="M56" s="445" t="str">
        <f t="shared" ca="1" si="14"/>
        <v/>
      </c>
      <c r="N56" s="445" t="str">
        <f t="shared" ca="1" si="15"/>
        <v/>
      </c>
    </row>
    <row r="57" spans="2:16" ht="15.75">
      <c r="B57" s="434">
        <v>37</v>
      </c>
      <c r="C57" s="435" t="str">
        <f>IF(AND(B57=VFrequerido!$A77,VFrequerido!$C77=$E$15),VFrequerido!$B77,IF(AND(B57=VFrequerido!$A77,VFrequerido!$D77=$E$15),VFrequerido!$B77,IF(AND(B57=VFrequerido!$A77,VFrequerido!$E77=$E$15),VFrequerido!$B77,IF(AND(B57=VFrequerido!$A77,VFrequerido!$F77=$E$15),VFrequerido!$B77,IF(AND(B57=VFrequerido!$A77,VFrequerido!$G77=$E$15),VFrequerido!$B77,IF(AND(B57=VFrequerido!$A77,VFrequerido!$H77=$E$15),VFrequerido!$B77,IF(AND(B57=VFrequerido!$A77,VFrequerido!$I77=$E$15),VFrequerido!$B77,"")))))))</f>
        <v/>
      </c>
      <c r="D57" s="436">
        <f>LOOKUP(B57,VFrequerido!$A$15:$A$51,VFrequerido!$Y$15:$Y$51)</f>
        <v>0</v>
      </c>
      <c r="E57" s="437" t="str">
        <f t="shared" ca="1" si="16"/>
        <v>DESCARTADO</v>
      </c>
      <c r="F57" s="438">
        <f t="shared" si="10"/>
        <v>37</v>
      </c>
      <c r="G57" s="439" t="str">
        <f t="shared" ca="1" si="11"/>
        <v/>
      </c>
      <c r="H57" s="440" t="str">
        <f t="shared" ca="1" si="12"/>
        <v/>
      </c>
      <c r="I57" s="441" t="str">
        <f t="shared" ca="1" si="17"/>
        <v>DESCARTADO</v>
      </c>
      <c r="J57" s="442" t="str">
        <f t="shared" ca="1" si="18"/>
        <v/>
      </c>
      <c r="K57" s="443" t="str">
        <f t="shared" ca="1" si="19"/>
        <v/>
      </c>
      <c r="L57" s="444" t="str">
        <f t="shared" ca="1" si="13"/>
        <v/>
      </c>
      <c r="M57" s="445" t="str">
        <f t="shared" ca="1" si="14"/>
        <v/>
      </c>
      <c r="N57" s="445" t="str">
        <f t="shared" ca="1" si="15"/>
        <v/>
      </c>
      <c r="P57" s="386" t="b">
        <f ca="1">ISERROR(H61)</f>
        <v>0</v>
      </c>
    </row>
    <row r="58" spans="2:16" ht="15.75">
      <c r="B58" s="434">
        <v>38</v>
      </c>
      <c r="C58" s="435" t="str">
        <f>IF(AND(B58=VFrequerido!$A78,VFrequerido!$C78=$E$15),VFrequerido!$B78,IF(AND(B58=VFrequerido!$A78,VFrequerido!$D78=$E$15),VFrequerido!$B78,IF(AND(B58=VFrequerido!$A78,VFrequerido!$E78=$E$15),VFrequerido!$B78,IF(AND(B58=VFrequerido!$A78,VFrequerido!$F78=$E$15),VFrequerido!$B78,IF(AND(B58=VFrequerido!$A78,VFrequerido!$G78=$E$15),VFrequerido!$B78,IF(AND(B58=VFrequerido!$A78,VFrequerido!$H78=$E$15),VFrequerido!$B78,IF(AND(B58=VFrequerido!$A78,VFrequerido!$I78=$E$15),VFrequerido!$B78,"")))))))</f>
        <v/>
      </c>
      <c r="D58" s="436">
        <f>LOOKUP(B58,VFrequerido!$A$15:$A$51,VFrequerido!$Y$15:$Y$51)</f>
        <v>0</v>
      </c>
      <c r="E58" s="437" t="str">
        <f t="shared" ca="1" si="16"/>
        <v>DESCARTADO</v>
      </c>
      <c r="F58" s="438">
        <f t="shared" si="10"/>
        <v>38</v>
      </c>
      <c r="G58" s="439" t="str">
        <f t="shared" ca="1" si="11"/>
        <v/>
      </c>
      <c r="H58" s="440" t="str">
        <f t="shared" ca="1" si="12"/>
        <v/>
      </c>
      <c r="I58" s="441" t="str">
        <f t="shared" ca="1" si="17"/>
        <v>DESCARTADO</v>
      </c>
      <c r="J58" s="442" t="str">
        <f t="shared" ca="1" si="18"/>
        <v/>
      </c>
      <c r="K58" s="443" t="str">
        <f t="shared" ca="1" si="19"/>
        <v/>
      </c>
      <c r="L58" s="444" t="str">
        <f t="shared" ca="1" si="13"/>
        <v/>
      </c>
      <c r="M58" s="445" t="str">
        <f t="shared" ca="1" si="14"/>
        <v/>
      </c>
      <c r="N58" s="445" t="str">
        <f t="shared" ca="1" si="15"/>
        <v/>
      </c>
    </row>
    <row r="59" spans="2:16" ht="15.75">
      <c r="B59" s="434">
        <v>39</v>
      </c>
      <c r="C59" s="435" t="str">
        <f>IF(AND(B59=VFrequerido!$A79,VFrequerido!$C79=$E$15),VFrequerido!$B79,IF(AND(B59=VFrequerido!$A79,VFrequerido!$D79=$E$15),VFrequerido!$B79,IF(AND(B59=VFrequerido!$A79,VFrequerido!$E79=$E$15),VFrequerido!$B79,IF(AND(B59=VFrequerido!$A79,VFrequerido!$F79=$E$15),VFrequerido!$B79,IF(AND(B59=VFrequerido!$A79,VFrequerido!$G79=$E$15),VFrequerido!$B79,IF(AND(B59=VFrequerido!$A79,VFrequerido!$H79=$E$15),VFrequerido!$B79,IF(AND(B59=VFrequerido!$A79,VFrequerido!$I79=$E$15),VFrequerido!$B79,"")))))))</f>
        <v/>
      </c>
      <c r="D59" s="436">
        <f>LOOKUP(B59,VFrequerido!$A$15:$A$51,VFrequerido!$Y$15:$Y$51)</f>
        <v>0</v>
      </c>
      <c r="E59" s="437" t="str">
        <f t="shared" ca="1" si="16"/>
        <v>DESCARTADO</v>
      </c>
      <c r="F59" s="438">
        <f t="shared" si="10"/>
        <v>39</v>
      </c>
      <c r="G59" s="439" t="str">
        <f t="shared" ca="1" si="11"/>
        <v/>
      </c>
      <c r="H59" s="440" t="str">
        <f t="shared" ca="1" si="12"/>
        <v/>
      </c>
      <c r="I59" s="441" t="str">
        <f t="shared" ca="1" si="17"/>
        <v>DESCARTADO</v>
      </c>
      <c r="J59" s="442" t="str">
        <f t="shared" ca="1" si="18"/>
        <v/>
      </c>
      <c r="K59" s="443" t="str">
        <f t="shared" ca="1" si="19"/>
        <v/>
      </c>
      <c r="L59" s="444" t="str">
        <f t="shared" ca="1" si="13"/>
        <v/>
      </c>
      <c r="M59" s="445" t="str">
        <f t="shared" ca="1" si="14"/>
        <v/>
      </c>
      <c r="N59" s="445" t="str">
        <f t="shared" ca="1" si="15"/>
        <v/>
      </c>
    </row>
    <row r="60" spans="2:16" ht="15.75">
      <c r="B60" s="434">
        <v>40</v>
      </c>
      <c r="C60" s="435" t="str">
        <f>IF(AND(B60=VFrequerido!$A80,VFrequerido!$C80=$E$15),VFrequerido!$B80,IF(AND(B60=VFrequerido!$A80,VFrequerido!$D80=$E$15),VFrequerido!$B80,IF(AND(B60=VFrequerido!$A80,VFrequerido!$E80=$E$15),VFrequerido!$B80,IF(AND(B60=VFrequerido!$A80,VFrequerido!$F80=$E$15),VFrequerido!$B80,IF(AND(B60=VFrequerido!$A80,VFrequerido!$G80=$E$15),VFrequerido!$B80,IF(AND(B60=VFrequerido!$A80,VFrequerido!$H80=$E$15),VFrequerido!$B80,IF(AND(B60=VFrequerido!$A80,VFrequerido!$I80=$E$15),VFrequerido!$B80,"")))))))</f>
        <v/>
      </c>
      <c r="D60" s="436">
        <f>LOOKUP(B60,VFrequerido!$A$15:$A$51,VFrequerido!$Y$15:$Y$51)</f>
        <v>0</v>
      </c>
      <c r="E60" s="437" t="str">
        <f t="shared" ca="1" si="16"/>
        <v>DESCARTADO</v>
      </c>
      <c r="F60" s="438">
        <f t="shared" si="10"/>
        <v>40</v>
      </c>
      <c r="G60" s="439" t="str">
        <f t="shared" ca="1" si="11"/>
        <v/>
      </c>
      <c r="H60" s="440" t="str">
        <f t="shared" ca="1" si="12"/>
        <v/>
      </c>
      <c r="I60" s="441" t="str">
        <f t="shared" ca="1" si="17"/>
        <v>DESCARTADO</v>
      </c>
      <c r="J60" s="442" t="str">
        <f t="shared" ca="1" si="18"/>
        <v/>
      </c>
      <c r="K60" s="443" t="str">
        <f t="shared" ca="1" si="19"/>
        <v/>
      </c>
      <c r="L60" s="444" t="str">
        <f t="shared" ca="1" si="13"/>
        <v/>
      </c>
      <c r="M60" s="445" t="str">
        <f t="shared" ca="1" si="14"/>
        <v/>
      </c>
      <c r="N60" s="445" t="str">
        <f t="shared" ca="1" si="15"/>
        <v/>
      </c>
    </row>
    <row r="61" spans="2:16">
      <c r="B61" s="449"/>
      <c r="C61" s="450"/>
      <c r="D61" s="451"/>
      <c r="E61" s="452"/>
      <c r="F61" s="415"/>
      <c r="G61" s="416"/>
      <c r="H61" s="453" t="b">
        <f ca="1">ISERROR(MIN(H21:H40))</f>
        <v>0</v>
      </c>
      <c r="I61" s="418" t="e">
        <f ca="1">LOOKUP(J61,J21:J40,H21:H40)</f>
        <v>#N/A</v>
      </c>
      <c r="J61" s="442">
        <f ca="1">MIN(J21:J40)</f>
        <v>0</v>
      </c>
      <c r="K61" s="419" t="e">
        <f ca="1">IF(OR(I61="DESCARTADO",I61=""),"",IF(H61&gt;$H$67,"DESCARTADO",IF(J61=$J$61,$K$17,IF(H61=$H$61,0,((($K$17*(H61-$H$61)/(#REF!-$H$61))))))))</f>
        <v>#N/A</v>
      </c>
      <c r="L61" s="454" t="e">
        <f t="shared" ca="1" si="3"/>
        <v>#N/A</v>
      </c>
      <c r="M61" s="455" t="e">
        <f t="shared" ca="1" si="4"/>
        <v>#N/A</v>
      </c>
      <c r="N61" s="456" t="e">
        <f t="shared" ca="1" si="5"/>
        <v>#N/A</v>
      </c>
    </row>
    <row r="62" spans="2:16" ht="13.5" thickBot="1">
      <c r="B62" s="457"/>
      <c r="C62" s="458"/>
      <c r="D62" s="459"/>
      <c r="E62" s="460"/>
      <c r="F62" s="461"/>
      <c r="G62" s="462"/>
      <c r="H62" s="463">
        <f ca="1">MAX(H21:H40)</f>
        <v>0</v>
      </c>
      <c r="I62" s="464">
        <f ca="1">MIN(J21:J32)</f>
        <v>0</v>
      </c>
      <c r="J62" s="442"/>
      <c r="K62" s="419"/>
      <c r="L62" s="465"/>
      <c r="M62" s="455"/>
      <c r="N62" s="456"/>
    </row>
    <row r="63" spans="2:16" ht="19.5" thickBot="1">
      <c r="B63" s="791" t="s">
        <v>93</v>
      </c>
      <c r="C63" s="791"/>
      <c r="D63" s="466">
        <f ca="1">AVERAGE(D21:D60)</f>
        <v>383.65</v>
      </c>
      <c r="E63" s="467"/>
      <c r="F63" s="791" t="s">
        <v>94</v>
      </c>
      <c r="G63" s="791"/>
      <c r="H63" s="468" t="e">
        <f ca="1">AVERAGE(H21:H60)</f>
        <v>#DIV/0!</v>
      </c>
      <c r="I63" s="469"/>
      <c r="J63" s="419"/>
      <c r="K63" s="419"/>
      <c r="L63" s="465"/>
      <c r="M63" s="455"/>
      <c r="N63" s="456"/>
      <c r="P63" s="431"/>
    </row>
    <row r="64" spans="2:16" ht="19.5" thickBot="1">
      <c r="B64" s="791" t="s">
        <v>95</v>
      </c>
      <c r="C64" s="791"/>
      <c r="D64" s="466">
        <f ca="1">MEDIAN(D21:D60)</f>
        <v>537.11</v>
      </c>
      <c r="E64" s="467"/>
      <c r="F64" s="791" t="s">
        <v>96</v>
      </c>
      <c r="G64" s="791"/>
      <c r="H64" s="468" t="e">
        <f ca="1">MEDIAN(H21:H60)</f>
        <v>#NUM!</v>
      </c>
      <c r="I64" s="470" t="s">
        <v>103</v>
      </c>
      <c r="J64" s="471"/>
      <c r="K64" s="419"/>
      <c r="L64" s="465"/>
      <c r="M64" s="455"/>
      <c r="N64" s="456"/>
    </row>
    <row r="65" spans="2:16" ht="19.5" thickBot="1">
      <c r="B65" s="791" t="s">
        <v>101</v>
      </c>
      <c r="C65" s="791"/>
      <c r="D65" s="466">
        <f ca="1">AVERAGE(D63:D64)</f>
        <v>460.38</v>
      </c>
      <c r="E65" s="472"/>
      <c r="F65" s="791" t="s">
        <v>100</v>
      </c>
      <c r="G65" s="791"/>
      <c r="H65" s="468" t="e">
        <f ca="1">AVERAGE(H63:H64)</f>
        <v>#DIV/0!</v>
      </c>
      <c r="I65" s="473" t="e">
        <f ca="1">H65/D19</f>
        <v>#DIV/0!</v>
      </c>
      <c r="J65" s="474"/>
      <c r="K65" s="419"/>
      <c r="L65" s="465"/>
      <c r="M65" s="455"/>
      <c r="N65" s="456"/>
    </row>
    <row r="66" spans="2:16" ht="19.5" thickBot="1">
      <c r="B66" s="791" t="s">
        <v>97</v>
      </c>
      <c r="C66" s="791"/>
      <c r="D66" s="466">
        <f ca="1">STDEV(D21:D60)</f>
        <v>251.8</v>
      </c>
      <c r="E66" s="467"/>
      <c r="F66" s="791" t="s">
        <v>98</v>
      </c>
      <c r="G66" s="791"/>
      <c r="H66" s="468" t="e">
        <f ca="1">STDEV(H21:H60)</f>
        <v>#DIV/0!</v>
      </c>
      <c r="I66" s="469"/>
      <c r="J66" s="419"/>
      <c r="K66" s="419"/>
      <c r="L66" s="465"/>
      <c r="M66" s="455"/>
      <c r="N66" s="456"/>
    </row>
    <row r="67" spans="2:16" ht="19.5" thickBot="1">
      <c r="B67" s="791" t="s">
        <v>134</v>
      </c>
      <c r="C67" s="791"/>
      <c r="D67" s="475">
        <f ca="1">D65+D66</f>
        <v>712.18</v>
      </c>
      <c r="E67" s="467"/>
      <c r="F67" s="792" t="s">
        <v>135</v>
      </c>
      <c r="G67" s="792"/>
      <c r="H67" s="468" t="e">
        <f ca="1">1.1*H65</f>
        <v>#DIV/0!</v>
      </c>
      <c r="I67" s="469"/>
      <c r="J67" s="419"/>
      <c r="K67" s="419"/>
      <c r="L67" s="465"/>
      <c r="M67" s="455"/>
      <c r="N67" s="456"/>
    </row>
    <row r="68" spans="2:16" ht="20.25" customHeight="1" thickBot="1">
      <c r="B68" s="791" t="s">
        <v>104</v>
      </c>
      <c r="C68" s="791"/>
      <c r="D68" s="475">
        <f ca="1">0.9*D65</f>
        <v>414.34</v>
      </c>
      <c r="E68" s="467"/>
      <c r="F68" s="791" t="s">
        <v>136</v>
      </c>
      <c r="G68" s="791"/>
      <c r="H68" s="468" t="e">
        <f ca="1">H65-(0.8*H66)</f>
        <v>#DIV/0!</v>
      </c>
      <c r="I68" s="476" t="e">
        <f ca="1">AVERAGE(H67:H68)</f>
        <v>#DIV/0!</v>
      </c>
      <c r="J68" s="419"/>
      <c r="K68" s="419"/>
      <c r="L68" s="465"/>
      <c r="M68" s="455"/>
      <c r="N68" s="456"/>
      <c r="P68" s="431"/>
    </row>
    <row r="69" spans="2:16" ht="20.100000000000001" customHeight="1" thickBot="1">
      <c r="B69" s="477"/>
      <c r="C69" s="477"/>
      <c r="D69" s="478"/>
      <c r="F69" s="479"/>
      <c r="G69" s="484" t="s">
        <v>137</v>
      </c>
      <c r="H69" s="485" t="e">
        <f ca="1">AVERAGE(H67:H68)</f>
        <v>#DIV/0!</v>
      </c>
      <c r="I69" s="479"/>
      <c r="J69" s="479"/>
      <c r="K69" s="479"/>
    </row>
    <row r="70" spans="2:16">
      <c r="H70" s="480"/>
    </row>
    <row r="71" spans="2:16">
      <c r="D71" s="481"/>
      <c r="F71" s="480"/>
      <c r="H71" s="480"/>
    </row>
    <row r="72" spans="2:16">
      <c r="C72" s="482"/>
      <c r="E72" s="482"/>
    </row>
    <row r="73" spans="2:16">
      <c r="C73" s="482"/>
      <c r="D73" s="482"/>
    </row>
    <row r="74" spans="2:16">
      <c r="C74" s="482"/>
      <c r="D74" s="481"/>
      <c r="E74" s="483"/>
    </row>
    <row r="75" spans="2:16">
      <c r="C75" s="482"/>
      <c r="D75" s="482"/>
    </row>
    <row r="76" spans="2:16">
      <c r="C76" s="482"/>
    </row>
    <row r="77" spans="2:16">
      <c r="C77" s="482"/>
      <c r="D77" s="482"/>
    </row>
  </sheetData>
  <sheetProtection selectLockedCells="1"/>
  <sortState ref="D69:D76">
    <sortCondition ref="D68"/>
  </sortState>
  <mergeCells count="26">
    <mergeCell ref="B67:C67"/>
    <mergeCell ref="F67:G67"/>
    <mergeCell ref="B68:C68"/>
    <mergeCell ref="F68:G68"/>
    <mergeCell ref="B64:C64"/>
    <mergeCell ref="F64:G64"/>
    <mergeCell ref="B65:C65"/>
    <mergeCell ref="F65:G65"/>
    <mergeCell ref="B66:C66"/>
    <mergeCell ref="F66:G66"/>
    <mergeCell ref="L15:L17"/>
    <mergeCell ref="M15:M17"/>
    <mergeCell ref="N15:N17"/>
    <mergeCell ref="B63:C63"/>
    <mergeCell ref="F63:G63"/>
    <mergeCell ref="B11:K11"/>
    <mergeCell ref="B13:E13"/>
    <mergeCell ref="F13:K13"/>
    <mergeCell ref="B15:B16"/>
    <mergeCell ref="C15:C16"/>
    <mergeCell ref="D15:D16"/>
    <mergeCell ref="F15:F16"/>
    <mergeCell ref="G15:G16"/>
    <mergeCell ref="H15:H16"/>
    <mergeCell ref="I15:I16"/>
    <mergeCell ref="K15:K16"/>
  </mergeCells>
  <conditionalFormatting sqref="D61">
    <cfRule type="cellIs" dxfId="189" priority="966" stopIfTrue="1" operator="equal">
      <formula>"NO VÁLIDA"</formula>
    </cfRule>
  </conditionalFormatting>
  <conditionalFormatting sqref="E21:E40">
    <cfRule type="cellIs" dxfId="188" priority="972" stopIfTrue="1" operator="equal">
      <formula>"DESCARTADO"</formula>
    </cfRule>
    <cfRule type="cellIs" dxfId="187" priority="973" stopIfTrue="1" operator="equal">
      <formula>"ADMISIBLE"</formula>
    </cfRule>
  </conditionalFormatting>
  <conditionalFormatting sqref="K39:K40">
    <cfRule type="expression" dxfId="186" priority="964" stopIfTrue="1">
      <formula>$K$21=800</formula>
    </cfRule>
  </conditionalFormatting>
  <conditionalFormatting sqref="G40:H40">
    <cfRule type="expression" dxfId="185" priority="933" stopIfTrue="1">
      <formula>#REF!=800</formula>
    </cfRule>
  </conditionalFormatting>
  <conditionalFormatting sqref="G39:H39">
    <cfRule type="expression" dxfId="184" priority="925" stopIfTrue="1">
      <formula>#REF!=800</formula>
    </cfRule>
  </conditionalFormatting>
  <conditionalFormatting sqref="G38:H38">
    <cfRule type="expression" dxfId="183" priority="909" stopIfTrue="1">
      <formula>#REF!=800</formula>
    </cfRule>
  </conditionalFormatting>
  <conditionalFormatting sqref="G37:H37">
    <cfRule type="expression" dxfId="182" priority="901" stopIfTrue="1">
      <formula>#REF!=800</formula>
    </cfRule>
  </conditionalFormatting>
  <conditionalFormatting sqref="G36:H36">
    <cfRule type="expression" dxfId="181" priority="893" stopIfTrue="1">
      <formula>#REF!=800</formula>
    </cfRule>
  </conditionalFormatting>
  <conditionalFormatting sqref="G35:H35">
    <cfRule type="expression" dxfId="180" priority="885" stopIfTrue="1">
      <formula>#REF!=800</formula>
    </cfRule>
  </conditionalFormatting>
  <conditionalFormatting sqref="G25:H25">
    <cfRule type="expression" dxfId="179" priority="877" stopIfTrue="1">
      <formula>#REF!=800</formula>
    </cfRule>
  </conditionalFormatting>
  <conditionalFormatting sqref="G28:H28">
    <cfRule type="expression" dxfId="178" priority="853" stopIfTrue="1">
      <formula>#REF!=800</formula>
    </cfRule>
  </conditionalFormatting>
  <conditionalFormatting sqref="G27:H27">
    <cfRule type="expression" dxfId="177" priority="845" stopIfTrue="1">
      <formula>#REF!=800</formula>
    </cfRule>
  </conditionalFormatting>
  <conditionalFormatting sqref="G26:H26">
    <cfRule type="expression" dxfId="176" priority="837" stopIfTrue="1">
      <formula>#REF!=800</formula>
    </cfRule>
  </conditionalFormatting>
  <conditionalFormatting sqref="G31:H31">
    <cfRule type="expression" dxfId="175" priority="829" stopIfTrue="1">
      <formula>#REF!=800</formula>
    </cfRule>
  </conditionalFormatting>
  <conditionalFormatting sqref="G30:H30">
    <cfRule type="expression" dxfId="174" priority="821" stopIfTrue="1">
      <formula>#REF!=800</formula>
    </cfRule>
  </conditionalFormatting>
  <conditionalFormatting sqref="G29:H29">
    <cfRule type="expression" dxfId="173" priority="813" stopIfTrue="1">
      <formula>#REF!=800</formula>
    </cfRule>
  </conditionalFormatting>
  <conditionalFormatting sqref="G34:H34">
    <cfRule type="expression" dxfId="172" priority="805" stopIfTrue="1">
      <formula>#REF!=800</formula>
    </cfRule>
  </conditionalFormatting>
  <conditionalFormatting sqref="G33:H33">
    <cfRule type="expression" dxfId="171" priority="797" stopIfTrue="1">
      <formula>#REF!=800</formula>
    </cfRule>
  </conditionalFormatting>
  <conditionalFormatting sqref="G32:H32">
    <cfRule type="expression" dxfId="170" priority="789" stopIfTrue="1">
      <formula>#REF!=800</formula>
    </cfRule>
  </conditionalFormatting>
  <conditionalFormatting sqref="I21:I40">
    <cfRule type="cellIs" dxfId="169" priority="27" operator="equal">
      <formula>"DESCARTADO"</formula>
    </cfRule>
  </conditionalFormatting>
  <conditionalFormatting sqref="H67:H68">
    <cfRule type="cellIs" dxfId="168" priority="974" stopIfTrue="1" operator="equal">
      <formula>#REF!</formula>
    </cfRule>
  </conditionalFormatting>
  <conditionalFormatting sqref="D21:D40">
    <cfRule type="cellIs" dxfId="167" priority="975" stopIfTrue="1" operator="notBetween">
      <formula>$D$68</formula>
      <formula>$D$67</formula>
    </cfRule>
    <cfRule type="cellIs" dxfId="166" priority="976" stopIfTrue="1" operator="greaterThan">
      <formula>#REF!</formula>
    </cfRule>
  </conditionalFormatting>
  <conditionalFormatting sqref="F21:K40 J61:J62">
    <cfRule type="expression" dxfId="165" priority="982">
      <formula>$K21=800</formula>
    </cfRule>
  </conditionalFormatting>
  <conditionalFormatting sqref="E41:E60">
    <cfRule type="cellIs" dxfId="164" priority="21" stopIfTrue="1" operator="equal">
      <formula>"DESCARTADO"</formula>
    </cfRule>
    <cfRule type="cellIs" dxfId="163" priority="22" stopIfTrue="1" operator="equal">
      <formula>"ADMISIBLE"</formula>
    </cfRule>
  </conditionalFormatting>
  <conditionalFormatting sqref="K59:K60">
    <cfRule type="expression" dxfId="162" priority="20" stopIfTrue="1">
      <formula>$K$21=800</formula>
    </cfRule>
  </conditionalFormatting>
  <conditionalFormatting sqref="G60:H60">
    <cfRule type="expression" dxfId="161" priority="19" stopIfTrue="1">
      <formula>#REF!=800</formula>
    </cfRule>
  </conditionalFormatting>
  <conditionalFormatting sqref="G59:H59">
    <cfRule type="expression" dxfId="160" priority="18" stopIfTrue="1">
      <formula>#REF!=800</formula>
    </cfRule>
  </conditionalFormatting>
  <conditionalFormatting sqref="G58:H58">
    <cfRule type="expression" dxfId="159" priority="17" stopIfTrue="1">
      <formula>#REF!=800</formula>
    </cfRule>
  </conditionalFormatting>
  <conditionalFormatting sqref="G57:H57">
    <cfRule type="expression" dxfId="158" priority="16" stopIfTrue="1">
      <formula>#REF!=800</formula>
    </cfRule>
  </conditionalFormatting>
  <conditionalFormatting sqref="G56:H56">
    <cfRule type="expression" dxfId="157" priority="15" stopIfTrue="1">
      <formula>#REF!=800</formula>
    </cfRule>
  </conditionalFormatting>
  <conditionalFormatting sqref="G55:H55">
    <cfRule type="expression" dxfId="156" priority="14" stopIfTrue="1">
      <formula>#REF!=800</formula>
    </cfRule>
  </conditionalFormatting>
  <conditionalFormatting sqref="G45:H45">
    <cfRule type="expression" dxfId="155" priority="13" stopIfTrue="1">
      <formula>#REF!=800</formula>
    </cfRule>
  </conditionalFormatting>
  <conditionalFormatting sqref="G48:H48">
    <cfRule type="expression" dxfId="154" priority="12" stopIfTrue="1">
      <formula>#REF!=800</formula>
    </cfRule>
  </conditionalFormatting>
  <conditionalFormatting sqref="G47:H47">
    <cfRule type="expression" dxfId="153" priority="11" stopIfTrue="1">
      <formula>#REF!=800</formula>
    </cfRule>
  </conditionalFormatting>
  <conditionalFormatting sqref="G46:H46">
    <cfRule type="expression" dxfId="152" priority="10" stopIfTrue="1">
      <formula>#REF!=800</formula>
    </cfRule>
  </conditionalFormatting>
  <conditionalFormatting sqref="G51:H51">
    <cfRule type="expression" dxfId="151" priority="9" stopIfTrue="1">
      <formula>#REF!=800</formula>
    </cfRule>
  </conditionalFormatting>
  <conditionalFormatting sqref="G50:H50">
    <cfRule type="expression" dxfId="150" priority="8" stopIfTrue="1">
      <formula>#REF!=800</formula>
    </cfRule>
  </conditionalFormatting>
  <conditionalFormatting sqref="G49:H49">
    <cfRule type="expression" dxfId="149" priority="7" stopIfTrue="1">
      <formula>#REF!=800</formula>
    </cfRule>
  </conditionalFormatting>
  <conditionalFormatting sqref="G54:H54">
    <cfRule type="expression" dxfId="148" priority="6" stopIfTrue="1">
      <formula>#REF!=800</formula>
    </cfRule>
  </conditionalFormatting>
  <conditionalFormatting sqref="G53:H53">
    <cfRule type="expression" dxfId="147" priority="5" stopIfTrue="1">
      <formula>#REF!=800</formula>
    </cfRule>
  </conditionalFormatting>
  <conditionalFormatting sqref="G52:H52">
    <cfRule type="expression" dxfId="146" priority="4" stopIfTrue="1">
      <formula>#REF!=800</formula>
    </cfRule>
  </conditionalFormatting>
  <conditionalFormatting sqref="I41:I60">
    <cfRule type="cellIs" dxfId="145" priority="3" operator="equal">
      <formula>"DESCARTADO"</formula>
    </cfRule>
  </conditionalFormatting>
  <conditionalFormatting sqref="D41:D60">
    <cfRule type="cellIs" dxfId="144" priority="23" stopIfTrue="1" operator="notBetween">
      <formula>$D$68</formula>
      <formula>$D$67</formula>
    </cfRule>
    <cfRule type="cellIs" dxfId="143" priority="24" stopIfTrue="1" operator="greaterThan">
      <formula>#REF!</formula>
    </cfRule>
  </conditionalFormatting>
  <conditionalFormatting sqref="F41:K60">
    <cfRule type="expression" dxfId="142" priority="25">
      <formula>$K41=800</formula>
    </cfRule>
  </conditionalFormatting>
  <conditionalFormatting sqref="G69:H69">
    <cfRule type="cellIs" dxfId="141" priority="2" operator="greaterThan">
      <formula>0</formula>
    </cfRule>
  </conditionalFormatting>
  <conditionalFormatting sqref="B61:K61">
    <cfRule type="cellIs" dxfId="140" priority="1" operator="between">
      <formula>0</formula>
      <formula>1000000000</formula>
    </cfRule>
  </conditionalFormatting>
  <printOptions horizontalCentered="1" verticalCentered="1"/>
  <pageMargins left="0.39370078740157483" right="0.39370078740157483" top="0.39370078740157483" bottom="0.39370078740157483" header="0" footer="0"/>
  <pageSetup scale="70" orientation="landscape" blackAndWhite="1"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indexed="50"/>
  </sheetPr>
  <dimension ref="A1:U84"/>
  <sheetViews>
    <sheetView topLeftCell="A22" zoomScaleNormal="100" workbookViewId="0">
      <selection activeCell="B49" sqref="B49"/>
    </sheetView>
  </sheetViews>
  <sheetFormatPr baseColWidth="10" defaultRowHeight="12.75"/>
  <cols>
    <col min="1" max="1" width="5.5703125" style="158" customWidth="1"/>
    <col min="2" max="2" width="30.7109375" style="158" customWidth="1"/>
    <col min="3" max="3" width="12.7109375" style="158" customWidth="1"/>
    <col min="4" max="4" width="12.5703125" style="158" hidden="1" customWidth="1"/>
    <col min="5" max="5" width="10.140625" style="158" customWidth="1"/>
    <col min="6" max="6" width="18.85546875" style="158" hidden="1" customWidth="1"/>
    <col min="7" max="7" width="17.28515625" style="158" customWidth="1"/>
    <col min="8" max="8" width="5" style="164" customWidth="1"/>
    <col min="9" max="9" width="30.7109375" style="158" customWidth="1"/>
    <col min="10" max="11" width="12.7109375" style="165" customWidth="1"/>
    <col min="12" max="12" width="11.7109375" style="158" customWidth="1"/>
    <col min="13" max="13" width="12.140625" style="158" customWidth="1"/>
    <col min="14" max="14" width="17.85546875" style="158" customWidth="1"/>
    <col min="15" max="15" width="12.7109375" style="156" hidden="1" customWidth="1"/>
    <col min="16" max="16" width="11.28515625" style="157" hidden="1" customWidth="1"/>
    <col min="17" max="17" width="11.5703125" style="158" hidden="1" customWidth="1"/>
    <col min="18" max="18" width="2.140625" style="158" customWidth="1"/>
    <col min="19" max="19" width="12.7109375" style="158" bestFit="1" customWidth="1"/>
    <col min="20" max="16384" width="11.42578125" style="158"/>
  </cols>
  <sheetData>
    <row r="1" spans="1:17" ht="20.100000000000001" customHeight="1">
      <c r="A1" s="154" t="str">
        <f>[2]RESUMEN!A1</f>
        <v>INSTITUTO NACIONAL DE VIAS</v>
      </c>
      <c r="B1" s="155"/>
      <c r="C1" s="155"/>
      <c r="D1" s="155"/>
      <c r="E1" s="155"/>
      <c r="F1" s="155"/>
      <c r="G1" s="155"/>
      <c r="H1" s="155"/>
      <c r="I1" s="155"/>
      <c r="J1" s="155"/>
      <c r="K1" s="155"/>
      <c r="L1" s="155"/>
      <c r="M1" s="155"/>
      <c r="N1" s="155"/>
    </row>
    <row r="2" spans="1:17" ht="20.100000000000001" customHeight="1">
      <c r="A2" s="154" t="str">
        <f>[2]RESUMEN!A2</f>
        <v>SUBDIRECCION DE LA RED TERCIARIA Y FERREA</v>
      </c>
      <c r="B2" s="159"/>
      <c r="C2" s="159"/>
      <c r="D2" s="159"/>
      <c r="E2" s="159"/>
      <c r="F2" s="159"/>
      <c r="G2" s="159"/>
      <c r="H2" s="159"/>
      <c r="I2" s="159"/>
      <c r="J2" s="159"/>
      <c r="K2" s="159"/>
      <c r="L2" s="159"/>
      <c r="M2" s="159"/>
      <c r="N2" s="159"/>
    </row>
    <row r="3" spans="1:17" ht="9.9499999999999993" customHeight="1">
      <c r="A3" s="154"/>
      <c r="B3" s="160"/>
      <c r="C3" s="160"/>
      <c r="D3" s="160"/>
      <c r="E3" s="160"/>
      <c r="F3" s="160"/>
      <c r="G3" s="160"/>
      <c r="H3" s="160"/>
      <c r="I3" s="160"/>
      <c r="J3" s="160"/>
      <c r="K3" s="160"/>
      <c r="L3" s="160"/>
      <c r="M3" s="160"/>
      <c r="N3" s="160"/>
    </row>
    <row r="4" spans="1:17" ht="15.75" customHeight="1">
      <c r="A4" s="154" t="str">
        <f>[2]RESUMEN!A4</f>
        <v>LISTA DE CANTIDADES DE OBRA, PRECIOS UNITARIOS Y VALOR TOTAL DE LA PROPUESTA</v>
      </c>
      <c r="B4" s="161"/>
      <c r="C4" s="161"/>
      <c r="D4" s="161"/>
      <c r="E4" s="161"/>
      <c r="F4" s="161"/>
      <c r="G4" s="161"/>
      <c r="H4" s="161"/>
      <c r="I4" s="161"/>
      <c r="J4" s="161"/>
      <c r="K4" s="161"/>
      <c r="L4" s="161"/>
      <c r="M4" s="161"/>
      <c r="N4" s="161"/>
    </row>
    <row r="5" spans="1:17" ht="9.9499999999999993" customHeight="1">
      <c r="A5" s="154"/>
      <c r="B5" s="159"/>
      <c r="C5" s="159"/>
      <c r="D5" s="159"/>
      <c r="E5" s="159"/>
      <c r="F5" s="159"/>
      <c r="G5" s="159"/>
      <c r="H5" s="159"/>
      <c r="I5" s="159"/>
      <c r="J5" s="159"/>
      <c r="K5" s="159"/>
      <c r="L5" s="159"/>
      <c r="M5" s="159"/>
      <c r="N5" s="159"/>
    </row>
    <row r="6" spans="1:17" ht="20.100000000000001" customHeight="1">
      <c r="A6" s="154" t="str">
        <f>[2]RESUMEN!A6</f>
        <v>LICITACIÓN PÚBLICA No SRN-008-2007</v>
      </c>
      <c r="B6" s="159"/>
      <c r="C6" s="159"/>
      <c r="D6" s="159"/>
      <c r="E6" s="159"/>
      <c r="F6" s="159"/>
      <c r="G6" s="159"/>
      <c r="H6" s="159"/>
      <c r="I6" s="159"/>
      <c r="J6" s="159"/>
      <c r="K6" s="159"/>
      <c r="L6" s="159"/>
      <c r="M6" s="159"/>
      <c r="N6" s="159"/>
    </row>
    <row r="7" spans="1:17" ht="39.950000000000003" customHeight="1">
      <c r="A7" s="154" t="str">
        <f>[2]RESUMEN!A7</f>
        <v xml:space="preserve"> MEJORAMIENTO Y MANTENIMIENTO DE LAS CARRETERAS DE LA ZONA NORTE DEL PAÍS. GRUPO 1</v>
      </c>
      <c r="B7" s="159"/>
      <c r="C7" s="159"/>
      <c r="D7" s="159"/>
      <c r="E7" s="159"/>
      <c r="F7" s="159"/>
      <c r="G7" s="159"/>
      <c r="H7" s="159"/>
      <c r="I7" s="159"/>
      <c r="J7" s="159"/>
      <c r="K7" s="159"/>
      <c r="L7" s="159"/>
      <c r="M7" s="159"/>
      <c r="N7" s="159"/>
    </row>
    <row r="8" spans="1:17" ht="9.9499999999999993" customHeight="1">
      <c r="A8" s="154"/>
      <c r="B8" s="159"/>
      <c r="C8" s="159"/>
      <c r="D8" s="159"/>
      <c r="E8" s="159"/>
      <c r="F8" s="159"/>
      <c r="G8" s="159"/>
      <c r="H8" s="159"/>
      <c r="I8" s="159"/>
      <c r="J8" s="159"/>
      <c r="K8" s="159"/>
      <c r="L8" s="159"/>
      <c r="M8" s="159"/>
      <c r="N8" s="159"/>
    </row>
    <row r="9" spans="1:17" ht="20.100000000000001" customHeight="1">
      <c r="A9" s="154"/>
      <c r="B9" s="159"/>
      <c r="C9" s="159"/>
      <c r="D9" s="159"/>
      <c r="E9" s="159"/>
      <c r="F9" s="159"/>
      <c r="G9" s="159"/>
      <c r="H9" s="159"/>
      <c r="I9" s="159"/>
      <c r="J9" s="159"/>
      <c r="K9" s="159"/>
      <c r="L9" s="159"/>
      <c r="M9" s="159"/>
      <c r="N9" s="159"/>
    </row>
    <row r="10" spans="1:17" ht="20.100000000000001" customHeight="1">
      <c r="A10" s="793">
        <v>1</v>
      </c>
      <c r="B10" s="793"/>
      <c r="C10" s="793"/>
      <c r="D10" s="793"/>
      <c r="E10" s="793"/>
      <c r="F10" s="793"/>
      <c r="G10" s="793"/>
      <c r="H10" s="793"/>
      <c r="I10" s="793"/>
      <c r="J10" s="793"/>
      <c r="K10" s="793"/>
      <c r="L10" s="793"/>
      <c r="M10" s="793"/>
      <c r="N10" s="793"/>
    </row>
    <row r="11" spans="1:17" ht="13.5" thickBot="1">
      <c r="A11" s="162"/>
      <c r="B11" s="163"/>
      <c r="C11" s="163"/>
      <c r="D11" s="163"/>
      <c r="E11" s="163"/>
      <c r="F11" s="163"/>
    </row>
    <row r="12" spans="1:17" ht="25.5">
      <c r="A12" s="794" t="s">
        <v>79</v>
      </c>
      <c r="B12" s="795"/>
      <c r="C12" s="795"/>
      <c r="D12" s="795"/>
      <c r="E12" s="795"/>
      <c r="F12" s="795"/>
      <c r="G12" s="795"/>
      <c r="H12" s="796" t="s">
        <v>80</v>
      </c>
      <c r="I12" s="797"/>
      <c r="J12" s="797"/>
      <c r="K12" s="797"/>
      <c r="L12" s="797"/>
      <c r="M12" s="797"/>
      <c r="N12" s="798"/>
    </row>
    <row r="13" spans="1:17" ht="13.5" thickBot="1">
      <c r="A13" s="166"/>
      <c r="B13" s="163"/>
      <c r="C13" s="163"/>
      <c r="D13" s="163"/>
      <c r="E13" s="167"/>
      <c r="F13" s="167"/>
      <c r="H13" s="168"/>
      <c r="I13" s="169"/>
      <c r="J13" s="170"/>
      <c r="K13" s="170"/>
      <c r="L13" s="169"/>
      <c r="M13" s="169"/>
      <c r="N13" s="171"/>
    </row>
    <row r="14" spans="1:17" ht="21.75" customHeight="1">
      <c r="A14" s="799" t="s">
        <v>81</v>
      </c>
      <c r="B14" s="801" t="s">
        <v>12</v>
      </c>
      <c r="C14" s="801" t="s">
        <v>82</v>
      </c>
      <c r="D14" s="172"/>
      <c r="E14" s="173" t="s">
        <v>83</v>
      </c>
      <c r="F14" s="174"/>
      <c r="G14" s="268" t="str">
        <f>RIGHT(A10,1)</f>
        <v>1</v>
      </c>
      <c r="H14" s="803" t="s">
        <v>81</v>
      </c>
      <c r="I14" s="805" t="s">
        <v>12</v>
      </c>
      <c r="J14" s="807" t="s">
        <v>82</v>
      </c>
      <c r="K14" s="270"/>
      <c r="L14" s="809" t="s">
        <v>84</v>
      </c>
      <c r="M14" s="272"/>
      <c r="N14" s="805" t="s">
        <v>85</v>
      </c>
      <c r="O14" s="811" t="s">
        <v>86</v>
      </c>
      <c r="P14" s="814" t="s">
        <v>87</v>
      </c>
      <c r="Q14" s="814" t="s">
        <v>88</v>
      </c>
    </row>
    <row r="15" spans="1:17" ht="13.5" thickBot="1">
      <c r="A15" s="800"/>
      <c r="B15" s="802"/>
      <c r="C15" s="802"/>
      <c r="D15" s="175"/>
      <c r="E15" s="176" t="s">
        <v>89</v>
      </c>
      <c r="F15" s="177"/>
      <c r="G15" s="178"/>
      <c r="H15" s="804"/>
      <c r="I15" s="806"/>
      <c r="J15" s="808"/>
      <c r="K15" s="271"/>
      <c r="L15" s="810"/>
      <c r="M15" s="273"/>
      <c r="N15" s="806"/>
      <c r="O15" s="812"/>
      <c r="P15" s="815"/>
      <c r="Q15" s="815"/>
    </row>
    <row r="16" spans="1:17" ht="13.5" thickBot="1">
      <c r="A16" s="179"/>
      <c r="B16" s="180" t="s">
        <v>90</v>
      </c>
      <c r="C16" s="181">
        <f ca="1">COUNTIF(C20:C30,"&gt;0")</f>
        <v>2</v>
      </c>
      <c r="D16" s="182"/>
      <c r="E16" s="183" t="s">
        <v>91</v>
      </c>
      <c r="F16" s="177"/>
      <c r="G16" s="178"/>
      <c r="H16" s="184"/>
      <c r="I16" s="185" t="s">
        <v>90</v>
      </c>
      <c r="J16" s="186">
        <f ca="1">COUNT(J20:J39)</f>
        <v>1</v>
      </c>
      <c r="K16" s="187"/>
      <c r="L16" s="188"/>
      <c r="M16" s="188"/>
      <c r="N16" s="189">
        <v>800</v>
      </c>
      <c r="O16" s="813"/>
      <c r="P16" s="816"/>
      <c r="Q16" s="816"/>
    </row>
    <row r="17" spans="1:21" ht="3" customHeight="1">
      <c r="A17" s="190"/>
      <c r="B17" s="191"/>
      <c r="C17" s="192"/>
      <c r="D17" s="193"/>
      <c r="E17" s="194"/>
      <c r="F17" s="194"/>
      <c r="G17" s="178"/>
      <c r="H17" s="195"/>
      <c r="I17" s="196"/>
      <c r="J17" s="197"/>
      <c r="K17" s="198"/>
      <c r="L17" s="199"/>
      <c r="M17" s="200"/>
      <c r="N17" s="200"/>
    </row>
    <row r="18" spans="1:21" ht="12" customHeight="1">
      <c r="A18" s="201"/>
      <c r="B18" s="202" t="s">
        <v>92</v>
      </c>
      <c r="C18" s="203"/>
      <c r="D18" s="204"/>
      <c r="E18" s="205"/>
      <c r="F18" s="205"/>
      <c r="G18" s="206"/>
      <c r="H18" s="207"/>
      <c r="I18" s="208"/>
      <c r="J18" s="209"/>
      <c r="K18" s="210"/>
      <c r="L18" s="284"/>
      <c r="M18" s="262"/>
      <c r="N18" s="211" t="str">
        <f>IF(OR(L18="DESCARTADO",L18=""),"",IF(J18=$J$60,800,IF(J18=$J$61,0,(800-((800*(J18-$J$60)/($J$61-$J$60)))))))</f>
        <v/>
      </c>
      <c r="O18" s="212"/>
      <c r="P18" s="213"/>
      <c r="Q18" s="213"/>
      <c r="S18" s="260"/>
    </row>
    <row r="19" spans="1:21" ht="3" customHeight="1">
      <c r="A19" s="214"/>
      <c r="B19" s="215"/>
      <c r="C19" s="216"/>
      <c r="D19" s="204"/>
      <c r="E19" s="205"/>
      <c r="F19" s="205"/>
      <c r="G19" s="206"/>
      <c r="H19" s="207"/>
      <c r="I19" s="208"/>
      <c r="J19" s="209"/>
      <c r="K19" s="210"/>
      <c r="L19" s="284"/>
      <c r="M19" s="262"/>
      <c r="N19" s="211"/>
      <c r="O19" s="212"/>
      <c r="P19" s="213"/>
      <c r="Q19" s="213"/>
    </row>
    <row r="20" spans="1:21" ht="15.75">
      <c r="A20" s="217">
        <v>1</v>
      </c>
      <c r="B20" s="218" t="str">
        <f>IF(VLOOKUP(A20,VFrequerido!$A$15:$I$51,$G$14)=1,LOOKUP(A20,VFrequerido!$A$15:$A$51,VFrequerido!$B$15:$B$51),"")</f>
        <v>CONSORCIO C &amp; J</v>
      </c>
      <c r="C20" s="257">
        <v>424.96</v>
      </c>
      <c r="D20" s="219" t="e">
        <f>+IF(#REF!=" "," ",#REF!/10000000)</f>
        <v>#REF!</v>
      </c>
      <c r="E20" s="275" t="str">
        <f ca="1">IF(C20&lt;$C$67,"MEN LIM INF.",IF(C20&gt;$C$66,"MAY LIMITE SUP.","OK"))</f>
        <v>OK</v>
      </c>
      <c r="F20" s="220">
        <f t="shared" ref="F20:F39" ca="1" si="0">POWER(C20-$C$64,2)/($C$16-1)</f>
        <v>8766.76</v>
      </c>
      <c r="G20" s="221" t="str">
        <f ca="1">IF(E20="OK","ADMISIBLE","DESCARTADO")</f>
        <v>ADMISIBLE</v>
      </c>
      <c r="H20" s="222">
        <f t="shared" ref="H20:H39" si="1">A20</f>
        <v>1</v>
      </c>
      <c r="I20" s="223" t="str">
        <f t="shared" ref="I20:I39" ca="1" si="2">IF(G20="ADMISIBLE",B20,"")</f>
        <v>CONSORCIO C &amp; J</v>
      </c>
      <c r="J20" s="279">
        <f t="shared" ref="J20:J39" ca="1" si="3">IF(I20="","",C20)</f>
        <v>424.96</v>
      </c>
      <c r="K20" s="275" t="e">
        <f ca="1">IF(J20&lt;$J$67,"MEN LIM INF.",IF(J20&gt;$J$66,"MAY LIMITE SUP.","OK"))</f>
        <v>#DIV/0!</v>
      </c>
      <c r="L20" s="285" t="e">
        <f ca="1">IF(K20="OK","ADMISIBLE","DESCARTADO")</f>
        <v>#DIV/0!</v>
      </c>
      <c r="M20" s="266" t="str">
        <f ca="1">IFERROR(IF((J20-#REF!)&gt;0,(J20-#REF!),""),"")</f>
        <v/>
      </c>
      <c r="N20" s="224" t="e">
        <f t="shared" ref="N20:N36" ca="1" si="4">IF(OR(L20="DESCARTADO",L20=""),"",IF(J20&gt;$J$66,"DESCARTADO",IF(M20=$M$61,$N$16,IF(J20=$J$60,0,((($N$16*(J20-$J$60)/($K$61-$J$60))))))))</f>
        <v>#DIV/0!</v>
      </c>
      <c r="O20" s="225" t="e">
        <f t="shared" ref="O20:O39" ca="1" si="5">IF(N20&lt;&gt;"",J20/$C$18,"")</f>
        <v>#DIV/0!</v>
      </c>
      <c r="P20" s="226" t="e">
        <f t="shared" ref="P20:P39" ca="1" si="6">IF(N20&lt;&gt;"",J20/$C$64,"")</f>
        <v>#DIV/0!</v>
      </c>
      <c r="Q20" s="226" t="e">
        <f t="shared" ref="Q20:Q39" ca="1" si="7">IF(N20&lt;&gt;"",J20/$J$64,"")</f>
        <v>#DIV/0!</v>
      </c>
      <c r="S20" s="261" t="str">
        <f>MID(B20,LEN(B20)-5,1)</f>
        <v xml:space="preserve"> </v>
      </c>
      <c r="T20" s="158">
        <f>LEN(B20)</f>
        <v>15</v>
      </c>
    </row>
    <row r="21" spans="1:21" ht="15.75">
      <c r="A21" s="217">
        <v>2</v>
      </c>
      <c r="B21" s="218" t="str">
        <f>IF(VLOOKUP(A21,VFrequerido!$A$15:$I$51,$G$14)=1,LOOKUP(A21,VFrequerido!$A$15:$A$51,VFrequerido!$B$15:$B$51),"")</f>
        <v/>
      </c>
      <c r="C21" s="257">
        <v>315.916</v>
      </c>
      <c r="D21" s="219" t="e">
        <f>+IF(#REF!=" "," ",#REF!/10000000)</f>
        <v>#REF!</v>
      </c>
      <c r="E21" s="275" t="str">
        <f t="shared" ref="E21:E39" ca="1" si="8">IF(C21&lt;$C$67,"MEN LIM INF.",IF(C21&gt;$C$66,"MAY LIMITE SUP.","OK"))</f>
        <v>OK</v>
      </c>
      <c r="F21" s="220">
        <f t="shared" ca="1" si="0"/>
        <v>41077.160000000003</v>
      </c>
      <c r="G21" s="221" t="str">
        <f t="shared" ref="G21:G39" ca="1" si="9">IF(E21="OK","ADMISIBLE","DESCARTADO")</f>
        <v>ADMISIBLE</v>
      </c>
      <c r="H21" s="222">
        <f t="shared" si="1"/>
        <v>2</v>
      </c>
      <c r="I21" s="223" t="str">
        <f t="shared" ca="1" si="2"/>
        <v/>
      </c>
      <c r="J21" s="279" t="str">
        <f t="shared" ca="1" si="3"/>
        <v/>
      </c>
      <c r="K21" s="275" t="e">
        <f ca="1">IF(J21&lt;$J$67,"MEN LIM INF.",IF(J21&gt;$J$66,"MAY LIMITE SUP.","OK"))</f>
        <v>#DIV/0!</v>
      </c>
      <c r="L21" s="285" t="e">
        <f t="shared" ref="L21:L39" ca="1" si="10">IF(K21="OK","ADMISIBLE","DESCARTADO")</f>
        <v>#DIV/0!</v>
      </c>
      <c r="M21" s="266" t="str">
        <f ca="1">IFERROR(IF((J21-#REF!)&gt;0,(J21-#REF!),""),"")</f>
        <v/>
      </c>
      <c r="N21" s="224" t="e">
        <f t="shared" ca="1" si="4"/>
        <v>#DIV/0!</v>
      </c>
      <c r="O21" s="225" t="e">
        <f t="shared" ca="1" si="5"/>
        <v>#DIV/0!</v>
      </c>
      <c r="P21" s="226" t="e">
        <f t="shared" ca="1" si="6"/>
        <v>#DIV/0!</v>
      </c>
      <c r="Q21" s="226" t="e">
        <f t="shared" ca="1" si="7"/>
        <v>#DIV/0!</v>
      </c>
      <c r="S21" s="261" t="e">
        <f t="shared" ref="S21:S31" si="11">MID(B21,LEN(B21)-5,1)</f>
        <v>#VALUE!</v>
      </c>
      <c r="U21" s="158">
        <f>667-408</f>
        <v>259</v>
      </c>
    </row>
    <row r="22" spans="1:21" ht="15.75">
      <c r="A22" s="217">
        <v>3</v>
      </c>
      <c r="B22" s="218" t="str">
        <f>IF(VLOOKUP(A22,VFrequerido!$A$15:$I$51,$G$14)=1,LOOKUP(A22,VFrequerido!$A$15:$A$51,VFrequerido!$B$15:$B$51),"")</f>
        <v/>
      </c>
      <c r="C22" s="257" t="str">
        <f>IF(B22="","",LOOKUP(A22,EXPERIENCIA!$B$11:$B$50,EXPERIENCIA!$F$11:$F$50))</f>
        <v/>
      </c>
      <c r="D22" s="219" t="e">
        <f>+IF(#REF!=" "," ",#REF!/10000000)</f>
        <v>#REF!</v>
      </c>
      <c r="E22" s="275" t="str">
        <f t="shared" ca="1" si="8"/>
        <v>MAY LIMITE SUP.</v>
      </c>
      <c r="F22" s="220" t="e">
        <f t="shared" ca="1" si="0"/>
        <v>#VALUE!</v>
      </c>
      <c r="G22" s="221" t="str">
        <f t="shared" ca="1" si="9"/>
        <v>DESCARTADO</v>
      </c>
      <c r="H22" s="222">
        <f t="shared" si="1"/>
        <v>3</v>
      </c>
      <c r="I22" s="223" t="str">
        <f t="shared" ca="1" si="2"/>
        <v/>
      </c>
      <c r="J22" s="279" t="str">
        <f t="shared" ca="1" si="3"/>
        <v/>
      </c>
      <c r="K22" s="275" t="e">
        <f t="shared" ref="K22:K39" ca="1" si="12">IF(J22&lt;$J$67,"MEN LIM INF.",IF(J22&gt;$J$66,"MAY LIMITE SUP.","OK"))</f>
        <v>#DIV/0!</v>
      </c>
      <c r="L22" s="285" t="e">
        <f t="shared" ca="1" si="10"/>
        <v>#DIV/0!</v>
      </c>
      <c r="M22" s="266" t="str">
        <f ca="1">IFERROR(IF((J22-#REF!)&gt;0,(J22-#REF!),""),"")</f>
        <v/>
      </c>
      <c r="N22" s="224" t="e">
        <f t="shared" ca="1" si="4"/>
        <v>#DIV/0!</v>
      </c>
      <c r="O22" s="225" t="e">
        <f t="shared" ca="1" si="5"/>
        <v>#DIV/0!</v>
      </c>
      <c r="P22" s="226" t="e">
        <f t="shared" ca="1" si="6"/>
        <v>#DIV/0!</v>
      </c>
      <c r="Q22" s="226" t="e">
        <f t="shared" ca="1" si="7"/>
        <v>#DIV/0!</v>
      </c>
      <c r="S22" s="261" t="e">
        <f t="shared" si="11"/>
        <v>#VALUE!</v>
      </c>
      <c r="T22" s="259"/>
      <c r="U22" s="158">
        <f>800/U21</f>
        <v>3.0888030888030902</v>
      </c>
    </row>
    <row r="23" spans="1:21" ht="15.75">
      <c r="A23" s="217">
        <v>4</v>
      </c>
      <c r="B23" s="218" t="str">
        <f>IF(VLOOKUP(A23,VFrequerido!$A$15:$I$51,$G$14)=1,LOOKUP(A23,VFrequerido!$A$15:$A$51,VFrequerido!$B$15:$B$51),"")</f>
        <v/>
      </c>
      <c r="C23" s="257" t="str">
        <f>IF(B23="","",LOOKUP(A23,EXPERIENCIA!$B$11:$B$50,EXPERIENCIA!$F$11:$F$50))</f>
        <v/>
      </c>
      <c r="D23" s="219" t="e">
        <f>+IF(#REF!=" "," ",#REF!/10000000)</f>
        <v>#REF!</v>
      </c>
      <c r="E23" s="275" t="str">
        <f t="shared" ca="1" si="8"/>
        <v>MAY LIMITE SUP.</v>
      </c>
      <c r="F23" s="220" t="e">
        <f t="shared" ca="1" si="0"/>
        <v>#VALUE!</v>
      </c>
      <c r="G23" s="221" t="str">
        <f t="shared" ca="1" si="9"/>
        <v>DESCARTADO</v>
      </c>
      <c r="H23" s="222">
        <f t="shared" si="1"/>
        <v>4</v>
      </c>
      <c r="I23" s="223" t="str">
        <f t="shared" ca="1" si="2"/>
        <v/>
      </c>
      <c r="J23" s="279" t="str">
        <f t="shared" ca="1" si="3"/>
        <v/>
      </c>
      <c r="K23" s="275" t="e">
        <f t="shared" ca="1" si="12"/>
        <v>#DIV/0!</v>
      </c>
      <c r="L23" s="285" t="e">
        <f t="shared" ca="1" si="10"/>
        <v>#DIV/0!</v>
      </c>
      <c r="M23" s="266" t="str">
        <f ca="1">IFERROR(IF((J23-#REF!)&gt;0,(J23-#REF!),""),"")</f>
        <v/>
      </c>
      <c r="N23" s="224" t="e">
        <f t="shared" ca="1" si="4"/>
        <v>#DIV/0!</v>
      </c>
      <c r="O23" s="225" t="e">
        <f t="shared" ca="1" si="5"/>
        <v>#DIV/0!</v>
      </c>
      <c r="P23" s="226" t="e">
        <f t="shared" ca="1" si="6"/>
        <v>#DIV/0!</v>
      </c>
      <c r="Q23" s="226" t="e">
        <f t="shared" ca="1" si="7"/>
        <v>#DIV/0!</v>
      </c>
      <c r="S23" s="261" t="e">
        <f t="shared" si="11"/>
        <v>#VALUE!</v>
      </c>
      <c r="T23" s="258"/>
      <c r="U23" s="158">
        <f>453-408</f>
        <v>45</v>
      </c>
    </row>
    <row r="24" spans="1:21" ht="15.75">
      <c r="A24" s="217">
        <v>5</v>
      </c>
      <c r="B24" s="218" t="str">
        <f>IF(VLOOKUP(A24,VFrequerido!$A$15:$I$51,$G$14)=1,LOOKUP(A24,VFrequerido!$A$15:$A$51,VFrequerido!$B$15:$B$51),"")</f>
        <v/>
      </c>
      <c r="C24" s="257" t="str">
        <f>IF(B24="","",LOOKUP(A24,EXPERIENCIA!$B$11:$B$50,EXPERIENCIA!$F$11:$F$50))</f>
        <v/>
      </c>
      <c r="D24" s="219" t="e">
        <f>+IF(#REF!=" "," ",#REF!/10000000)</f>
        <v>#REF!</v>
      </c>
      <c r="E24" s="275" t="str">
        <f t="shared" ca="1" si="8"/>
        <v>MAY LIMITE SUP.</v>
      </c>
      <c r="F24" s="220" t="e">
        <f t="shared" ca="1" si="0"/>
        <v>#VALUE!</v>
      </c>
      <c r="G24" s="221" t="str">
        <f t="shared" ca="1" si="9"/>
        <v>DESCARTADO</v>
      </c>
      <c r="H24" s="222">
        <f t="shared" si="1"/>
        <v>5</v>
      </c>
      <c r="I24" s="223" t="str">
        <f t="shared" ca="1" si="2"/>
        <v/>
      </c>
      <c r="J24" s="279" t="str">
        <f t="shared" ca="1" si="3"/>
        <v/>
      </c>
      <c r="K24" s="275" t="e">
        <f t="shared" ca="1" si="12"/>
        <v>#DIV/0!</v>
      </c>
      <c r="L24" s="285" t="e">
        <f t="shared" ca="1" si="10"/>
        <v>#DIV/0!</v>
      </c>
      <c r="M24" s="266" t="str">
        <f ca="1">IFERROR(IF((J24-#REF!)&gt;0,(J24-#REF!),""),"")</f>
        <v/>
      </c>
      <c r="N24" s="224" t="e">
        <f t="shared" ca="1" si="4"/>
        <v>#DIV/0!</v>
      </c>
      <c r="O24" s="225" t="e">
        <f t="shared" ca="1" si="5"/>
        <v>#DIV/0!</v>
      </c>
      <c r="P24" s="226" t="e">
        <f t="shared" ca="1" si="6"/>
        <v>#DIV/0!</v>
      </c>
      <c r="Q24" s="226" t="e">
        <f t="shared" ca="1" si="7"/>
        <v>#DIV/0!</v>
      </c>
      <c r="S24" s="261" t="e">
        <f t="shared" si="11"/>
        <v>#VALUE!</v>
      </c>
      <c r="U24" s="158">
        <f>+U23*U22</f>
        <v>138.996138996139</v>
      </c>
    </row>
    <row r="25" spans="1:21" ht="15.75">
      <c r="A25" s="217">
        <v>6</v>
      </c>
      <c r="B25" s="218" t="str">
        <f>IF(VLOOKUP(A25,VFrequerido!$A$15:$I$51,$G$14)=1,LOOKUP(A25,VFrequerido!$A$15:$A$51,VFrequerido!$B$15:$B$51),"")</f>
        <v/>
      </c>
      <c r="C25" s="257" t="str">
        <f>IF(B25="","",LOOKUP(A25,EXPERIENCIA!$B$11:$B$50,EXPERIENCIA!$F$11:$F$50))</f>
        <v/>
      </c>
      <c r="D25" s="219" t="e">
        <f>+IF(#REF!=" "," ",#REF!/10000000)</f>
        <v>#REF!</v>
      </c>
      <c r="E25" s="275" t="str">
        <f t="shared" ca="1" si="8"/>
        <v>MAY LIMITE SUP.</v>
      </c>
      <c r="F25" s="220" t="e">
        <f t="shared" ca="1" si="0"/>
        <v>#VALUE!</v>
      </c>
      <c r="G25" s="221" t="str">
        <f t="shared" ca="1" si="9"/>
        <v>DESCARTADO</v>
      </c>
      <c r="H25" s="222">
        <f t="shared" si="1"/>
        <v>6</v>
      </c>
      <c r="I25" s="223" t="str">
        <f t="shared" ca="1" si="2"/>
        <v/>
      </c>
      <c r="J25" s="279" t="str">
        <f t="shared" ca="1" si="3"/>
        <v/>
      </c>
      <c r="K25" s="275" t="e">
        <f t="shared" ca="1" si="12"/>
        <v>#DIV/0!</v>
      </c>
      <c r="L25" s="285" t="e">
        <f t="shared" ca="1" si="10"/>
        <v>#DIV/0!</v>
      </c>
      <c r="M25" s="266" t="str">
        <f ca="1">IFERROR(IF((J25-#REF!)&gt;0,(J25-#REF!),""),"")</f>
        <v/>
      </c>
      <c r="N25" s="224" t="e">
        <f t="shared" ca="1" si="4"/>
        <v>#DIV/0!</v>
      </c>
      <c r="O25" s="225" t="e">
        <f t="shared" ca="1" si="5"/>
        <v>#DIV/0!</v>
      </c>
      <c r="P25" s="226" t="e">
        <f t="shared" ca="1" si="6"/>
        <v>#DIV/0!</v>
      </c>
      <c r="Q25" s="226" t="e">
        <f t="shared" ca="1" si="7"/>
        <v>#DIV/0!</v>
      </c>
      <c r="S25" s="261" t="e">
        <f t="shared" si="11"/>
        <v>#VALUE!</v>
      </c>
    </row>
    <row r="26" spans="1:21" ht="15.75">
      <c r="A26" s="217">
        <v>7</v>
      </c>
      <c r="B26" s="218" t="str">
        <f>IF(VLOOKUP(A26,VFrequerido!$A$15:$I$51,$G$14)=1,LOOKUP(A26,VFrequerido!$A$15:$A$51,VFrequerido!$B$15:$B$51),"")</f>
        <v/>
      </c>
      <c r="C26" s="257" t="str">
        <f>IF(B26="","",LOOKUP(A26,EXPERIENCIA!$B$11:$B$50,EXPERIENCIA!$F$11:$F$50))</f>
        <v/>
      </c>
      <c r="D26" s="219" t="e">
        <f>+IF(#REF!=" "," ",#REF!/10000000)</f>
        <v>#REF!</v>
      </c>
      <c r="E26" s="275" t="str">
        <f t="shared" ca="1" si="8"/>
        <v>MAY LIMITE SUP.</v>
      </c>
      <c r="F26" s="220" t="e">
        <f t="shared" ca="1" si="0"/>
        <v>#VALUE!</v>
      </c>
      <c r="G26" s="221" t="str">
        <f t="shared" ca="1" si="9"/>
        <v>DESCARTADO</v>
      </c>
      <c r="H26" s="222">
        <f t="shared" si="1"/>
        <v>7</v>
      </c>
      <c r="I26" s="223" t="str">
        <f t="shared" ca="1" si="2"/>
        <v/>
      </c>
      <c r="J26" s="279" t="str">
        <f t="shared" ca="1" si="3"/>
        <v/>
      </c>
      <c r="K26" s="275" t="e">
        <f t="shared" ca="1" si="12"/>
        <v>#DIV/0!</v>
      </c>
      <c r="L26" s="285" t="e">
        <f t="shared" ca="1" si="10"/>
        <v>#DIV/0!</v>
      </c>
      <c r="M26" s="266" t="str">
        <f ca="1">IFERROR(IF((J26-#REF!)&gt;0,(J26-#REF!),""),"")</f>
        <v/>
      </c>
      <c r="N26" s="224" t="e">
        <f t="shared" ca="1" si="4"/>
        <v>#DIV/0!</v>
      </c>
      <c r="O26" s="225" t="e">
        <f t="shared" ca="1" si="5"/>
        <v>#DIV/0!</v>
      </c>
      <c r="P26" s="226" t="e">
        <f t="shared" ca="1" si="6"/>
        <v>#DIV/0!</v>
      </c>
      <c r="Q26" s="226" t="e">
        <f t="shared" ca="1" si="7"/>
        <v>#DIV/0!</v>
      </c>
      <c r="S26" s="261" t="e">
        <f t="shared" si="11"/>
        <v>#VALUE!</v>
      </c>
    </row>
    <row r="27" spans="1:21" ht="15.75">
      <c r="A27" s="217">
        <v>8</v>
      </c>
      <c r="B27" s="218" t="str">
        <f>IF(VLOOKUP(A27,VFrequerido!$A$15:$I$51,$G$14)=1,LOOKUP(A27,VFrequerido!$A$15:$A$51,VFrequerido!$B$15:$B$51),"")</f>
        <v/>
      </c>
      <c r="C27" s="257" t="str">
        <f>IF(B27="","",LOOKUP(A27,EXPERIENCIA!$B$11:$B$50,EXPERIENCIA!$F$11:$F$50))</f>
        <v/>
      </c>
      <c r="D27" s="219" t="e">
        <f>+IF(#REF!=" "," ",#REF!/10000000)</f>
        <v>#REF!</v>
      </c>
      <c r="E27" s="275" t="str">
        <f t="shared" ca="1" si="8"/>
        <v>MAY LIMITE SUP.</v>
      </c>
      <c r="F27" s="220" t="e">
        <f t="shared" ca="1" si="0"/>
        <v>#VALUE!</v>
      </c>
      <c r="G27" s="221" t="str">
        <f t="shared" ca="1" si="9"/>
        <v>DESCARTADO</v>
      </c>
      <c r="H27" s="222">
        <f t="shared" si="1"/>
        <v>8</v>
      </c>
      <c r="I27" s="223" t="str">
        <f t="shared" ca="1" si="2"/>
        <v/>
      </c>
      <c r="J27" s="279" t="str">
        <f t="shared" ca="1" si="3"/>
        <v/>
      </c>
      <c r="K27" s="275" t="e">
        <f t="shared" ca="1" si="12"/>
        <v>#DIV/0!</v>
      </c>
      <c r="L27" s="285" t="e">
        <f t="shared" ca="1" si="10"/>
        <v>#DIV/0!</v>
      </c>
      <c r="M27" s="266" t="str">
        <f ca="1">IFERROR(IF((J27-#REF!)&gt;0,(J27-#REF!),""),"")</f>
        <v/>
      </c>
      <c r="N27" s="224" t="e">
        <f t="shared" ca="1" si="4"/>
        <v>#DIV/0!</v>
      </c>
      <c r="O27" s="225" t="e">
        <f t="shared" ca="1" si="5"/>
        <v>#DIV/0!</v>
      </c>
      <c r="P27" s="226" t="e">
        <f t="shared" ca="1" si="6"/>
        <v>#DIV/0!</v>
      </c>
      <c r="Q27" s="226" t="e">
        <f t="shared" ca="1" si="7"/>
        <v>#DIV/0!</v>
      </c>
      <c r="S27" s="261" t="e">
        <f t="shared" si="11"/>
        <v>#VALUE!</v>
      </c>
      <c r="T27" s="158">
        <f>700*800/646</f>
        <v>866.87306501548005</v>
      </c>
    </row>
    <row r="28" spans="1:21" ht="15.75">
      <c r="A28" s="217">
        <v>9</v>
      </c>
      <c r="B28" s="218" t="str">
        <f>IF(VLOOKUP(A28,VFrequerido!$A$15:$I$51,$G$14)=1,LOOKUP(A28,VFrequerido!$A$15:$A$51,VFrequerido!$B$15:$B$51),"")</f>
        <v/>
      </c>
      <c r="C28" s="257" t="str">
        <f>IF(B28="","",LOOKUP(A28,EXPERIENCIA!$B$11:$B$50,EXPERIENCIA!$F$11:$F$50))</f>
        <v/>
      </c>
      <c r="D28" s="219" t="e">
        <f>+IF(#REF!=" "," ",#REF!/10000000)</f>
        <v>#REF!</v>
      </c>
      <c r="E28" s="275" t="str">
        <f t="shared" ca="1" si="8"/>
        <v>MAY LIMITE SUP.</v>
      </c>
      <c r="F28" s="220" t="e">
        <f t="shared" ca="1" si="0"/>
        <v>#VALUE!</v>
      </c>
      <c r="G28" s="221" t="str">
        <f t="shared" ca="1" si="9"/>
        <v>DESCARTADO</v>
      </c>
      <c r="H28" s="222">
        <f t="shared" si="1"/>
        <v>9</v>
      </c>
      <c r="I28" s="223" t="str">
        <f t="shared" ca="1" si="2"/>
        <v/>
      </c>
      <c r="J28" s="279" t="str">
        <f t="shared" ca="1" si="3"/>
        <v/>
      </c>
      <c r="K28" s="275" t="e">
        <f t="shared" ca="1" si="12"/>
        <v>#DIV/0!</v>
      </c>
      <c r="L28" s="285" t="e">
        <f t="shared" ca="1" si="10"/>
        <v>#DIV/0!</v>
      </c>
      <c r="M28" s="266" t="str">
        <f ca="1">IFERROR(IF((J28-#REF!)&gt;0,(J28-#REF!),""),"")</f>
        <v/>
      </c>
      <c r="N28" s="224" t="e">
        <f t="shared" ca="1" si="4"/>
        <v>#DIV/0!</v>
      </c>
      <c r="O28" s="225" t="e">
        <f t="shared" ca="1" si="5"/>
        <v>#DIV/0!</v>
      </c>
      <c r="P28" s="226" t="e">
        <f t="shared" ca="1" si="6"/>
        <v>#DIV/0!</v>
      </c>
      <c r="Q28" s="226" t="e">
        <f t="shared" ca="1" si="7"/>
        <v>#DIV/0!</v>
      </c>
      <c r="S28" s="261" t="e">
        <f t="shared" si="11"/>
        <v>#VALUE!</v>
      </c>
    </row>
    <row r="29" spans="1:21" ht="15.75">
      <c r="A29" s="217">
        <v>10</v>
      </c>
      <c r="B29" s="218" t="str">
        <f>IF(VLOOKUP(A29,VFrequerido!$A$15:$I$51,$G$14)=1,LOOKUP(A29,VFrequerido!$A$15:$A$51,VFrequerido!$B$15:$B$51),"")</f>
        <v/>
      </c>
      <c r="C29" s="257" t="str">
        <f ca="1">IF(B29=".","",LOOKUP(A29,EXPERIENCIA!$B$11:$B$50,EXPERIENCIA!$F$11:$F$50))</f>
        <v>CUMPLE</v>
      </c>
      <c r="D29" s="219" t="e">
        <f>+IF(#REF!=" "," ",#REF!/10000000)</f>
        <v>#REF!</v>
      </c>
      <c r="E29" s="275" t="str">
        <f t="shared" ca="1" si="8"/>
        <v>MAY LIMITE SUP.</v>
      </c>
      <c r="F29" s="220" t="e">
        <f t="shared" ca="1" si="0"/>
        <v>#VALUE!</v>
      </c>
      <c r="G29" s="221" t="str">
        <f t="shared" ca="1" si="9"/>
        <v>DESCARTADO</v>
      </c>
      <c r="H29" s="222">
        <f t="shared" si="1"/>
        <v>10</v>
      </c>
      <c r="I29" s="223" t="str">
        <f t="shared" ca="1" si="2"/>
        <v/>
      </c>
      <c r="J29" s="279" t="str">
        <f t="shared" ca="1" si="3"/>
        <v/>
      </c>
      <c r="K29" s="275" t="e">
        <f t="shared" ca="1" si="12"/>
        <v>#DIV/0!</v>
      </c>
      <c r="L29" s="285" t="e">
        <f t="shared" ca="1" si="10"/>
        <v>#DIV/0!</v>
      </c>
      <c r="M29" s="266" t="str">
        <f ca="1">IFERROR(IF((J29-#REF!)&gt;0,(J29-#REF!),""),"")</f>
        <v/>
      </c>
      <c r="N29" s="224" t="e">
        <f t="shared" ca="1" si="4"/>
        <v>#DIV/0!</v>
      </c>
      <c r="O29" s="225" t="e">
        <f t="shared" ca="1" si="5"/>
        <v>#DIV/0!</v>
      </c>
      <c r="P29" s="226" t="e">
        <f t="shared" ca="1" si="6"/>
        <v>#DIV/0!</v>
      </c>
      <c r="Q29" s="226" t="e">
        <f t="shared" ca="1" si="7"/>
        <v>#DIV/0!</v>
      </c>
      <c r="S29" s="261" t="e">
        <f t="shared" si="11"/>
        <v>#VALUE!</v>
      </c>
    </row>
    <row r="30" spans="1:21" ht="15.75">
      <c r="A30" s="217">
        <v>11</v>
      </c>
      <c r="B30" s="218" t="str">
        <f>IF(VLOOKUP(A30,VFrequerido!$A$15:$I$51,$G$14)=1,LOOKUP(A30,VFrequerido!$A$15:$A$51,VFrequerido!$B$15:$B$51),"")</f>
        <v/>
      </c>
      <c r="C30" s="257" t="str">
        <f>IF(B30="","",LOOKUP(A30,EXPERIENCIA!$B$11:$B$50,EXPERIENCIA!$F$11:$F$50))</f>
        <v/>
      </c>
      <c r="D30" s="219" t="e">
        <f>+IF(#REF!=" "," ",#REF!/10000000)</f>
        <v>#REF!</v>
      </c>
      <c r="E30" s="275" t="str">
        <f t="shared" ca="1" si="8"/>
        <v>MAY LIMITE SUP.</v>
      </c>
      <c r="F30" s="220" t="e">
        <f t="shared" ca="1" si="0"/>
        <v>#VALUE!</v>
      </c>
      <c r="G30" s="221" t="str">
        <f t="shared" ca="1" si="9"/>
        <v>DESCARTADO</v>
      </c>
      <c r="H30" s="222">
        <f t="shared" si="1"/>
        <v>11</v>
      </c>
      <c r="I30" s="223" t="str">
        <f t="shared" ca="1" si="2"/>
        <v/>
      </c>
      <c r="J30" s="279" t="str">
        <f t="shared" ca="1" si="3"/>
        <v/>
      </c>
      <c r="K30" s="275" t="e">
        <f t="shared" ca="1" si="12"/>
        <v>#DIV/0!</v>
      </c>
      <c r="L30" s="285" t="e">
        <f t="shared" ca="1" si="10"/>
        <v>#DIV/0!</v>
      </c>
      <c r="M30" s="266" t="str">
        <f ca="1">IFERROR(IF((J30-#REF!)&gt;0,(J30-#REF!),""),"")</f>
        <v/>
      </c>
      <c r="N30" s="224" t="e">
        <f t="shared" ca="1" si="4"/>
        <v>#DIV/0!</v>
      </c>
      <c r="O30" s="225" t="e">
        <f t="shared" ca="1" si="5"/>
        <v>#DIV/0!</v>
      </c>
      <c r="P30" s="226" t="e">
        <f t="shared" ca="1" si="6"/>
        <v>#DIV/0!</v>
      </c>
      <c r="Q30" s="226" t="e">
        <f t="shared" ca="1" si="7"/>
        <v>#DIV/0!</v>
      </c>
      <c r="S30" s="261" t="e">
        <f t="shared" si="11"/>
        <v>#VALUE!</v>
      </c>
    </row>
    <row r="31" spans="1:21" ht="15.75">
      <c r="A31" s="217">
        <v>12</v>
      </c>
      <c r="B31" s="218" t="str">
        <f>IF(VLOOKUP(A31,VFrequerido!$A$15:$I$51,$G$14)=1,LOOKUP(A31,VFrequerido!$A$15:$A$51,VFrequerido!$B$15:$B$51),"")</f>
        <v/>
      </c>
      <c r="C31" s="257" t="str">
        <f>IF(B31="","",LOOKUP(A31,EXPERIENCIA!$B$11:$B$50,EXPERIENCIA!$F$11:$F$50))</f>
        <v/>
      </c>
      <c r="D31" s="219" t="e">
        <f>+IF(#REF!=" "," ",#REF!/10000000)</f>
        <v>#REF!</v>
      </c>
      <c r="E31" s="275" t="str">
        <f t="shared" ca="1" si="8"/>
        <v>MAY LIMITE SUP.</v>
      </c>
      <c r="F31" s="220" t="e">
        <f t="shared" ca="1" si="0"/>
        <v>#VALUE!</v>
      </c>
      <c r="G31" s="221" t="str">
        <f t="shared" ca="1" si="9"/>
        <v>DESCARTADO</v>
      </c>
      <c r="H31" s="222">
        <f t="shared" si="1"/>
        <v>12</v>
      </c>
      <c r="I31" s="223" t="str">
        <f t="shared" ca="1" si="2"/>
        <v/>
      </c>
      <c r="J31" s="279" t="str">
        <f t="shared" ca="1" si="3"/>
        <v/>
      </c>
      <c r="K31" s="275" t="e">
        <f t="shared" ca="1" si="12"/>
        <v>#DIV/0!</v>
      </c>
      <c r="L31" s="285" t="e">
        <f t="shared" ca="1" si="10"/>
        <v>#DIV/0!</v>
      </c>
      <c r="M31" s="266" t="str">
        <f ca="1">IFERROR(IF((J31-#REF!)&gt;0,(J31-#REF!),""),"")</f>
        <v/>
      </c>
      <c r="N31" s="224" t="e">
        <f t="shared" ca="1" si="4"/>
        <v>#DIV/0!</v>
      </c>
      <c r="O31" s="225" t="e">
        <f t="shared" ca="1" si="5"/>
        <v>#DIV/0!</v>
      </c>
      <c r="P31" s="226" t="e">
        <f t="shared" ca="1" si="6"/>
        <v>#DIV/0!</v>
      </c>
      <c r="Q31" s="226" t="e">
        <f t="shared" ca="1" si="7"/>
        <v>#DIV/0!</v>
      </c>
      <c r="S31" s="261" t="e">
        <f t="shared" si="11"/>
        <v>#VALUE!</v>
      </c>
    </row>
    <row r="32" spans="1:21" ht="15.75">
      <c r="A32" s="217">
        <v>13</v>
      </c>
      <c r="B32" s="218" t="str">
        <f>IF(VLOOKUP(A32,VFrequerido!$A$15:$I$51,$G$14)=1,LOOKUP(A32,VFrequerido!$A$15:$A$51,VFrequerido!$B$15:$B$51),"")</f>
        <v/>
      </c>
      <c r="C32" s="257"/>
      <c r="D32" s="219" t="e">
        <f>+IF(#REF!=" "," ",#REF!/10000000)</f>
        <v>#REF!</v>
      </c>
      <c r="E32" s="275" t="str">
        <f t="shared" ca="1" si="8"/>
        <v>MEN LIM INF.</v>
      </c>
      <c r="F32" s="220">
        <f t="shared" ca="1" si="0"/>
        <v>268936.63</v>
      </c>
      <c r="G32" s="221" t="str">
        <f t="shared" ca="1" si="9"/>
        <v>DESCARTADO</v>
      </c>
      <c r="H32" s="222">
        <f t="shared" si="1"/>
        <v>13</v>
      </c>
      <c r="I32" s="223" t="str">
        <f t="shared" ca="1" si="2"/>
        <v/>
      </c>
      <c r="J32" s="279" t="str">
        <f t="shared" ca="1" si="3"/>
        <v/>
      </c>
      <c r="K32" s="275" t="e">
        <f t="shared" ca="1" si="12"/>
        <v>#DIV/0!</v>
      </c>
      <c r="L32" s="285" t="e">
        <f t="shared" ca="1" si="10"/>
        <v>#DIV/0!</v>
      </c>
      <c r="M32" s="266" t="str">
        <f ca="1">IFERROR((J32-#REF!),"")</f>
        <v/>
      </c>
      <c r="N32" s="224" t="e">
        <f t="shared" ca="1" si="4"/>
        <v>#DIV/0!</v>
      </c>
      <c r="O32" s="225" t="e">
        <f t="shared" ca="1" si="5"/>
        <v>#DIV/0!</v>
      </c>
      <c r="P32" s="226" t="e">
        <f t="shared" ca="1" si="6"/>
        <v>#DIV/0!</v>
      </c>
      <c r="Q32" s="226" t="e">
        <f t="shared" ca="1" si="7"/>
        <v>#DIV/0!</v>
      </c>
      <c r="T32" s="158">
        <f>1002-700</f>
        <v>302</v>
      </c>
      <c r="U32" s="158">
        <f>1002-646</f>
        <v>356</v>
      </c>
    </row>
    <row r="33" spans="1:21" ht="15.75">
      <c r="A33" s="217">
        <v>14</v>
      </c>
      <c r="B33" s="218" t="str">
        <f>IF(VLOOKUP(A33,VFrequerido!$A$15:$I$51,$G$14)=1,LOOKUP(A33,VFrequerido!$A$15:$A$51,VFrequerido!$B$15:$B$51),"")</f>
        <v/>
      </c>
      <c r="C33" s="257">
        <f ca="1">LOOKUP(A33,VFrequerido!$A$15:$A$51,VFrequerido!$Y$15:$Y$51)</f>
        <v>537.11</v>
      </c>
      <c r="D33" s="219" t="e">
        <f>+IF(#REF!=" "," ",#REF!/10000000)</f>
        <v>#REF!</v>
      </c>
      <c r="E33" s="275" t="str">
        <f t="shared" ca="1" si="8"/>
        <v>OK</v>
      </c>
      <c r="F33" s="220">
        <f t="shared" ca="1" si="0"/>
        <v>342.95</v>
      </c>
      <c r="G33" s="221" t="str">
        <f t="shared" ca="1" si="9"/>
        <v>ADMISIBLE</v>
      </c>
      <c r="H33" s="222">
        <f t="shared" si="1"/>
        <v>14</v>
      </c>
      <c r="I33" s="223" t="str">
        <f t="shared" ca="1" si="2"/>
        <v/>
      </c>
      <c r="J33" s="279" t="str">
        <f t="shared" ca="1" si="3"/>
        <v/>
      </c>
      <c r="K33" s="275" t="e">
        <f t="shared" ca="1" si="12"/>
        <v>#DIV/0!</v>
      </c>
      <c r="L33" s="285" t="e">
        <f t="shared" ca="1" si="10"/>
        <v>#DIV/0!</v>
      </c>
      <c r="M33" s="263"/>
      <c r="N33" s="224" t="e">
        <f t="shared" ca="1" si="4"/>
        <v>#DIV/0!</v>
      </c>
      <c r="O33" s="225" t="e">
        <f t="shared" ca="1" si="5"/>
        <v>#DIV/0!</v>
      </c>
      <c r="P33" s="226" t="e">
        <f t="shared" ca="1" si="6"/>
        <v>#DIV/0!</v>
      </c>
      <c r="Q33" s="226" t="e">
        <f t="shared" ca="1" si="7"/>
        <v>#DIV/0!</v>
      </c>
    </row>
    <row r="34" spans="1:21" ht="15.75">
      <c r="A34" s="217">
        <v>15</v>
      </c>
      <c r="B34" s="218" t="str">
        <f>IF(VLOOKUP(A34,VFrequerido!$A$15:$I$51,$G$14)=1,LOOKUP(A34,VFrequerido!$A$15:$A$51,VFrequerido!$B$15:$B$51),"")</f>
        <v/>
      </c>
      <c r="C34" s="257">
        <f ca="1">LOOKUP(A34,VFrequerido!$A$15:$A$51,VFrequerido!$Y$15:$Y$51)</f>
        <v>537.11</v>
      </c>
      <c r="D34" s="219" t="e">
        <f>+IF(#REF!=" "," ",#REF!/10000000)</f>
        <v>#REF!</v>
      </c>
      <c r="E34" s="275" t="str">
        <f t="shared" ca="1" si="8"/>
        <v>OK</v>
      </c>
      <c r="F34" s="220">
        <f t="shared" ca="1" si="0"/>
        <v>342.95</v>
      </c>
      <c r="G34" s="221" t="str">
        <f t="shared" ca="1" si="9"/>
        <v>ADMISIBLE</v>
      </c>
      <c r="H34" s="222">
        <f t="shared" si="1"/>
        <v>15</v>
      </c>
      <c r="I34" s="223" t="str">
        <f t="shared" ca="1" si="2"/>
        <v/>
      </c>
      <c r="J34" s="279" t="str">
        <f t="shared" ca="1" si="3"/>
        <v/>
      </c>
      <c r="K34" s="275" t="e">
        <f t="shared" ca="1" si="12"/>
        <v>#DIV/0!</v>
      </c>
      <c r="L34" s="285" t="e">
        <f t="shared" ca="1" si="10"/>
        <v>#DIV/0!</v>
      </c>
      <c r="M34" s="263"/>
      <c r="N34" s="224" t="e">
        <f t="shared" ca="1" si="4"/>
        <v>#DIV/0!</v>
      </c>
      <c r="O34" s="225" t="e">
        <f t="shared" ca="1" si="5"/>
        <v>#DIV/0!</v>
      </c>
      <c r="P34" s="226" t="e">
        <f t="shared" ca="1" si="6"/>
        <v>#DIV/0!</v>
      </c>
      <c r="Q34" s="226" t="e">
        <f t="shared" ca="1" si="7"/>
        <v>#DIV/0!</v>
      </c>
      <c r="T34" s="158">
        <f>800*T32/U32</f>
        <v>678.65168539325805</v>
      </c>
      <c r="U34" s="158">
        <f>1002-696</f>
        <v>306</v>
      </c>
    </row>
    <row r="35" spans="1:21" ht="15.75">
      <c r="A35" s="217">
        <v>16</v>
      </c>
      <c r="B35" s="218" t="str">
        <f>IF(VLOOKUP(A35,VFrequerido!$A$15:$I$51,$G$14)=1,LOOKUP(A35,VFrequerido!$A$15:$A$51,VFrequerido!$B$15:$B$51),"")</f>
        <v/>
      </c>
      <c r="C35" s="257">
        <f ca="1">LOOKUP(A35,VFrequerido!$A$15:$A$51,VFrequerido!$Y$15:$Y$51)</f>
        <v>537.11</v>
      </c>
      <c r="D35" s="219" t="e">
        <f>+IF(#REF!=" "," ",#REF!/10000000)</f>
        <v>#REF!</v>
      </c>
      <c r="E35" s="275" t="str">
        <f t="shared" ca="1" si="8"/>
        <v>OK</v>
      </c>
      <c r="F35" s="220">
        <f t="shared" ca="1" si="0"/>
        <v>342.95</v>
      </c>
      <c r="G35" s="221" t="str">
        <f t="shared" ca="1" si="9"/>
        <v>ADMISIBLE</v>
      </c>
      <c r="H35" s="222">
        <f t="shared" si="1"/>
        <v>16</v>
      </c>
      <c r="I35" s="223" t="str">
        <f t="shared" ca="1" si="2"/>
        <v/>
      </c>
      <c r="J35" s="279" t="str">
        <f t="shared" ca="1" si="3"/>
        <v/>
      </c>
      <c r="K35" s="275" t="e">
        <f t="shared" ca="1" si="12"/>
        <v>#DIV/0!</v>
      </c>
      <c r="L35" s="285" t="e">
        <f t="shared" ca="1" si="10"/>
        <v>#DIV/0!</v>
      </c>
      <c r="M35" s="263"/>
      <c r="N35" s="224" t="e">
        <f t="shared" ca="1" si="4"/>
        <v>#DIV/0!</v>
      </c>
      <c r="O35" s="225" t="e">
        <f t="shared" ca="1" si="5"/>
        <v>#DIV/0!</v>
      </c>
      <c r="P35" s="226" t="e">
        <f t="shared" ca="1" si="6"/>
        <v>#DIV/0!</v>
      </c>
      <c r="Q35" s="226" t="e">
        <f t="shared" ca="1" si="7"/>
        <v>#DIV/0!</v>
      </c>
      <c r="U35" s="158">
        <f>U34*U36</f>
        <v>687.64044943820397</v>
      </c>
    </row>
    <row r="36" spans="1:21" ht="15.75">
      <c r="A36" s="217">
        <v>17</v>
      </c>
      <c r="B36" s="218" t="str">
        <f>IF(VLOOKUP(A36,VFrequerido!$A$15:$I$51,$G$14)=1,LOOKUP(A36,VFrequerido!$A$15:$A$51,VFrequerido!$B$15:$B$51),"")</f>
        <v/>
      </c>
      <c r="C36" s="257">
        <f ca="1">LOOKUP(A36,VFrequerido!$A$15:$A$51,VFrequerido!$Y$15:$Y$51)</f>
        <v>537.11</v>
      </c>
      <c r="D36" s="219" t="e">
        <f>+IF(#REF!=" "," ",#REF!/10000000)</f>
        <v>#REF!</v>
      </c>
      <c r="E36" s="275" t="str">
        <f t="shared" ca="1" si="8"/>
        <v>OK</v>
      </c>
      <c r="F36" s="220">
        <f t="shared" ca="1" si="0"/>
        <v>342.95</v>
      </c>
      <c r="G36" s="221" t="str">
        <f t="shared" ca="1" si="9"/>
        <v>ADMISIBLE</v>
      </c>
      <c r="H36" s="222">
        <f t="shared" si="1"/>
        <v>17</v>
      </c>
      <c r="I36" s="223" t="str">
        <f t="shared" ca="1" si="2"/>
        <v/>
      </c>
      <c r="J36" s="279" t="str">
        <f t="shared" ca="1" si="3"/>
        <v/>
      </c>
      <c r="K36" s="275" t="e">
        <f t="shared" ca="1" si="12"/>
        <v>#DIV/0!</v>
      </c>
      <c r="L36" s="285" t="e">
        <f t="shared" ca="1" si="10"/>
        <v>#DIV/0!</v>
      </c>
      <c r="M36" s="263"/>
      <c r="N36" s="224" t="e">
        <f t="shared" ca="1" si="4"/>
        <v>#DIV/0!</v>
      </c>
      <c r="O36" s="225" t="e">
        <f t="shared" ca="1" si="5"/>
        <v>#DIV/0!</v>
      </c>
      <c r="P36" s="226" t="e">
        <f t="shared" ca="1" si="6"/>
        <v>#DIV/0!</v>
      </c>
      <c r="Q36" s="226" t="e">
        <f t="shared" ca="1" si="7"/>
        <v>#DIV/0!</v>
      </c>
      <c r="S36" s="158">
        <f>1002-942</f>
        <v>60</v>
      </c>
      <c r="T36" s="158">
        <f>800/646</f>
        <v>1.2383900928792599</v>
      </c>
      <c r="U36" s="269">
        <f>800/356</f>
        <v>2.2471910112359601</v>
      </c>
    </row>
    <row r="37" spans="1:21" ht="15.75">
      <c r="A37" s="217">
        <v>18</v>
      </c>
      <c r="B37" s="218" t="str">
        <f>IF(VLOOKUP(A37,VFrequerido!$A$15:$I$51,$G$14)=1,LOOKUP(A37,VFrequerido!$A$15:$A$51,VFrequerido!$B$15:$B$51),"")</f>
        <v/>
      </c>
      <c r="C37" s="257">
        <f ca="1">LOOKUP(A37,VFrequerido!$A$15:$A$51,VFrequerido!$Y$15:$Y$51)</f>
        <v>537.11</v>
      </c>
      <c r="D37" s="219" t="e">
        <f>+IF(#REF!=" "," ",#REF!/10000000)</f>
        <v>#REF!</v>
      </c>
      <c r="E37" s="275" t="str">
        <f t="shared" ca="1" si="8"/>
        <v>OK</v>
      </c>
      <c r="F37" s="220">
        <f t="shared" ca="1" si="0"/>
        <v>342.95</v>
      </c>
      <c r="G37" s="221" t="str">
        <f t="shared" ca="1" si="9"/>
        <v>ADMISIBLE</v>
      </c>
      <c r="H37" s="222">
        <f t="shared" si="1"/>
        <v>18</v>
      </c>
      <c r="I37" s="223" t="str">
        <f t="shared" ca="1" si="2"/>
        <v/>
      </c>
      <c r="J37" s="279" t="str">
        <f t="shared" ca="1" si="3"/>
        <v/>
      </c>
      <c r="K37" s="275" t="e">
        <f t="shared" ca="1" si="12"/>
        <v>#DIV/0!</v>
      </c>
      <c r="L37" s="285" t="e">
        <f t="shared" ca="1" si="10"/>
        <v>#DIV/0!</v>
      </c>
      <c r="M37" s="263"/>
      <c r="N37" s="224" t="e">
        <f ca="1">IF(OR(L37="DESCARTADO",L37=""),"",IF(J37&gt;J82,"DESCARTADO",IF(M37=$M$61,$N$16,IF(J37=$J$60,0,((($N$16*(J37-$J$60)/($K$61-$J$60))))))))</f>
        <v>#DIV/0!</v>
      </c>
      <c r="O37" s="225" t="e">
        <f t="shared" ca="1" si="5"/>
        <v>#DIV/0!</v>
      </c>
      <c r="P37" s="226" t="e">
        <f t="shared" ca="1" si="6"/>
        <v>#DIV/0!</v>
      </c>
      <c r="Q37" s="226" t="e">
        <f t="shared" ca="1" si="7"/>
        <v>#DIV/0!</v>
      </c>
    </row>
    <row r="38" spans="1:21" ht="15.75">
      <c r="A38" s="217">
        <v>19</v>
      </c>
      <c r="B38" s="218" t="str">
        <f>IF(VLOOKUP(A38,VFrequerido!$A$15:$I$51,$G$14)=1,LOOKUP(A38,VFrequerido!$A$15:$A$51,VFrequerido!$B$15:$B$51),"")</f>
        <v/>
      </c>
      <c r="C38" s="257">
        <f ca="1">LOOKUP(A38,VFrequerido!$A$15:$A$51,VFrequerido!$Y$15:$Y$51)</f>
        <v>537.11</v>
      </c>
      <c r="D38" s="219" t="e">
        <f>+IF(#REF!=" "," ",#REF!/10000000)</f>
        <v>#REF!</v>
      </c>
      <c r="E38" s="275" t="str">
        <f t="shared" ca="1" si="8"/>
        <v>OK</v>
      </c>
      <c r="F38" s="220">
        <f t="shared" ca="1" si="0"/>
        <v>342.95</v>
      </c>
      <c r="G38" s="221" t="str">
        <f t="shared" ca="1" si="9"/>
        <v>ADMISIBLE</v>
      </c>
      <c r="H38" s="222">
        <f t="shared" si="1"/>
        <v>19</v>
      </c>
      <c r="I38" s="223" t="str">
        <f t="shared" ca="1" si="2"/>
        <v/>
      </c>
      <c r="J38" s="279" t="str">
        <f t="shared" ca="1" si="3"/>
        <v/>
      </c>
      <c r="K38" s="275" t="e">
        <f t="shared" ca="1" si="12"/>
        <v>#DIV/0!</v>
      </c>
      <c r="L38" s="285" t="e">
        <f t="shared" ca="1" si="10"/>
        <v>#DIV/0!</v>
      </c>
      <c r="M38" s="263"/>
      <c r="N38" s="224" t="e">
        <f ca="1">IF(OR(L38="DESCARTADO",L38=""),"",IF(J38=$J$60,$N$16,IF(J38=$J$61,0,((($N$16*($J$61-J38)/($J$61-$J$60)))))))</f>
        <v>#DIV/0!</v>
      </c>
      <c r="O38" s="225" t="e">
        <f t="shared" ca="1" si="5"/>
        <v>#DIV/0!</v>
      </c>
      <c r="P38" s="226" t="e">
        <f t="shared" ca="1" si="6"/>
        <v>#DIV/0!</v>
      </c>
      <c r="Q38" s="226" t="e">
        <f t="shared" ca="1" si="7"/>
        <v>#DIV/0!</v>
      </c>
      <c r="S38" s="158">
        <f>1002-676</f>
        <v>326</v>
      </c>
    </row>
    <row r="39" spans="1:21" ht="15.75">
      <c r="A39" s="217">
        <v>20</v>
      </c>
      <c r="B39" s="218" t="str">
        <f>IF(VLOOKUP(A39,VFrequerido!$A$15:$I$51,$G$14)=1,LOOKUP(A39,VFrequerido!$A$15:$A$51,VFrequerido!$B$15:$B$51),"")</f>
        <v/>
      </c>
      <c r="C39" s="257">
        <f ca="1">LOOKUP(A39,VFrequerido!$A$15:$A$51,VFrequerido!$Y$15:$Y$51)</f>
        <v>537.11</v>
      </c>
      <c r="D39" s="219" t="e">
        <f>+IF(#REF!=" "," ",#REF!/10000000)</f>
        <v>#REF!</v>
      </c>
      <c r="E39" s="275" t="str">
        <f t="shared" ca="1" si="8"/>
        <v>OK</v>
      </c>
      <c r="F39" s="220">
        <f t="shared" ca="1" si="0"/>
        <v>342.95</v>
      </c>
      <c r="G39" s="221" t="str">
        <f t="shared" ca="1" si="9"/>
        <v>ADMISIBLE</v>
      </c>
      <c r="H39" s="222">
        <f t="shared" si="1"/>
        <v>20</v>
      </c>
      <c r="I39" s="223" t="str">
        <f t="shared" ca="1" si="2"/>
        <v/>
      </c>
      <c r="J39" s="279" t="str">
        <f t="shared" ca="1" si="3"/>
        <v/>
      </c>
      <c r="K39" s="275" t="e">
        <f t="shared" ca="1" si="12"/>
        <v>#DIV/0!</v>
      </c>
      <c r="L39" s="285" t="e">
        <f t="shared" ca="1" si="10"/>
        <v>#DIV/0!</v>
      </c>
      <c r="M39" s="263"/>
      <c r="N39" s="224" t="e">
        <f ca="1">IF(OR(L39="DESCARTADO",L39=""),"",IF(J39=$J$60,$N$16,IF(J39=$J$61,0,((($N$16*($J$61-J39)/($J$61-$J$60)))))))</f>
        <v>#DIV/0!</v>
      </c>
      <c r="O39" s="225" t="e">
        <f t="shared" ca="1" si="5"/>
        <v>#DIV/0!</v>
      </c>
      <c r="P39" s="226" t="e">
        <f t="shared" ca="1" si="6"/>
        <v>#DIV/0!</v>
      </c>
      <c r="Q39" s="226" t="e">
        <f t="shared" ca="1" si="7"/>
        <v>#DIV/0!</v>
      </c>
      <c r="S39" s="158">
        <f>S38*T36</f>
        <v>403.71517027863899</v>
      </c>
      <c r="T39" s="158">
        <f>U36*S36</f>
        <v>134.831460674158</v>
      </c>
    </row>
    <row r="40" spans="1:21" ht="15.75">
      <c r="A40" s="217">
        <v>21</v>
      </c>
      <c r="B40" s="218" t="str">
        <f>IF(VLOOKUP(A40,VFrequerido!$A$15:$I$51,$G$14)=1,LOOKUP(A40,VFrequerido!$A$15:$A$51,VFrequerido!$B$15:$B$51),"")</f>
        <v/>
      </c>
      <c r="C40" s="257">
        <v>424.96</v>
      </c>
      <c r="D40" s="219" t="e">
        <f>+IF(#REF!=" "," ",#REF!/10000000)</f>
        <v>#REF!</v>
      </c>
      <c r="E40" s="275" t="str">
        <f ca="1">IF(C40&lt;$C$67,"MEN LIM INF.",IF(C40&gt;$C$66,"MAY LIMITE SUP.","OK"))</f>
        <v>OK</v>
      </c>
      <c r="F40" s="220">
        <f t="shared" ref="F40:F59" ca="1" si="13">POWER(C40-$C$64,2)/($C$16-1)</f>
        <v>8766.76</v>
      </c>
      <c r="G40" s="221" t="str">
        <f ca="1">IF(E40="OK","ADMISIBLE","DESCARTADO")</f>
        <v>ADMISIBLE</v>
      </c>
      <c r="H40" s="222">
        <f t="shared" ref="H40:H59" si="14">A40</f>
        <v>21</v>
      </c>
      <c r="I40" s="223" t="str">
        <f t="shared" ref="I40:I59" ca="1" si="15">IF(G40="ADMISIBLE",B40,"")</f>
        <v/>
      </c>
      <c r="J40" s="279" t="str">
        <f t="shared" ref="J40:J59" ca="1" si="16">IF(I40="","",C40)</f>
        <v/>
      </c>
      <c r="K40" s="275" t="e">
        <f ca="1">IF(J40&lt;$J$67,"MEN LIM INF.",IF(J40&gt;$J$66,"MAY LIMITE SUP.","OK"))</f>
        <v>#DIV/0!</v>
      </c>
      <c r="L40" s="285" t="e">
        <f ca="1">IF(K40="OK","ADMISIBLE","DESCARTADO")</f>
        <v>#DIV/0!</v>
      </c>
      <c r="M40" s="266" t="str">
        <f ca="1">IFERROR(IF((J40-#REF!)&gt;0,(J40-#REF!),""),"")</f>
        <v/>
      </c>
      <c r="N40" s="224" t="e">
        <f t="shared" ref="N40:N56" ca="1" si="17">IF(OR(L40="DESCARTADO",L40=""),"",IF(J40&gt;$J$66,"DESCARTADO",IF(M40=$M$61,$N$16,IF(J40=$J$60,0,((($N$16*(J40-$J$60)/($K$61-$J$60))))))))</f>
        <v>#DIV/0!</v>
      </c>
      <c r="O40" s="225" t="e">
        <f t="shared" ref="O40:O59" ca="1" si="18">IF(N40&lt;&gt;"",J40/$C$18,"")</f>
        <v>#DIV/0!</v>
      </c>
      <c r="P40" s="226" t="e">
        <f t="shared" ref="P40:P59" ca="1" si="19">IF(N40&lt;&gt;"",J40/$C$64,"")</f>
        <v>#DIV/0!</v>
      </c>
      <c r="Q40" s="226" t="e">
        <f t="shared" ref="Q40:Q59" ca="1" si="20">IF(N40&lt;&gt;"",J40/$J$64,"")</f>
        <v>#DIV/0!</v>
      </c>
      <c r="S40" s="261" t="e">
        <f>MID(B40,LEN(B40)-5,1)</f>
        <v>#VALUE!</v>
      </c>
      <c r="T40" s="158">
        <f>LEN(B40)</f>
        <v>0</v>
      </c>
    </row>
    <row r="41" spans="1:21" ht="15.75">
      <c r="A41" s="217">
        <v>22</v>
      </c>
      <c r="B41" s="218" t="str">
        <f>IF(VLOOKUP(A41,VFrequerido!$A$15:$I$51,$G$14)=1,LOOKUP(A41,VFrequerido!$A$15:$A$51,VFrequerido!$B$15:$B$51),"")</f>
        <v/>
      </c>
      <c r="C41" s="257">
        <v>315.916</v>
      </c>
      <c r="D41" s="219" t="e">
        <f>+IF(#REF!=" "," ",#REF!/10000000)</f>
        <v>#REF!</v>
      </c>
      <c r="E41" s="275" t="str">
        <f t="shared" ref="E41:E59" ca="1" si="21">IF(C41&lt;$C$67,"MEN LIM INF.",IF(C41&gt;$C$66,"MAY LIMITE SUP.","OK"))</f>
        <v>OK</v>
      </c>
      <c r="F41" s="220">
        <f t="shared" ca="1" si="13"/>
        <v>41077.160000000003</v>
      </c>
      <c r="G41" s="221" t="str">
        <f t="shared" ref="G41:G59" ca="1" si="22">IF(E41="OK","ADMISIBLE","DESCARTADO")</f>
        <v>ADMISIBLE</v>
      </c>
      <c r="H41" s="222">
        <f t="shared" si="14"/>
        <v>22</v>
      </c>
      <c r="I41" s="223" t="str">
        <f t="shared" ca="1" si="15"/>
        <v/>
      </c>
      <c r="J41" s="279" t="str">
        <f t="shared" ca="1" si="16"/>
        <v/>
      </c>
      <c r="K41" s="275" t="e">
        <f ca="1">IF(J41&lt;$J$67,"MEN LIM INF.",IF(J41&gt;$J$66,"MAY LIMITE SUP.","OK"))</f>
        <v>#DIV/0!</v>
      </c>
      <c r="L41" s="285" t="e">
        <f t="shared" ref="L41:L59" ca="1" si="23">IF(K41="OK","ADMISIBLE","DESCARTADO")</f>
        <v>#DIV/0!</v>
      </c>
      <c r="M41" s="266" t="str">
        <f ca="1">IFERROR(IF((J41-#REF!)&gt;0,(J41-#REF!),""),"")</f>
        <v/>
      </c>
      <c r="N41" s="224" t="e">
        <f t="shared" ca="1" si="17"/>
        <v>#DIV/0!</v>
      </c>
      <c r="O41" s="225" t="e">
        <f t="shared" ca="1" si="18"/>
        <v>#DIV/0!</v>
      </c>
      <c r="P41" s="226" t="e">
        <f t="shared" ca="1" si="19"/>
        <v>#DIV/0!</v>
      </c>
      <c r="Q41" s="226" t="e">
        <f t="shared" ca="1" si="20"/>
        <v>#DIV/0!</v>
      </c>
      <c r="S41" s="261" t="e">
        <f t="shared" ref="S41:S51" si="24">MID(B41,LEN(B41)-5,1)</f>
        <v>#VALUE!</v>
      </c>
      <c r="U41" s="158">
        <f>667-408</f>
        <v>259</v>
      </c>
    </row>
    <row r="42" spans="1:21" ht="15.75">
      <c r="A42" s="217">
        <v>23</v>
      </c>
      <c r="B42" s="218" t="str">
        <f>IF(VLOOKUP(A42,VFrequerido!$A$15:$I$51,$G$14)=1,LOOKUP(A42,VFrequerido!$A$15:$A$51,VFrequerido!$B$15:$B$51),"")</f>
        <v/>
      </c>
      <c r="C42" s="257" t="str">
        <f>IF(B42="","",LOOKUP(A42,EXPERIENCIA!$B$11:$B$50,EXPERIENCIA!$F$11:$F$50))</f>
        <v/>
      </c>
      <c r="D42" s="219" t="e">
        <f>+IF(#REF!=" "," ",#REF!/10000000)</f>
        <v>#REF!</v>
      </c>
      <c r="E42" s="275" t="str">
        <f t="shared" ca="1" si="21"/>
        <v>MAY LIMITE SUP.</v>
      </c>
      <c r="F42" s="220" t="e">
        <f t="shared" ca="1" si="13"/>
        <v>#VALUE!</v>
      </c>
      <c r="G42" s="221" t="str">
        <f t="shared" ca="1" si="22"/>
        <v>DESCARTADO</v>
      </c>
      <c r="H42" s="222">
        <f t="shared" si="14"/>
        <v>23</v>
      </c>
      <c r="I42" s="223" t="str">
        <f t="shared" ca="1" si="15"/>
        <v/>
      </c>
      <c r="J42" s="279" t="str">
        <f t="shared" ca="1" si="16"/>
        <v/>
      </c>
      <c r="K42" s="275" t="e">
        <f t="shared" ref="K42:K59" ca="1" si="25">IF(J42&lt;$J$67,"MEN LIM INF.",IF(J42&gt;$J$66,"MAY LIMITE SUP.","OK"))</f>
        <v>#DIV/0!</v>
      </c>
      <c r="L42" s="285" t="e">
        <f t="shared" ca="1" si="23"/>
        <v>#DIV/0!</v>
      </c>
      <c r="M42" s="266" t="str">
        <f ca="1">IFERROR(IF((J42-#REF!)&gt;0,(J42-#REF!),""),"")</f>
        <v/>
      </c>
      <c r="N42" s="224" t="e">
        <f t="shared" ca="1" si="17"/>
        <v>#DIV/0!</v>
      </c>
      <c r="O42" s="225" t="e">
        <f t="shared" ca="1" si="18"/>
        <v>#DIV/0!</v>
      </c>
      <c r="P42" s="226" t="e">
        <f t="shared" ca="1" si="19"/>
        <v>#DIV/0!</v>
      </c>
      <c r="Q42" s="226" t="e">
        <f t="shared" ca="1" si="20"/>
        <v>#DIV/0!</v>
      </c>
      <c r="S42" s="261" t="e">
        <f t="shared" si="24"/>
        <v>#VALUE!</v>
      </c>
      <c r="T42" s="259"/>
      <c r="U42" s="158">
        <f>800/U41</f>
        <v>3.0888030888030902</v>
      </c>
    </row>
    <row r="43" spans="1:21" ht="15.75">
      <c r="A43" s="217">
        <v>24</v>
      </c>
      <c r="B43" s="218" t="str">
        <f>IF(VLOOKUP(A43,VFrequerido!$A$15:$I$51,$G$14)=1,LOOKUP(A43,VFrequerido!$A$15:$A$51,VFrequerido!$B$15:$B$51),"")</f>
        <v/>
      </c>
      <c r="C43" s="257" t="str">
        <f>IF(B43="","",LOOKUP(A43,EXPERIENCIA!$B$11:$B$50,EXPERIENCIA!$F$11:$F$50))</f>
        <v/>
      </c>
      <c r="D43" s="219" t="e">
        <f>+IF(#REF!=" "," ",#REF!/10000000)</f>
        <v>#REF!</v>
      </c>
      <c r="E43" s="275" t="str">
        <f t="shared" ca="1" si="21"/>
        <v>MAY LIMITE SUP.</v>
      </c>
      <c r="F43" s="220" t="e">
        <f t="shared" ca="1" si="13"/>
        <v>#VALUE!</v>
      </c>
      <c r="G43" s="221" t="str">
        <f t="shared" ca="1" si="22"/>
        <v>DESCARTADO</v>
      </c>
      <c r="H43" s="222">
        <f t="shared" si="14"/>
        <v>24</v>
      </c>
      <c r="I43" s="223" t="str">
        <f t="shared" ca="1" si="15"/>
        <v/>
      </c>
      <c r="J43" s="279" t="str">
        <f t="shared" ca="1" si="16"/>
        <v/>
      </c>
      <c r="K43" s="275" t="e">
        <f t="shared" ca="1" si="25"/>
        <v>#DIV/0!</v>
      </c>
      <c r="L43" s="285" t="e">
        <f t="shared" ca="1" si="23"/>
        <v>#DIV/0!</v>
      </c>
      <c r="M43" s="266" t="str">
        <f ca="1">IFERROR(IF((J43-#REF!)&gt;0,(J43-#REF!),""),"")</f>
        <v/>
      </c>
      <c r="N43" s="224" t="e">
        <f t="shared" ca="1" si="17"/>
        <v>#DIV/0!</v>
      </c>
      <c r="O43" s="225" t="e">
        <f t="shared" ca="1" si="18"/>
        <v>#DIV/0!</v>
      </c>
      <c r="P43" s="226" t="e">
        <f t="shared" ca="1" si="19"/>
        <v>#DIV/0!</v>
      </c>
      <c r="Q43" s="226" t="e">
        <f t="shared" ca="1" si="20"/>
        <v>#DIV/0!</v>
      </c>
      <c r="S43" s="261" t="e">
        <f t="shared" si="24"/>
        <v>#VALUE!</v>
      </c>
      <c r="T43" s="258"/>
      <c r="U43" s="158">
        <f>453-408</f>
        <v>45</v>
      </c>
    </row>
    <row r="44" spans="1:21" ht="15.75">
      <c r="A44" s="217">
        <v>25</v>
      </c>
      <c r="B44" s="218" t="str">
        <f>IF(VLOOKUP(A44,VFrequerido!$A$15:$I$51,$G$14)=1,LOOKUP(A44,VFrequerido!$A$15:$A$51,VFrequerido!$B$15:$B$51),"")</f>
        <v/>
      </c>
      <c r="C44" s="257" t="str">
        <f>IF(B44="","",LOOKUP(A44,EXPERIENCIA!$B$11:$B$50,EXPERIENCIA!$F$11:$F$50))</f>
        <v/>
      </c>
      <c r="D44" s="219" t="e">
        <f>+IF(#REF!=" "," ",#REF!/10000000)</f>
        <v>#REF!</v>
      </c>
      <c r="E44" s="275" t="str">
        <f t="shared" ca="1" si="21"/>
        <v>MAY LIMITE SUP.</v>
      </c>
      <c r="F44" s="220" t="e">
        <f t="shared" ca="1" si="13"/>
        <v>#VALUE!</v>
      </c>
      <c r="G44" s="221" t="str">
        <f t="shared" ca="1" si="22"/>
        <v>DESCARTADO</v>
      </c>
      <c r="H44" s="222">
        <f t="shared" si="14"/>
        <v>25</v>
      </c>
      <c r="I44" s="223" t="str">
        <f t="shared" ca="1" si="15"/>
        <v/>
      </c>
      <c r="J44" s="279" t="str">
        <f t="shared" ca="1" si="16"/>
        <v/>
      </c>
      <c r="K44" s="275" t="e">
        <f t="shared" ca="1" si="25"/>
        <v>#DIV/0!</v>
      </c>
      <c r="L44" s="285" t="e">
        <f t="shared" ca="1" si="23"/>
        <v>#DIV/0!</v>
      </c>
      <c r="M44" s="266" t="str">
        <f ca="1">IFERROR(IF((J44-#REF!)&gt;0,(J44-#REF!),""),"")</f>
        <v/>
      </c>
      <c r="N44" s="224" t="e">
        <f t="shared" ca="1" si="17"/>
        <v>#DIV/0!</v>
      </c>
      <c r="O44" s="225" t="e">
        <f t="shared" ca="1" si="18"/>
        <v>#DIV/0!</v>
      </c>
      <c r="P44" s="226" t="e">
        <f t="shared" ca="1" si="19"/>
        <v>#DIV/0!</v>
      </c>
      <c r="Q44" s="226" t="e">
        <f t="shared" ca="1" si="20"/>
        <v>#DIV/0!</v>
      </c>
      <c r="S44" s="261" t="e">
        <f t="shared" si="24"/>
        <v>#VALUE!</v>
      </c>
      <c r="U44" s="158">
        <f>+U43*U42</f>
        <v>138.996138996139</v>
      </c>
    </row>
    <row r="45" spans="1:21" ht="15.75">
      <c r="A45" s="217">
        <v>26</v>
      </c>
      <c r="B45" s="218" t="str">
        <f>IF(VLOOKUP(A45,VFrequerido!$A$15:$I$51,$G$14)=1,LOOKUP(A45,VFrequerido!$A$15:$A$51,VFrequerido!$B$15:$B$51),"")</f>
        <v/>
      </c>
      <c r="C45" s="257" t="str">
        <f>IF(B45="","",LOOKUP(A45,EXPERIENCIA!$B$11:$B$50,EXPERIENCIA!$F$11:$F$50))</f>
        <v/>
      </c>
      <c r="D45" s="219" t="e">
        <f>+IF(#REF!=" "," ",#REF!/10000000)</f>
        <v>#REF!</v>
      </c>
      <c r="E45" s="275" t="str">
        <f t="shared" ca="1" si="21"/>
        <v>MAY LIMITE SUP.</v>
      </c>
      <c r="F45" s="220" t="e">
        <f t="shared" ca="1" si="13"/>
        <v>#VALUE!</v>
      </c>
      <c r="G45" s="221" t="str">
        <f t="shared" ca="1" si="22"/>
        <v>DESCARTADO</v>
      </c>
      <c r="H45" s="222">
        <f t="shared" si="14"/>
        <v>26</v>
      </c>
      <c r="I45" s="223" t="str">
        <f t="shared" ca="1" si="15"/>
        <v/>
      </c>
      <c r="J45" s="279" t="str">
        <f t="shared" ca="1" si="16"/>
        <v/>
      </c>
      <c r="K45" s="275" t="e">
        <f t="shared" ca="1" si="25"/>
        <v>#DIV/0!</v>
      </c>
      <c r="L45" s="285" t="e">
        <f t="shared" ca="1" si="23"/>
        <v>#DIV/0!</v>
      </c>
      <c r="M45" s="266" t="str">
        <f ca="1">IFERROR(IF((J45-#REF!)&gt;0,(J45-#REF!),""),"")</f>
        <v/>
      </c>
      <c r="N45" s="224" t="e">
        <f t="shared" ca="1" si="17"/>
        <v>#DIV/0!</v>
      </c>
      <c r="O45" s="225" t="e">
        <f t="shared" ca="1" si="18"/>
        <v>#DIV/0!</v>
      </c>
      <c r="P45" s="226" t="e">
        <f t="shared" ca="1" si="19"/>
        <v>#DIV/0!</v>
      </c>
      <c r="Q45" s="226" t="e">
        <f t="shared" ca="1" si="20"/>
        <v>#DIV/0!</v>
      </c>
      <c r="S45" s="261" t="e">
        <f t="shared" si="24"/>
        <v>#VALUE!</v>
      </c>
    </row>
    <row r="46" spans="1:21" ht="15.75">
      <c r="A46" s="217">
        <v>27</v>
      </c>
      <c r="B46" s="218" t="str">
        <f>IF(VLOOKUP(A46,VFrequerido!$A$15:$I$51,$G$14)=1,LOOKUP(A46,VFrequerido!$A$15:$A$51,VFrequerido!$B$15:$B$51),"")</f>
        <v/>
      </c>
      <c r="C46" s="257" t="str">
        <f>IF(B46="","",LOOKUP(A46,EXPERIENCIA!$B$11:$B$50,EXPERIENCIA!$F$11:$F$50))</f>
        <v/>
      </c>
      <c r="D46" s="219" t="e">
        <f>+IF(#REF!=" "," ",#REF!/10000000)</f>
        <v>#REF!</v>
      </c>
      <c r="E46" s="275" t="str">
        <f t="shared" ca="1" si="21"/>
        <v>MAY LIMITE SUP.</v>
      </c>
      <c r="F46" s="220" t="e">
        <f t="shared" ca="1" si="13"/>
        <v>#VALUE!</v>
      </c>
      <c r="G46" s="221" t="str">
        <f t="shared" ca="1" si="22"/>
        <v>DESCARTADO</v>
      </c>
      <c r="H46" s="222">
        <f t="shared" si="14"/>
        <v>27</v>
      </c>
      <c r="I46" s="223" t="str">
        <f t="shared" ca="1" si="15"/>
        <v/>
      </c>
      <c r="J46" s="279" t="str">
        <f t="shared" ca="1" si="16"/>
        <v/>
      </c>
      <c r="K46" s="275" t="e">
        <f t="shared" ca="1" si="25"/>
        <v>#DIV/0!</v>
      </c>
      <c r="L46" s="285" t="e">
        <f t="shared" ca="1" si="23"/>
        <v>#DIV/0!</v>
      </c>
      <c r="M46" s="266" t="str">
        <f ca="1">IFERROR(IF((J46-#REF!)&gt;0,(J46-#REF!),""),"")</f>
        <v/>
      </c>
      <c r="N46" s="224" t="e">
        <f t="shared" ca="1" si="17"/>
        <v>#DIV/0!</v>
      </c>
      <c r="O46" s="225" t="e">
        <f t="shared" ca="1" si="18"/>
        <v>#DIV/0!</v>
      </c>
      <c r="P46" s="226" t="e">
        <f t="shared" ca="1" si="19"/>
        <v>#DIV/0!</v>
      </c>
      <c r="Q46" s="226" t="e">
        <f t="shared" ca="1" si="20"/>
        <v>#DIV/0!</v>
      </c>
      <c r="S46" s="261" t="e">
        <f t="shared" si="24"/>
        <v>#VALUE!</v>
      </c>
    </row>
    <row r="47" spans="1:21" ht="15.75">
      <c r="A47" s="217">
        <v>28</v>
      </c>
      <c r="B47" s="218" t="str">
        <f>IF(VLOOKUP(A47,VFrequerido!$A$15:$I$51,$G$14)=1,LOOKUP(A47,VFrequerido!$A$15:$A$51,VFrequerido!$B$15:$B$51),"")</f>
        <v/>
      </c>
      <c r="C47" s="257" t="str">
        <f>IF(B47="","",LOOKUP(A47,EXPERIENCIA!$B$11:$B$50,EXPERIENCIA!$F$11:$F$50))</f>
        <v/>
      </c>
      <c r="D47" s="219" t="e">
        <f>+IF(#REF!=" "," ",#REF!/10000000)</f>
        <v>#REF!</v>
      </c>
      <c r="E47" s="275" t="str">
        <f t="shared" ca="1" si="21"/>
        <v>MAY LIMITE SUP.</v>
      </c>
      <c r="F47" s="220" t="e">
        <f t="shared" ca="1" si="13"/>
        <v>#VALUE!</v>
      </c>
      <c r="G47" s="221" t="str">
        <f t="shared" ca="1" si="22"/>
        <v>DESCARTADO</v>
      </c>
      <c r="H47" s="222">
        <f t="shared" si="14"/>
        <v>28</v>
      </c>
      <c r="I47" s="223" t="str">
        <f t="shared" ca="1" si="15"/>
        <v/>
      </c>
      <c r="J47" s="279" t="str">
        <f t="shared" ca="1" si="16"/>
        <v/>
      </c>
      <c r="K47" s="275" t="e">
        <f t="shared" ca="1" si="25"/>
        <v>#DIV/0!</v>
      </c>
      <c r="L47" s="285" t="e">
        <f t="shared" ca="1" si="23"/>
        <v>#DIV/0!</v>
      </c>
      <c r="M47" s="266" t="str">
        <f ca="1">IFERROR(IF((J47-#REF!)&gt;0,(J47-#REF!),""),"")</f>
        <v/>
      </c>
      <c r="N47" s="224" t="e">
        <f t="shared" ca="1" si="17"/>
        <v>#DIV/0!</v>
      </c>
      <c r="O47" s="225" t="e">
        <f t="shared" ca="1" si="18"/>
        <v>#DIV/0!</v>
      </c>
      <c r="P47" s="226" t="e">
        <f t="shared" ca="1" si="19"/>
        <v>#DIV/0!</v>
      </c>
      <c r="Q47" s="226" t="e">
        <f t="shared" ca="1" si="20"/>
        <v>#DIV/0!</v>
      </c>
      <c r="S47" s="261" t="e">
        <f t="shared" si="24"/>
        <v>#VALUE!</v>
      </c>
      <c r="T47" s="158">
        <f>700*800/646</f>
        <v>866.87306501548005</v>
      </c>
    </row>
    <row r="48" spans="1:21" ht="15.75">
      <c r="A48" s="217">
        <v>29</v>
      </c>
      <c r="B48" s="218" t="str">
        <f>IF(VLOOKUP(A48,VFrequerido!$A$15:$I$51,$G$14)=1,LOOKUP(A48,VFrequerido!$A$15:$A$51,VFrequerido!$B$15:$B$51),"")</f>
        <v/>
      </c>
      <c r="C48" s="257" t="str">
        <f>IF(B48="","",LOOKUP(A48,EXPERIENCIA!$B$11:$B$50,EXPERIENCIA!$F$11:$F$50))</f>
        <v/>
      </c>
      <c r="D48" s="219" t="e">
        <f>+IF(#REF!=" "," ",#REF!/10000000)</f>
        <v>#REF!</v>
      </c>
      <c r="E48" s="275" t="str">
        <f t="shared" ca="1" si="21"/>
        <v>MAY LIMITE SUP.</v>
      </c>
      <c r="F48" s="220" t="e">
        <f t="shared" ca="1" si="13"/>
        <v>#VALUE!</v>
      </c>
      <c r="G48" s="221" t="str">
        <f t="shared" ca="1" si="22"/>
        <v>DESCARTADO</v>
      </c>
      <c r="H48" s="222">
        <f t="shared" si="14"/>
        <v>29</v>
      </c>
      <c r="I48" s="223" t="str">
        <f t="shared" ca="1" si="15"/>
        <v/>
      </c>
      <c r="J48" s="279" t="str">
        <f t="shared" ca="1" si="16"/>
        <v/>
      </c>
      <c r="K48" s="275" t="e">
        <f t="shared" ca="1" si="25"/>
        <v>#DIV/0!</v>
      </c>
      <c r="L48" s="285" t="e">
        <f t="shared" ca="1" si="23"/>
        <v>#DIV/0!</v>
      </c>
      <c r="M48" s="266" t="str">
        <f ca="1">IFERROR(IF((J48-#REF!)&gt;0,(J48-#REF!),""),"")</f>
        <v/>
      </c>
      <c r="N48" s="224" t="e">
        <f t="shared" ca="1" si="17"/>
        <v>#DIV/0!</v>
      </c>
      <c r="O48" s="225" t="e">
        <f t="shared" ca="1" si="18"/>
        <v>#DIV/0!</v>
      </c>
      <c r="P48" s="226" t="e">
        <f t="shared" ca="1" si="19"/>
        <v>#DIV/0!</v>
      </c>
      <c r="Q48" s="226" t="e">
        <f t="shared" ca="1" si="20"/>
        <v>#DIV/0!</v>
      </c>
      <c r="S48" s="261" t="e">
        <f t="shared" si="24"/>
        <v>#VALUE!</v>
      </c>
    </row>
    <row r="49" spans="1:21" ht="15.75">
      <c r="A49" s="217">
        <v>30</v>
      </c>
      <c r="B49" s="218" t="str">
        <f>IF(VLOOKUP(A49,VFrequerido!$A$15:$I$51,$G$14)=1,LOOKUP(A49,VFrequerido!$A$15:$A$51,VFrequerido!$B$15:$B$51),"")</f>
        <v/>
      </c>
      <c r="C49" s="257" t="str">
        <f ca="1">IF(B49=".","",LOOKUP(A49,EXPERIENCIA!$B$11:$B$50,EXPERIENCIA!$F$11:$F$50))</f>
        <v>CUMPLE</v>
      </c>
      <c r="D49" s="219" t="e">
        <f>+IF(#REF!=" "," ",#REF!/10000000)</f>
        <v>#REF!</v>
      </c>
      <c r="E49" s="275" t="str">
        <f t="shared" ca="1" si="21"/>
        <v>MAY LIMITE SUP.</v>
      </c>
      <c r="F49" s="220" t="e">
        <f t="shared" ca="1" si="13"/>
        <v>#VALUE!</v>
      </c>
      <c r="G49" s="221" t="str">
        <f t="shared" ca="1" si="22"/>
        <v>DESCARTADO</v>
      </c>
      <c r="H49" s="222">
        <f t="shared" si="14"/>
        <v>30</v>
      </c>
      <c r="I49" s="223" t="str">
        <f t="shared" ca="1" si="15"/>
        <v/>
      </c>
      <c r="J49" s="279" t="str">
        <f t="shared" ca="1" si="16"/>
        <v/>
      </c>
      <c r="K49" s="275" t="e">
        <f t="shared" ca="1" si="25"/>
        <v>#DIV/0!</v>
      </c>
      <c r="L49" s="285" t="e">
        <f t="shared" ca="1" si="23"/>
        <v>#DIV/0!</v>
      </c>
      <c r="M49" s="266" t="str">
        <f ca="1">IFERROR(IF((J49-#REF!)&gt;0,(J49-#REF!),""),"")</f>
        <v/>
      </c>
      <c r="N49" s="224" t="e">
        <f t="shared" ca="1" si="17"/>
        <v>#DIV/0!</v>
      </c>
      <c r="O49" s="225" t="e">
        <f t="shared" ca="1" si="18"/>
        <v>#DIV/0!</v>
      </c>
      <c r="P49" s="226" t="e">
        <f t="shared" ca="1" si="19"/>
        <v>#DIV/0!</v>
      </c>
      <c r="Q49" s="226" t="e">
        <f t="shared" ca="1" si="20"/>
        <v>#DIV/0!</v>
      </c>
      <c r="S49" s="261" t="e">
        <f t="shared" si="24"/>
        <v>#VALUE!</v>
      </c>
    </row>
    <row r="50" spans="1:21" ht="15.75">
      <c r="A50" s="217">
        <v>31</v>
      </c>
      <c r="B50" s="218" t="str">
        <f>IF(VLOOKUP(A50,VFrequerido!$A$15:$I$51,$G$14)=1,LOOKUP(A50,VFrequerido!$A$15:$A$51,VFrequerido!$B$15:$B$51),"")</f>
        <v/>
      </c>
      <c r="C50" s="257" t="str">
        <f>IF(B50="","",LOOKUP(A50,EXPERIENCIA!$B$11:$B$50,EXPERIENCIA!$F$11:$F$50))</f>
        <v/>
      </c>
      <c r="D50" s="219" t="e">
        <f>+IF(#REF!=" "," ",#REF!/10000000)</f>
        <v>#REF!</v>
      </c>
      <c r="E50" s="275" t="str">
        <f t="shared" ca="1" si="21"/>
        <v>MAY LIMITE SUP.</v>
      </c>
      <c r="F50" s="220" t="e">
        <f t="shared" ca="1" si="13"/>
        <v>#VALUE!</v>
      </c>
      <c r="G50" s="221" t="str">
        <f t="shared" ca="1" si="22"/>
        <v>DESCARTADO</v>
      </c>
      <c r="H50" s="222">
        <f t="shared" si="14"/>
        <v>31</v>
      </c>
      <c r="I50" s="223" t="str">
        <f t="shared" ca="1" si="15"/>
        <v/>
      </c>
      <c r="J50" s="279" t="str">
        <f t="shared" ca="1" si="16"/>
        <v/>
      </c>
      <c r="K50" s="275" t="e">
        <f t="shared" ca="1" si="25"/>
        <v>#DIV/0!</v>
      </c>
      <c r="L50" s="285" t="e">
        <f t="shared" ca="1" si="23"/>
        <v>#DIV/0!</v>
      </c>
      <c r="M50" s="266" t="str">
        <f ca="1">IFERROR(IF((J50-#REF!)&gt;0,(J50-#REF!),""),"")</f>
        <v/>
      </c>
      <c r="N50" s="224" t="e">
        <f t="shared" ca="1" si="17"/>
        <v>#DIV/0!</v>
      </c>
      <c r="O50" s="225" t="e">
        <f t="shared" ca="1" si="18"/>
        <v>#DIV/0!</v>
      </c>
      <c r="P50" s="226" t="e">
        <f t="shared" ca="1" si="19"/>
        <v>#DIV/0!</v>
      </c>
      <c r="Q50" s="226" t="e">
        <f t="shared" ca="1" si="20"/>
        <v>#DIV/0!</v>
      </c>
      <c r="S50" s="261" t="e">
        <f t="shared" si="24"/>
        <v>#VALUE!</v>
      </c>
    </row>
    <row r="51" spans="1:21" ht="15.75">
      <c r="A51" s="217">
        <v>32</v>
      </c>
      <c r="B51" s="218" t="str">
        <f>IF(VLOOKUP(A51,VFrequerido!$A$15:$I$51,$G$14)=1,LOOKUP(A51,VFrequerido!$A$15:$A$51,VFrequerido!$B$15:$B$51),"")</f>
        <v/>
      </c>
      <c r="C51" s="257" t="str">
        <f>IF(B51="","",LOOKUP(A51,EXPERIENCIA!$B$11:$B$50,EXPERIENCIA!$F$11:$F$50))</f>
        <v/>
      </c>
      <c r="D51" s="219" t="e">
        <f>+IF(#REF!=" "," ",#REF!/10000000)</f>
        <v>#REF!</v>
      </c>
      <c r="E51" s="275" t="str">
        <f t="shared" ca="1" si="21"/>
        <v>MAY LIMITE SUP.</v>
      </c>
      <c r="F51" s="220" t="e">
        <f t="shared" ca="1" si="13"/>
        <v>#VALUE!</v>
      </c>
      <c r="G51" s="221" t="str">
        <f t="shared" ca="1" si="22"/>
        <v>DESCARTADO</v>
      </c>
      <c r="H51" s="222">
        <f t="shared" si="14"/>
        <v>32</v>
      </c>
      <c r="I51" s="223" t="str">
        <f t="shared" ca="1" si="15"/>
        <v/>
      </c>
      <c r="J51" s="279" t="str">
        <f t="shared" ca="1" si="16"/>
        <v/>
      </c>
      <c r="K51" s="275" t="e">
        <f t="shared" ca="1" si="25"/>
        <v>#DIV/0!</v>
      </c>
      <c r="L51" s="285" t="e">
        <f t="shared" ca="1" si="23"/>
        <v>#DIV/0!</v>
      </c>
      <c r="M51" s="266" t="str">
        <f ca="1">IFERROR(IF((J51-#REF!)&gt;0,(J51-#REF!),""),"")</f>
        <v/>
      </c>
      <c r="N51" s="224" t="e">
        <f t="shared" ca="1" si="17"/>
        <v>#DIV/0!</v>
      </c>
      <c r="O51" s="225" t="e">
        <f t="shared" ca="1" si="18"/>
        <v>#DIV/0!</v>
      </c>
      <c r="P51" s="226" t="e">
        <f t="shared" ca="1" si="19"/>
        <v>#DIV/0!</v>
      </c>
      <c r="Q51" s="226" t="e">
        <f t="shared" ca="1" si="20"/>
        <v>#DIV/0!</v>
      </c>
      <c r="S51" s="261" t="e">
        <f t="shared" si="24"/>
        <v>#VALUE!</v>
      </c>
    </row>
    <row r="52" spans="1:21" ht="15.75">
      <c r="A52" s="217">
        <v>33</v>
      </c>
      <c r="B52" s="218" t="str">
        <f>IF(VLOOKUP(A52,VFrequerido!$A$15:$I$51,$G$14)=1,LOOKUP(A52,VFrequerido!$A$15:$A$51,VFrequerido!$B$15:$B$51),"")</f>
        <v/>
      </c>
      <c r="C52" s="257"/>
      <c r="D52" s="219" t="e">
        <f>+IF(#REF!=" "," ",#REF!/10000000)</f>
        <v>#REF!</v>
      </c>
      <c r="E52" s="275" t="str">
        <f t="shared" ca="1" si="21"/>
        <v>MEN LIM INF.</v>
      </c>
      <c r="F52" s="220">
        <f t="shared" ca="1" si="13"/>
        <v>268936.63</v>
      </c>
      <c r="G52" s="221" t="str">
        <f t="shared" ca="1" si="22"/>
        <v>DESCARTADO</v>
      </c>
      <c r="H52" s="222">
        <f t="shared" si="14"/>
        <v>33</v>
      </c>
      <c r="I52" s="223" t="str">
        <f t="shared" ca="1" si="15"/>
        <v/>
      </c>
      <c r="J52" s="279" t="str">
        <f t="shared" ca="1" si="16"/>
        <v/>
      </c>
      <c r="K52" s="275" t="e">
        <f t="shared" ca="1" si="25"/>
        <v>#DIV/0!</v>
      </c>
      <c r="L52" s="285" t="e">
        <f t="shared" ca="1" si="23"/>
        <v>#DIV/0!</v>
      </c>
      <c r="M52" s="266" t="str">
        <f ca="1">IFERROR((J52-#REF!),"")</f>
        <v/>
      </c>
      <c r="N52" s="224" t="e">
        <f t="shared" ca="1" si="17"/>
        <v>#DIV/0!</v>
      </c>
      <c r="O52" s="225" t="e">
        <f t="shared" ca="1" si="18"/>
        <v>#DIV/0!</v>
      </c>
      <c r="P52" s="226" t="e">
        <f t="shared" ca="1" si="19"/>
        <v>#DIV/0!</v>
      </c>
      <c r="Q52" s="226" t="e">
        <f t="shared" ca="1" si="20"/>
        <v>#DIV/0!</v>
      </c>
      <c r="T52" s="158">
        <f>1002-700</f>
        <v>302</v>
      </c>
      <c r="U52" s="158">
        <f>1002-646</f>
        <v>356</v>
      </c>
    </row>
    <row r="53" spans="1:21" ht="15.75">
      <c r="A53" s="217">
        <v>34</v>
      </c>
      <c r="B53" s="218" t="str">
        <f>IF(VLOOKUP(A53,VFrequerido!$A$15:$I$51,$G$14)=1,LOOKUP(A53,VFrequerido!$A$15:$A$51,VFrequerido!$B$15:$B$51),"")</f>
        <v/>
      </c>
      <c r="C53" s="257">
        <f ca="1">LOOKUP(A53,VFrequerido!$A$15:$A$51,VFrequerido!$Y$15:$Y$51)</f>
        <v>537.11</v>
      </c>
      <c r="D53" s="219" t="e">
        <f>+IF(#REF!=" "," ",#REF!/10000000)</f>
        <v>#REF!</v>
      </c>
      <c r="E53" s="275" t="str">
        <f t="shared" ca="1" si="21"/>
        <v>OK</v>
      </c>
      <c r="F53" s="220">
        <f t="shared" ca="1" si="13"/>
        <v>342.95</v>
      </c>
      <c r="G53" s="221" t="str">
        <f t="shared" ca="1" si="22"/>
        <v>ADMISIBLE</v>
      </c>
      <c r="H53" s="222">
        <f t="shared" si="14"/>
        <v>34</v>
      </c>
      <c r="I53" s="223" t="str">
        <f t="shared" ca="1" si="15"/>
        <v/>
      </c>
      <c r="J53" s="279" t="str">
        <f t="shared" ca="1" si="16"/>
        <v/>
      </c>
      <c r="K53" s="275" t="e">
        <f t="shared" ca="1" si="25"/>
        <v>#DIV/0!</v>
      </c>
      <c r="L53" s="285" t="e">
        <f t="shared" ca="1" si="23"/>
        <v>#DIV/0!</v>
      </c>
      <c r="M53" s="263"/>
      <c r="N53" s="224" t="e">
        <f t="shared" ca="1" si="17"/>
        <v>#DIV/0!</v>
      </c>
      <c r="O53" s="225" t="e">
        <f t="shared" ca="1" si="18"/>
        <v>#DIV/0!</v>
      </c>
      <c r="P53" s="226" t="e">
        <f t="shared" ca="1" si="19"/>
        <v>#DIV/0!</v>
      </c>
      <c r="Q53" s="226" t="e">
        <f t="shared" ca="1" si="20"/>
        <v>#DIV/0!</v>
      </c>
    </row>
    <row r="54" spans="1:21" ht="15.75">
      <c r="A54" s="217">
        <v>35</v>
      </c>
      <c r="B54" s="218" t="str">
        <f>IF(VLOOKUP(A54,VFrequerido!$A$15:$I$51,$G$14)=1,LOOKUP(A54,VFrequerido!$A$15:$A$51,VFrequerido!$B$15:$B$51),"")</f>
        <v/>
      </c>
      <c r="C54" s="257">
        <f ca="1">LOOKUP(A54,VFrequerido!$A$15:$A$51,VFrequerido!$Y$15:$Y$51)</f>
        <v>537.11</v>
      </c>
      <c r="D54" s="219" t="e">
        <f>+IF(#REF!=" "," ",#REF!/10000000)</f>
        <v>#REF!</v>
      </c>
      <c r="E54" s="275" t="str">
        <f t="shared" ca="1" si="21"/>
        <v>OK</v>
      </c>
      <c r="F54" s="220">
        <f t="shared" ca="1" si="13"/>
        <v>342.95</v>
      </c>
      <c r="G54" s="221" t="str">
        <f t="shared" ca="1" si="22"/>
        <v>ADMISIBLE</v>
      </c>
      <c r="H54" s="222">
        <f t="shared" si="14"/>
        <v>35</v>
      </c>
      <c r="I54" s="223" t="str">
        <f t="shared" ca="1" si="15"/>
        <v/>
      </c>
      <c r="J54" s="279" t="str">
        <f t="shared" ca="1" si="16"/>
        <v/>
      </c>
      <c r="K54" s="275" t="e">
        <f t="shared" ca="1" si="25"/>
        <v>#DIV/0!</v>
      </c>
      <c r="L54" s="285" t="e">
        <f t="shared" ca="1" si="23"/>
        <v>#DIV/0!</v>
      </c>
      <c r="M54" s="263"/>
      <c r="N54" s="224" t="e">
        <f t="shared" ca="1" si="17"/>
        <v>#DIV/0!</v>
      </c>
      <c r="O54" s="225" t="e">
        <f t="shared" ca="1" si="18"/>
        <v>#DIV/0!</v>
      </c>
      <c r="P54" s="226" t="e">
        <f t="shared" ca="1" si="19"/>
        <v>#DIV/0!</v>
      </c>
      <c r="Q54" s="226" t="e">
        <f t="shared" ca="1" si="20"/>
        <v>#DIV/0!</v>
      </c>
      <c r="T54" s="158">
        <f>800*T52/U52</f>
        <v>678.65168539325805</v>
      </c>
      <c r="U54" s="158">
        <f>1002-696</f>
        <v>306</v>
      </c>
    </row>
    <row r="55" spans="1:21" ht="15.75">
      <c r="A55" s="217">
        <v>36</v>
      </c>
      <c r="B55" s="218" t="str">
        <f>IF(VLOOKUP(A55,VFrequerido!$A$15:$I$51,$G$14)=1,LOOKUP(A55,VFrequerido!$A$15:$A$51,VFrequerido!$B$15:$B$51),"")</f>
        <v/>
      </c>
      <c r="C55" s="257">
        <f ca="1">LOOKUP(A55,VFrequerido!$A$15:$A$51,VFrequerido!$Y$15:$Y$51)</f>
        <v>537.11</v>
      </c>
      <c r="D55" s="219" t="e">
        <f>+IF(#REF!=" "," ",#REF!/10000000)</f>
        <v>#REF!</v>
      </c>
      <c r="E55" s="275" t="str">
        <f t="shared" ca="1" si="21"/>
        <v>OK</v>
      </c>
      <c r="F55" s="220">
        <f t="shared" ca="1" si="13"/>
        <v>342.95</v>
      </c>
      <c r="G55" s="221" t="str">
        <f t="shared" ca="1" si="22"/>
        <v>ADMISIBLE</v>
      </c>
      <c r="H55" s="222">
        <f t="shared" si="14"/>
        <v>36</v>
      </c>
      <c r="I55" s="223" t="str">
        <f t="shared" ca="1" si="15"/>
        <v/>
      </c>
      <c r="J55" s="279" t="str">
        <f t="shared" ca="1" si="16"/>
        <v/>
      </c>
      <c r="K55" s="275" t="e">
        <f t="shared" ca="1" si="25"/>
        <v>#DIV/0!</v>
      </c>
      <c r="L55" s="285" t="e">
        <f t="shared" ca="1" si="23"/>
        <v>#DIV/0!</v>
      </c>
      <c r="M55" s="263"/>
      <c r="N55" s="224" t="e">
        <f t="shared" ca="1" si="17"/>
        <v>#DIV/0!</v>
      </c>
      <c r="O55" s="225" t="e">
        <f t="shared" ca="1" si="18"/>
        <v>#DIV/0!</v>
      </c>
      <c r="P55" s="226" t="e">
        <f t="shared" ca="1" si="19"/>
        <v>#DIV/0!</v>
      </c>
      <c r="Q55" s="226" t="e">
        <f t="shared" ca="1" si="20"/>
        <v>#DIV/0!</v>
      </c>
      <c r="U55" s="158">
        <f>U54*U56</f>
        <v>687.64044943820397</v>
      </c>
    </row>
    <row r="56" spans="1:21" ht="15.75">
      <c r="A56" s="217">
        <v>37</v>
      </c>
      <c r="B56" s="218">
        <f>IF(VLOOKUP(A56,VFrequerido!$A$15:$I$51,$G$14)=1,LOOKUP(A56,VFrequerido!$A$15:$A$51,VFrequerido!$B$15:$B$51),"")</f>
        <v>0</v>
      </c>
      <c r="C56" s="257">
        <f>LOOKUP(A56,VFrequerido!$A$15:$A$51,VFrequerido!$Y$15:$Y$51)</f>
        <v>0</v>
      </c>
      <c r="D56" s="219" t="e">
        <f>+IF(#REF!=" "," ",#REF!/10000000)</f>
        <v>#REF!</v>
      </c>
      <c r="E56" s="275" t="str">
        <f t="shared" ca="1" si="21"/>
        <v>MEN LIM INF.</v>
      </c>
      <c r="F56" s="220">
        <f t="shared" ca="1" si="13"/>
        <v>268936.63</v>
      </c>
      <c r="G56" s="221" t="str">
        <f t="shared" ca="1" si="22"/>
        <v>DESCARTADO</v>
      </c>
      <c r="H56" s="222">
        <f t="shared" si="14"/>
        <v>37</v>
      </c>
      <c r="I56" s="223" t="str">
        <f t="shared" ca="1" si="15"/>
        <v/>
      </c>
      <c r="J56" s="279" t="str">
        <f t="shared" ca="1" si="16"/>
        <v/>
      </c>
      <c r="K56" s="275" t="e">
        <f t="shared" ca="1" si="25"/>
        <v>#DIV/0!</v>
      </c>
      <c r="L56" s="285" t="e">
        <f t="shared" ca="1" si="23"/>
        <v>#DIV/0!</v>
      </c>
      <c r="M56" s="263"/>
      <c r="N56" s="224" t="e">
        <f t="shared" ca="1" si="17"/>
        <v>#DIV/0!</v>
      </c>
      <c r="O56" s="225" t="e">
        <f t="shared" ca="1" si="18"/>
        <v>#DIV/0!</v>
      </c>
      <c r="P56" s="226" t="e">
        <f t="shared" ca="1" si="19"/>
        <v>#DIV/0!</v>
      </c>
      <c r="Q56" s="226" t="e">
        <f t="shared" ca="1" si="20"/>
        <v>#DIV/0!</v>
      </c>
      <c r="S56" s="158">
        <f>1002-942</f>
        <v>60</v>
      </c>
      <c r="T56" s="158">
        <f>800/646</f>
        <v>1.2383900928792599</v>
      </c>
      <c r="U56" s="269">
        <f>800/356</f>
        <v>2.2471910112359601</v>
      </c>
    </row>
    <row r="57" spans="1:21" ht="15.75">
      <c r="A57" s="217">
        <v>38</v>
      </c>
      <c r="B57" s="218">
        <f>IF(VLOOKUP(A57,VFrequerido!$A$15:$I$51,$G$14)=1,LOOKUP(A57,VFrequerido!$A$15:$A$51,VFrequerido!$B$15:$B$51),"")</f>
        <v>0</v>
      </c>
      <c r="C57" s="257">
        <f>LOOKUP(A57,VFrequerido!$A$15:$A$51,VFrequerido!$Y$15:$Y$51)</f>
        <v>0</v>
      </c>
      <c r="D57" s="219" t="e">
        <f>+IF(#REF!=" "," ",#REF!/10000000)</f>
        <v>#REF!</v>
      </c>
      <c r="E57" s="275" t="str">
        <f t="shared" ca="1" si="21"/>
        <v>MEN LIM INF.</v>
      </c>
      <c r="F57" s="220">
        <f t="shared" ca="1" si="13"/>
        <v>268936.63</v>
      </c>
      <c r="G57" s="221" t="str">
        <f t="shared" ca="1" si="22"/>
        <v>DESCARTADO</v>
      </c>
      <c r="H57" s="222">
        <f t="shared" si="14"/>
        <v>38</v>
      </c>
      <c r="I57" s="223" t="str">
        <f t="shared" ca="1" si="15"/>
        <v/>
      </c>
      <c r="J57" s="279" t="str">
        <f t="shared" ca="1" si="16"/>
        <v/>
      </c>
      <c r="K57" s="275" t="e">
        <f t="shared" ca="1" si="25"/>
        <v>#DIV/0!</v>
      </c>
      <c r="L57" s="285" t="e">
        <f t="shared" ca="1" si="23"/>
        <v>#DIV/0!</v>
      </c>
      <c r="M57" s="263"/>
      <c r="N57" s="224" t="e">
        <f ca="1">IF(OR(L57="DESCARTADO",L57=""),"",IF(J57&gt;J102,"DESCARTADO",IF(M57=$M$61,$N$16,IF(J57=$J$60,0,((($N$16*(J57-$J$60)/($K$61-$J$60))))))))</f>
        <v>#DIV/0!</v>
      </c>
      <c r="O57" s="225" t="e">
        <f t="shared" ca="1" si="18"/>
        <v>#DIV/0!</v>
      </c>
      <c r="P57" s="226" t="e">
        <f t="shared" ca="1" si="19"/>
        <v>#DIV/0!</v>
      </c>
      <c r="Q57" s="226" t="e">
        <f t="shared" ca="1" si="20"/>
        <v>#DIV/0!</v>
      </c>
    </row>
    <row r="58" spans="1:21" ht="15.75">
      <c r="A58" s="217">
        <v>39</v>
      </c>
      <c r="B58" s="218">
        <f>IF(VLOOKUP(A58,VFrequerido!$A$15:$I$51,$G$14)=1,LOOKUP(A58,VFrequerido!$A$15:$A$51,VFrequerido!$B$15:$B$51),"")</f>
        <v>0</v>
      </c>
      <c r="C58" s="257">
        <f>LOOKUP(A58,VFrequerido!$A$15:$A$51,VFrequerido!$Y$15:$Y$51)</f>
        <v>0</v>
      </c>
      <c r="D58" s="219" t="e">
        <f>+IF(#REF!=" "," ",#REF!/10000000)</f>
        <v>#REF!</v>
      </c>
      <c r="E58" s="275" t="str">
        <f t="shared" ca="1" si="21"/>
        <v>MEN LIM INF.</v>
      </c>
      <c r="F58" s="220">
        <f t="shared" ca="1" si="13"/>
        <v>268936.63</v>
      </c>
      <c r="G58" s="221" t="str">
        <f t="shared" ca="1" si="22"/>
        <v>DESCARTADO</v>
      </c>
      <c r="H58" s="222">
        <f t="shared" si="14"/>
        <v>39</v>
      </c>
      <c r="I58" s="223" t="str">
        <f t="shared" ca="1" si="15"/>
        <v/>
      </c>
      <c r="J58" s="279" t="str">
        <f t="shared" ca="1" si="16"/>
        <v/>
      </c>
      <c r="K58" s="275" t="e">
        <f t="shared" ca="1" si="25"/>
        <v>#DIV/0!</v>
      </c>
      <c r="L58" s="285" t="e">
        <f t="shared" ca="1" si="23"/>
        <v>#DIV/0!</v>
      </c>
      <c r="M58" s="263"/>
      <c r="N58" s="224" t="e">
        <f ca="1">IF(OR(L58="DESCARTADO",L58=""),"",IF(J58=$J$60,$N$16,IF(J58=$J$61,0,((($N$16*($J$61-J58)/($J$61-$J$60)))))))</f>
        <v>#DIV/0!</v>
      </c>
      <c r="O58" s="225" t="e">
        <f t="shared" ca="1" si="18"/>
        <v>#DIV/0!</v>
      </c>
      <c r="P58" s="226" t="e">
        <f t="shared" ca="1" si="19"/>
        <v>#DIV/0!</v>
      </c>
      <c r="Q58" s="226" t="e">
        <f t="shared" ca="1" si="20"/>
        <v>#DIV/0!</v>
      </c>
      <c r="S58" s="158">
        <f>1002-676</f>
        <v>326</v>
      </c>
    </row>
    <row r="59" spans="1:21" ht="15.75">
      <c r="A59" s="217">
        <v>40</v>
      </c>
      <c r="B59" s="218">
        <f>IF(VLOOKUP(A59,VFrequerido!$A$15:$I$51,$G$14)=1,LOOKUP(A59,VFrequerido!$A$15:$A$51,VFrequerido!$B$15:$B$51),"")</f>
        <v>0</v>
      </c>
      <c r="C59" s="257">
        <f>LOOKUP(A59,VFrequerido!$A$15:$A$51,VFrequerido!$Y$15:$Y$51)</f>
        <v>0</v>
      </c>
      <c r="D59" s="219" t="e">
        <f>+IF(#REF!=" "," ",#REF!/10000000)</f>
        <v>#REF!</v>
      </c>
      <c r="E59" s="275" t="str">
        <f t="shared" ca="1" si="21"/>
        <v>MEN LIM INF.</v>
      </c>
      <c r="F59" s="220">
        <f t="shared" ca="1" si="13"/>
        <v>268936.63</v>
      </c>
      <c r="G59" s="221" t="str">
        <f t="shared" ca="1" si="22"/>
        <v>DESCARTADO</v>
      </c>
      <c r="H59" s="222">
        <f t="shared" si="14"/>
        <v>40</v>
      </c>
      <c r="I59" s="223" t="str">
        <f t="shared" ca="1" si="15"/>
        <v/>
      </c>
      <c r="J59" s="279" t="str">
        <f t="shared" ca="1" si="16"/>
        <v/>
      </c>
      <c r="K59" s="275" t="e">
        <f t="shared" ca="1" si="25"/>
        <v>#DIV/0!</v>
      </c>
      <c r="L59" s="285" t="e">
        <f t="shared" ca="1" si="23"/>
        <v>#DIV/0!</v>
      </c>
      <c r="M59" s="263"/>
      <c r="N59" s="224" t="e">
        <f ca="1">IF(OR(L59="DESCARTADO",L59=""),"",IF(J59=$J$60,$N$16,IF(J59=$J$61,0,((($N$16*($J$61-J59)/($J$61-$J$60)))))))</f>
        <v>#DIV/0!</v>
      </c>
      <c r="O59" s="225" t="e">
        <f t="shared" ca="1" si="18"/>
        <v>#DIV/0!</v>
      </c>
      <c r="P59" s="226" t="e">
        <f t="shared" ca="1" si="19"/>
        <v>#DIV/0!</v>
      </c>
      <c r="Q59" s="226" t="e">
        <f t="shared" ca="1" si="20"/>
        <v>#DIV/0!</v>
      </c>
      <c r="S59" s="158">
        <f>S58*T56</f>
        <v>403.71517027863899</v>
      </c>
      <c r="T59" s="158">
        <f>U56*S56</f>
        <v>134.831460674158</v>
      </c>
    </row>
    <row r="60" spans="1:21">
      <c r="A60" s="227"/>
      <c r="B60" s="228"/>
      <c r="C60" s="229"/>
      <c r="D60" s="230"/>
      <c r="E60" s="231"/>
      <c r="F60" s="232" t="e">
        <f ca="1">SQRT(SUM(F20:F39))</f>
        <v>#VALUE!</v>
      </c>
      <c r="G60" s="233"/>
      <c r="H60" s="195"/>
      <c r="I60" s="196"/>
      <c r="J60" s="280">
        <f ca="1">MIN(J20:J39)</f>
        <v>424.96</v>
      </c>
      <c r="K60" s="282" t="e">
        <f ca="1">SQRT(SUM(K20:K39))</f>
        <v>#DIV/0!</v>
      </c>
      <c r="L60" s="199"/>
      <c r="M60" s="200"/>
      <c r="N60" s="200"/>
      <c r="O60" s="234"/>
      <c r="P60" s="235"/>
      <c r="Q60" s="236"/>
    </row>
    <row r="61" spans="1:21" ht="13.5" thickBot="1">
      <c r="A61" s="237"/>
      <c r="B61" s="238"/>
      <c r="C61" s="239"/>
      <c r="D61" s="240"/>
      <c r="E61" s="240"/>
      <c r="F61" s="240"/>
      <c r="G61" s="241"/>
      <c r="H61" s="242"/>
      <c r="I61" s="243"/>
      <c r="J61" s="281">
        <f ca="1">MAX(J20:J39)</f>
        <v>424.96</v>
      </c>
      <c r="K61" s="283">
        <v>667</v>
      </c>
      <c r="L61" s="274">
        <f ca="1">MIN(M20:M31)</f>
        <v>0</v>
      </c>
      <c r="M61" s="200" t="e">
        <f ca="1">SMALL(M20:M39,1)</f>
        <v>#NUM!</v>
      </c>
      <c r="N61" s="200"/>
      <c r="O61" s="244"/>
      <c r="P61" s="235"/>
      <c r="Q61" s="236"/>
    </row>
    <row r="62" spans="1:21" ht="19.5" thickBot="1">
      <c r="A62" s="817" t="s">
        <v>93</v>
      </c>
      <c r="B62" s="817"/>
      <c r="C62" s="276">
        <f ca="1">AVERAGE(C20:C39)</f>
        <v>500.072</v>
      </c>
      <c r="D62" s="245"/>
      <c r="E62" s="245"/>
      <c r="F62" s="245"/>
      <c r="G62" s="246"/>
      <c r="H62" s="817" t="s">
        <v>94</v>
      </c>
      <c r="I62" s="817"/>
      <c r="J62" s="278">
        <f ca="1">AVERAGE(J20:J39)</f>
        <v>424.96</v>
      </c>
      <c r="K62" s="247"/>
      <c r="L62" s="248"/>
      <c r="M62" s="200"/>
      <c r="N62" s="200"/>
      <c r="O62" s="244"/>
      <c r="P62" s="235"/>
      <c r="Q62" s="236"/>
      <c r="S62" s="260">
        <f>AVERAGE(T62:T64)</f>
        <v>2900.67</v>
      </c>
      <c r="T62" s="158">
        <v>2379</v>
      </c>
      <c r="U62" s="158">
        <v>2379</v>
      </c>
    </row>
    <row r="63" spans="1:21" ht="19.5" thickBot="1">
      <c r="A63" s="817" t="s">
        <v>95</v>
      </c>
      <c r="B63" s="817"/>
      <c r="C63" s="276">
        <f ca="1">MEDIAN(C20:C39)</f>
        <v>537.11</v>
      </c>
      <c r="D63" s="245"/>
      <c r="E63" s="249" t="s">
        <v>102</v>
      </c>
      <c r="F63" s="249"/>
      <c r="G63" s="246"/>
      <c r="H63" s="817" t="s">
        <v>96</v>
      </c>
      <c r="I63" s="817"/>
      <c r="J63" s="278">
        <f ca="1">MEDIAN(J20:J39)</f>
        <v>424.96</v>
      </c>
      <c r="K63" s="247"/>
      <c r="L63" s="249" t="s">
        <v>103</v>
      </c>
      <c r="M63" s="264"/>
      <c r="N63" s="200"/>
      <c r="O63" s="244"/>
      <c r="P63" s="235"/>
      <c r="Q63" s="236"/>
      <c r="T63" s="158">
        <v>3244</v>
      </c>
    </row>
    <row r="64" spans="1:21" ht="19.5" thickBot="1">
      <c r="A64" s="817" t="s">
        <v>101</v>
      </c>
      <c r="B64" s="817"/>
      <c r="C64" s="276">
        <f ca="1">AVERAGE(C62:C63)</f>
        <v>518.59100000000001</v>
      </c>
      <c r="D64" s="245"/>
      <c r="E64" s="250" t="e">
        <f ca="1">C64/C18</f>
        <v>#DIV/0!</v>
      </c>
      <c r="F64" s="250"/>
      <c r="G64" s="251"/>
      <c r="H64" s="817" t="s">
        <v>100</v>
      </c>
      <c r="I64" s="817"/>
      <c r="J64" s="278">
        <f ca="1">AVERAGE(J62:J63)</f>
        <v>424.96</v>
      </c>
      <c r="K64" s="247"/>
      <c r="L64" s="252" t="e">
        <f ca="1">J64/C18</f>
        <v>#DIV/0!</v>
      </c>
      <c r="M64" s="265"/>
      <c r="N64" s="200"/>
      <c r="O64" s="244"/>
      <c r="P64" s="235"/>
      <c r="Q64" s="236"/>
      <c r="T64" s="158">
        <v>3079</v>
      </c>
      <c r="U64" s="158">
        <v>3244</v>
      </c>
    </row>
    <row r="65" spans="1:21" ht="19.5" thickBot="1">
      <c r="A65" s="817" t="s">
        <v>97</v>
      </c>
      <c r="B65" s="817"/>
      <c r="C65" s="276">
        <f ca="1">STDEV(C20:C31)</f>
        <v>77.105999999999995</v>
      </c>
      <c r="D65" s="245"/>
      <c r="E65" s="245"/>
      <c r="F65" s="245"/>
      <c r="G65" s="246"/>
      <c r="H65" s="817" t="s">
        <v>98</v>
      </c>
      <c r="I65" s="817"/>
      <c r="J65" s="278" t="e">
        <f ca="1">STDEV(J20:J39)</f>
        <v>#DIV/0!</v>
      </c>
      <c r="K65" s="247"/>
      <c r="L65" s="248"/>
      <c r="M65" s="200"/>
      <c r="N65" s="200"/>
      <c r="O65" s="244"/>
      <c r="P65" s="235"/>
      <c r="Q65" s="236"/>
      <c r="S65" s="158">
        <f>AVERAGE(U62:U65)</f>
        <v>2900.6666666666702</v>
      </c>
      <c r="U65" s="158">
        <v>3079</v>
      </c>
    </row>
    <row r="66" spans="1:21" ht="19.5" thickBot="1">
      <c r="A66" s="817" t="s">
        <v>105</v>
      </c>
      <c r="B66" s="817"/>
      <c r="C66" s="277">
        <f ca="1">C64+2*C65</f>
        <v>672.803</v>
      </c>
      <c r="D66" s="245"/>
      <c r="E66" s="245"/>
      <c r="F66" s="245"/>
      <c r="G66" s="246"/>
      <c r="H66" s="818" t="s">
        <v>99</v>
      </c>
      <c r="I66" s="818"/>
      <c r="J66" s="278">
        <f ca="1">1.2*J64</f>
        <v>509.952</v>
      </c>
      <c r="K66" s="247"/>
      <c r="L66" s="248"/>
      <c r="M66" s="200"/>
      <c r="N66" s="200"/>
      <c r="O66" s="244"/>
      <c r="P66" s="235"/>
      <c r="Q66" s="236"/>
    </row>
    <row r="67" spans="1:21" ht="20.25" thickBot="1">
      <c r="A67" s="817" t="s">
        <v>104</v>
      </c>
      <c r="B67" s="817"/>
      <c r="C67" s="277">
        <f ca="1">0.6*C64</f>
        <v>311.15499999999997</v>
      </c>
      <c r="D67" s="245"/>
      <c r="E67" s="245"/>
      <c r="F67" s="245"/>
      <c r="G67" s="246"/>
      <c r="H67" s="817" t="s">
        <v>106</v>
      </c>
      <c r="I67" s="817"/>
      <c r="J67" s="278" t="e">
        <f ca="1">J64-(0.5*J65)</f>
        <v>#DIV/0!</v>
      </c>
      <c r="K67" s="247"/>
      <c r="L67" s="248"/>
      <c r="M67" s="200"/>
      <c r="N67" s="200"/>
      <c r="O67" s="244"/>
      <c r="P67" s="235"/>
      <c r="Q67" s="236"/>
      <c r="S67" s="260" t="e">
        <f ca="1">AVERAGE(J66:J67)</f>
        <v>#DIV/0!</v>
      </c>
    </row>
    <row r="68" spans="1:21">
      <c r="A68" s="253"/>
      <c r="B68" s="253"/>
      <c r="C68" s="253"/>
      <c r="D68" s="253"/>
      <c r="E68" s="253"/>
      <c r="H68" s="254"/>
      <c r="I68" s="254"/>
      <c r="J68" s="254"/>
      <c r="K68" s="254"/>
      <c r="L68" s="254"/>
      <c r="M68" s="254"/>
      <c r="N68" s="254"/>
    </row>
    <row r="69" spans="1:21">
      <c r="F69" s="255" t="e">
        <f ca="1">F60-C69</f>
        <v>#VALUE!</v>
      </c>
      <c r="J69" s="256" t="e">
        <f ca="1">AVERAGE(J66:J67)</f>
        <v>#DIV/0!</v>
      </c>
    </row>
    <row r="70" spans="1:21">
      <c r="H70" s="256"/>
      <c r="J70" s="256">
        <f ca="1">AVERAGE(J20:J27)</f>
        <v>424.96</v>
      </c>
    </row>
    <row r="71" spans="1:21">
      <c r="B71" s="255">
        <f>PRESUPUESTOS!F13</f>
        <v>0</v>
      </c>
      <c r="C71" s="158">
        <f>SUM(B71:B72)/2</f>
        <v>0</v>
      </c>
      <c r="J71" s="165">
        <f ca="1">MEDIAN(J20:J27)</f>
        <v>424.96</v>
      </c>
    </row>
    <row r="72" spans="1:21">
      <c r="B72" s="255">
        <f>PRESUPUESTOS!F17</f>
        <v>0</v>
      </c>
      <c r="C72" s="255"/>
      <c r="J72" s="165">
        <f ca="1">GEOMEAN(J20:J27)</f>
        <v>424.96</v>
      </c>
      <c r="K72" s="165">
        <f ca="1">AVERAGE(J62,J72)</f>
        <v>424.96</v>
      </c>
    </row>
    <row r="73" spans="1:21">
      <c r="B73" s="255">
        <f>PRESUPUESTOS!F18</f>
        <v>0</v>
      </c>
      <c r="C73" s="255"/>
      <c r="J73" s="165">
        <f ca="1">DEVSQ(J20:J27)</f>
        <v>0</v>
      </c>
    </row>
    <row r="74" spans="1:21">
      <c r="B74" s="255">
        <f>PRESUPUESTOS!F19</f>
        <v>0</v>
      </c>
      <c r="C74" s="255"/>
      <c r="J74" s="165">
        <f ca="1">HARMEAN(J20:J27)</f>
        <v>424.96</v>
      </c>
    </row>
    <row r="75" spans="1:21">
      <c r="B75" s="255"/>
      <c r="C75" s="255"/>
      <c r="E75" s="158">
        <v>424.96</v>
      </c>
      <c r="J75" s="165" t="e">
        <f ca="1">STDEV(J20:J27)</f>
        <v>#DIV/0!</v>
      </c>
    </row>
    <row r="76" spans="1:21">
      <c r="B76" s="255"/>
      <c r="E76" s="158">
        <v>315.916</v>
      </c>
      <c r="J76" s="165" t="e">
        <f ca="1">_xlfn.STDEV.S(J20:J27)</f>
        <v>#DIV/0!</v>
      </c>
    </row>
    <row r="77" spans="1:21">
      <c r="E77" s="158">
        <v>696</v>
      </c>
      <c r="J77" s="165">
        <f ca="1">AVEDEV(J20:J27)</f>
        <v>0</v>
      </c>
    </row>
    <row r="78" spans="1:21">
      <c r="E78" s="158">
        <v>564</v>
      </c>
    </row>
    <row r="79" spans="1:21">
      <c r="E79" s="158">
        <v>453</v>
      </c>
    </row>
    <row r="80" spans="1:21">
      <c r="E80" s="158">
        <v>676</v>
      </c>
    </row>
    <row r="81" spans="5:5">
      <c r="E81" s="158">
        <v>541</v>
      </c>
    </row>
    <row r="82" spans="5:5">
      <c r="E82" s="158">
        <v>495</v>
      </c>
    </row>
    <row r="83" spans="5:5">
      <c r="E83" s="158">
        <v>408</v>
      </c>
    </row>
    <row r="84" spans="5:5">
      <c r="E84" s="158">
        <f>STDEV(E75:E83)</f>
        <v>124.88920770738299</v>
      </c>
    </row>
  </sheetData>
  <sheetProtection selectLockedCells="1"/>
  <mergeCells count="26">
    <mergeCell ref="A66:B66"/>
    <mergeCell ref="H66:I66"/>
    <mergeCell ref="A67:B67"/>
    <mergeCell ref="H67:I67"/>
    <mergeCell ref="A63:B63"/>
    <mergeCell ref="H63:I63"/>
    <mergeCell ref="A64:B64"/>
    <mergeCell ref="H64:I64"/>
    <mergeCell ref="A65:B65"/>
    <mergeCell ref="H65:I65"/>
    <mergeCell ref="O14:O16"/>
    <mergeCell ref="P14:P16"/>
    <mergeCell ref="Q14:Q16"/>
    <mergeCell ref="A62:B62"/>
    <mergeCell ref="H62:I62"/>
    <mergeCell ref="A10:N10"/>
    <mergeCell ref="A12:G12"/>
    <mergeCell ref="H12:N12"/>
    <mergeCell ref="A14:A15"/>
    <mergeCell ref="B14:B15"/>
    <mergeCell ref="C14:C15"/>
    <mergeCell ref="H14:H15"/>
    <mergeCell ref="I14:I15"/>
    <mergeCell ref="J14:J15"/>
    <mergeCell ref="L14:L15"/>
    <mergeCell ref="N14:N15"/>
  </mergeCells>
  <conditionalFormatting sqref="C60">
    <cfRule type="cellIs" dxfId="139" priority="769" stopIfTrue="1" operator="equal">
      <formula>"NO VÁLIDA"</formula>
    </cfRule>
  </conditionalFormatting>
  <conditionalFormatting sqref="E20:F20 E21:E39">
    <cfRule type="cellIs" dxfId="138" priority="771" stopIfTrue="1" operator="lessThan">
      <formula>0</formula>
    </cfRule>
    <cfRule type="cellIs" dxfId="137" priority="772" stopIfTrue="1" operator="greaterThan">
      <formula>0</formula>
    </cfRule>
  </conditionalFormatting>
  <conditionalFormatting sqref="G20:G39">
    <cfRule type="cellIs" dxfId="136" priority="775" stopIfTrue="1" operator="equal">
      <formula>"DESCARTADO"</formula>
    </cfRule>
    <cfRule type="cellIs" dxfId="135" priority="776" stopIfTrue="1" operator="equal">
      <formula>"ADMISIBLE"</formula>
    </cfRule>
  </conditionalFormatting>
  <conditionalFormatting sqref="F39">
    <cfRule type="cellIs" dxfId="134" priority="739" stopIfTrue="1" operator="lessThan">
      <formula>0</formula>
    </cfRule>
    <cfRule type="cellIs" dxfId="133" priority="740" stopIfTrue="1" operator="greaterThan">
      <formula>0</formula>
    </cfRule>
  </conditionalFormatting>
  <conditionalFormatting sqref="M39:N39">
    <cfRule type="expression" dxfId="132" priority="743" stopIfTrue="1">
      <formula>$N$20=800</formula>
    </cfRule>
  </conditionalFormatting>
  <conditionalFormatting sqref="I39:J39">
    <cfRule type="expression" dxfId="131" priority="744" stopIfTrue="1">
      <formula>#REF!=800</formula>
    </cfRule>
  </conditionalFormatting>
  <conditionalFormatting sqref="F38">
    <cfRule type="cellIs" dxfId="130" priority="733" stopIfTrue="1" operator="lessThan">
      <formula>0</formula>
    </cfRule>
    <cfRule type="cellIs" dxfId="129" priority="734" stopIfTrue="1" operator="greaterThan">
      <formula>0</formula>
    </cfRule>
  </conditionalFormatting>
  <conditionalFormatting sqref="M38:N38">
    <cfRule type="expression" dxfId="128" priority="737" stopIfTrue="1">
      <formula>$N$20=800</formula>
    </cfRule>
  </conditionalFormatting>
  <conditionalFormatting sqref="I38:J38">
    <cfRule type="expression" dxfId="127" priority="738" stopIfTrue="1">
      <formula>#REF!=800</formula>
    </cfRule>
  </conditionalFormatting>
  <conditionalFormatting sqref="F21">
    <cfRule type="cellIs" dxfId="126" priority="729" stopIfTrue="1" operator="lessThan">
      <formula>0</formula>
    </cfRule>
    <cfRule type="cellIs" dxfId="125" priority="730" stopIfTrue="1" operator="greaterThan">
      <formula>0</formula>
    </cfRule>
  </conditionalFormatting>
  <conditionalFormatting sqref="F37">
    <cfRule type="cellIs" dxfId="124" priority="724" stopIfTrue="1" operator="lessThan">
      <formula>0</formula>
    </cfRule>
    <cfRule type="cellIs" dxfId="123" priority="725" stopIfTrue="1" operator="greaterThan">
      <formula>0</formula>
    </cfRule>
  </conditionalFormatting>
  <conditionalFormatting sqref="I37:J37">
    <cfRule type="expression" dxfId="122" priority="728" stopIfTrue="1">
      <formula>#REF!=800</formula>
    </cfRule>
  </conditionalFormatting>
  <conditionalFormatting sqref="F36">
    <cfRule type="cellIs" dxfId="121" priority="718" stopIfTrue="1" operator="lessThan">
      <formula>0</formula>
    </cfRule>
    <cfRule type="cellIs" dxfId="120" priority="719" stopIfTrue="1" operator="greaterThan">
      <formula>0</formula>
    </cfRule>
  </conditionalFormatting>
  <conditionalFormatting sqref="M36">
    <cfRule type="expression" dxfId="119" priority="722" stopIfTrue="1">
      <formula>$N$20=800</formula>
    </cfRule>
  </conditionalFormatting>
  <conditionalFormatting sqref="I36:J36">
    <cfRule type="expression" dxfId="118" priority="723" stopIfTrue="1">
      <formula>#REF!=800</formula>
    </cfRule>
  </conditionalFormatting>
  <conditionalFormatting sqref="F35">
    <cfRule type="cellIs" dxfId="117" priority="712" stopIfTrue="1" operator="lessThan">
      <formula>0</formula>
    </cfRule>
    <cfRule type="cellIs" dxfId="116" priority="713" stopIfTrue="1" operator="greaterThan">
      <formula>0</formula>
    </cfRule>
  </conditionalFormatting>
  <conditionalFormatting sqref="M35">
    <cfRule type="expression" dxfId="115" priority="716" stopIfTrue="1">
      <formula>$N$20=800</formula>
    </cfRule>
  </conditionalFormatting>
  <conditionalFormatting sqref="I35:J35">
    <cfRule type="expression" dxfId="114" priority="717" stopIfTrue="1">
      <formula>#REF!=800</formula>
    </cfRule>
  </conditionalFormatting>
  <conditionalFormatting sqref="F34">
    <cfRule type="cellIs" dxfId="113" priority="706" stopIfTrue="1" operator="lessThan">
      <formula>0</formula>
    </cfRule>
    <cfRule type="cellIs" dxfId="112" priority="707" stopIfTrue="1" operator="greaterThan">
      <formula>0</formula>
    </cfRule>
  </conditionalFormatting>
  <conditionalFormatting sqref="M34">
    <cfRule type="expression" dxfId="111" priority="710" stopIfTrue="1">
      <formula>$N$20=800</formula>
    </cfRule>
  </conditionalFormatting>
  <conditionalFormatting sqref="I34:J34">
    <cfRule type="expression" dxfId="110" priority="711" stopIfTrue="1">
      <formula>#REF!=800</formula>
    </cfRule>
  </conditionalFormatting>
  <conditionalFormatting sqref="F24">
    <cfRule type="cellIs" dxfId="109" priority="700" stopIfTrue="1" operator="lessThan">
      <formula>0</formula>
    </cfRule>
    <cfRule type="cellIs" dxfId="108" priority="701" stopIfTrue="1" operator="greaterThan">
      <formula>0</formula>
    </cfRule>
  </conditionalFormatting>
  <conditionalFormatting sqref="I24:J24">
    <cfRule type="expression" dxfId="107" priority="705" stopIfTrue="1">
      <formula>#REF!=800</formula>
    </cfRule>
  </conditionalFormatting>
  <conditionalFormatting sqref="F23">
    <cfRule type="cellIs" dxfId="106" priority="696" stopIfTrue="1" operator="lessThan">
      <formula>0</formula>
    </cfRule>
    <cfRule type="cellIs" dxfId="105" priority="697" stopIfTrue="1" operator="greaterThan">
      <formula>0</formula>
    </cfRule>
  </conditionalFormatting>
  <conditionalFormatting sqref="F22">
    <cfRule type="cellIs" dxfId="104" priority="692" stopIfTrue="1" operator="lessThan">
      <formula>0</formula>
    </cfRule>
    <cfRule type="cellIs" dxfId="103" priority="693" stopIfTrue="1" operator="greaterThan">
      <formula>0</formula>
    </cfRule>
  </conditionalFormatting>
  <conditionalFormatting sqref="F27">
    <cfRule type="cellIs" dxfId="102" priority="686" stopIfTrue="1" operator="lessThan">
      <formula>0</formula>
    </cfRule>
    <cfRule type="cellIs" dxfId="101" priority="687" stopIfTrue="1" operator="greaterThan">
      <formula>0</formula>
    </cfRule>
  </conditionalFormatting>
  <conditionalFormatting sqref="I27:J27">
    <cfRule type="expression" dxfId="100" priority="691" stopIfTrue="1">
      <formula>#REF!=800</formula>
    </cfRule>
  </conditionalFormatting>
  <conditionalFormatting sqref="F26">
    <cfRule type="cellIs" dxfId="99" priority="680" stopIfTrue="1" operator="lessThan">
      <formula>0</formula>
    </cfRule>
    <cfRule type="cellIs" dxfId="98" priority="681" stopIfTrue="1" operator="greaterThan">
      <formula>0</formula>
    </cfRule>
  </conditionalFormatting>
  <conditionalFormatting sqref="I26:J26">
    <cfRule type="expression" dxfId="97" priority="685" stopIfTrue="1">
      <formula>#REF!=800</formula>
    </cfRule>
  </conditionalFormatting>
  <conditionalFormatting sqref="F25">
    <cfRule type="cellIs" dxfId="96" priority="674" stopIfTrue="1" operator="lessThan">
      <formula>0</formula>
    </cfRule>
    <cfRule type="cellIs" dxfId="95" priority="675" stopIfTrue="1" operator="greaterThan">
      <formula>0</formula>
    </cfRule>
  </conditionalFormatting>
  <conditionalFormatting sqref="I25:J25">
    <cfRule type="expression" dxfId="94" priority="679" stopIfTrue="1">
      <formula>#REF!=800</formula>
    </cfRule>
  </conditionalFormatting>
  <conditionalFormatting sqref="F30">
    <cfRule type="cellIs" dxfId="93" priority="668" stopIfTrue="1" operator="lessThan">
      <formula>0</formula>
    </cfRule>
    <cfRule type="cellIs" dxfId="92" priority="669" stopIfTrue="1" operator="greaterThan">
      <formula>0</formula>
    </cfRule>
  </conditionalFormatting>
  <conditionalFormatting sqref="I30:J30">
    <cfRule type="expression" dxfId="91" priority="673" stopIfTrue="1">
      <formula>#REF!=800</formula>
    </cfRule>
  </conditionalFormatting>
  <conditionalFormatting sqref="F29">
    <cfRule type="cellIs" dxfId="90" priority="662" stopIfTrue="1" operator="lessThan">
      <formula>0</formula>
    </cfRule>
    <cfRule type="cellIs" dxfId="89" priority="663" stopIfTrue="1" operator="greaterThan">
      <formula>0</formula>
    </cfRule>
  </conditionalFormatting>
  <conditionalFormatting sqref="I29:J29">
    <cfRule type="expression" dxfId="88" priority="667" stopIfTrue="1">
      <formula>#REF!=800</formula>
    </cfRule>
  </conditionalFormatting>
  <conditionalFormatting sqref="F28">
    <cfRule type="cellIs" dxfId="87" priority="656" stopIfTrue="1" operator="lessThan">
      <formula>0</formula>
    </cfRule>
    <cfRule type="cellIs" dxfId="86" priority="657" stopIfTrue="1" operator="greaterThan">
      <formula>0</formula>
    </cfRule>
  </conditionalFormatting>
  <conditionalFormatting sqref="I28:J28">
    <cfRule type="expression" dxfId="85" priority="661" stopIfTrue="1">
      <formula>#REF!=800</formula>
    </cfRule>
  </conditionalFormatting>
  <conditionalFormatting sqref="F33">
    <cfRule type="cellIs" dxfId="84" priority="650" stopIfTrue="1" operator="lessThan">
      <formula>0</formula>
    </cfRule>
    <cfRule type="cellIs" dxfId="83" priority="651" stopIfTrue="1" operator="greaterThan">
      <formula>0</formula>
    </cfRule>
  </conditionalFormatting>
  <conditionalFormatting sqref="M33">
    <cfRule type="expression" dxfId="82" priority="654" stopIfTrue="1">
      <formula>$N$20=800</formula>
    </cfRule>
  </conditionalFormatting>
  <conditionalFormatting sqref="I33:J33">
    <cfRule type="expression" dxfId="81" priority="655" stopIfTrue="1">
      <formula>#REF!=800</formula>
    </cfRule>
  </conditionalFormatting>
  <conditionalFormatting sqref="F32">
    <cfRule type="cellIs" dxfId="80" priority="644" stopIfTrue="1" operator="lessThan">
      <formula>0</formula>
    </cfRule>
    <cfRule type="cellIs" dxfId="79" priority="645" stopIfTrue="1" operator="greaterThan">
      <formula>0</formula>
    </cfRule>
  </conditionalFormatting>
  <conditionalFormatting sqref="I32:J32">
    <cfRule type="expression" dxfId="78" priority="649" stopIfTrue="1">
      <formula>#REF!=800</formula>
    </cfRule>
  </conditionalFormatting>
  <conditionalFormatting sqref="F31">
    <cfRule type="cellIs" dxfId="77" priority="638" stopIfTrue="1" operator="lessThan">
      <formula>0</formula>
    </cfRule>
    <cfRule type="cellIs" dxfId="76" priority="639" stopIfTrue="1" operator="greaterThan">
      <formula>0</formula>
    </cfRule>
  </conditionalFormatting>
  <conditionalFormatting sqref="I31:J31">
    <cfRule type="expression" dxfId="75" priority="643" stopIfTrue="1">
      <formula>#REF!=800</formula>
    </cfRule>
  </conditionalFormatting>
  <conditionalFormatting sqref="L20:L39">
    <cfRule type="cellIs" dxfId="74" priority="73" operator="equal">
      <formula>"DESCARTADO"</formula>
    </cfRule>
  </conditionalFormatting>
  <conditionalFormatting sqref="H20:J39 L20:N39">
    <cfRule type="expression" dxfId="73" priority="72">
      <formula>$N20=800</formula>
    </cfRule>
  </conditionalFormatting>
  <conditionalFormatting sqref="J66:K67">
    <cfRule type="cellIs" dxfId="72" priority="1023" stopIfTrue="1" operator="equal">
      <formula>#REF!</formula>
    </cfRule>
  </conditionalFormatting>
  <conditionalFormatting sqref="C20:C39">
    <cfRule type="cellIs" dxfId="71" priority="1024" stopIfTrue="1" operator="notBetween">
      <formula>$C$67</formula>
      <formula>$C$66</formula>
    </cfRule>
  </conditionalFormatting>
  <conditionalFormatting sqref="K20:K39">
    <cfRule type="cellIs" dxfId="70" priority="70" stopIfTrue="1" operator="lessThan">
      <formula>0</formula>
    </cfRule>
    <cfRule type="cellIs" dxfId="69" priority="71" stopIfTrue="1" operator="greaterThan">
      <formula>0</formula>
    </cfRule>
  </conditionalFormatting>
  <conditionalFormatting sqref="E40:F40 E41:E59">
    <cfRule type="cellIs" dxfId="68" priority="65" stopIfTrue="1" operator="lessThan">
      <formula>0</formula>
    </cfRule>
    <cfRule type="cellIs" dxfId="67" priority="66" stopIfTrue="1" operator="greaterThan">
      <formula>0</formula>
    </cfRule>
  </conditionalFormatting>
  <conditionalFormatting sqref="G40:G59">
    <cfRule type="cellIs" dxfId="66" priority="67" stopIfTrue="1" operator="equal">
      <formula>"DESCARTADO"</formula>
    </cfRule>
    <cfRule type="cellIs" dxfId="65" priority="68" stopIfTrue="1" operator="equal">
      <formula>"ADMISIBLE"</formula>
    </cfRule>
  </conditionalFormatting>
  <conditionalFormatting sqref="F59">
    <cfRule type="cellIs" dxfId="64" priority="61" stopIfTrue="1" operator="lessThan">
      <formula>0</formula>
    </cfRule>
    <cfRule type="cellIs" dxfId="63" priority="62" stopIfTrue="1" operator="greaterThan">
      <formula>0</formula>
    </cfRule>
  </conditionalFormatting>
  <conditionalFormatting sqref="M59:N59">
    <cfRule type="expression" dxfId="62" priority="63" stopIfTrue="1">
      <formula>$N$20=800</formula>
    </cfRule>
  </conditionalFormatting>
  <conditionalFormatting sqref="I59:J59">
    <cfRule type="expression" dxfId="61" priority="64" stopIfTrue="1">
      <formula>#REF!=800</formula>
    </cfRule>
  </conditionalFormatting>
  <conditionalFormatting sqref="F58">
    <cfRule type="cellIs" dxfId="60" priority="57" stopIfTrue="1" operator="lessThan">
      <formula>0</formula>
    </cfRule>
    <cfRule type="cellIs" dxfId="59" priority="58" stopIfTrue="1" operator="greaterThan">
      <formula>0</formula>
    </cfRule>
  </conditionalFormatting>
  <conditionalFormatting sqref="M58:N58">
    <cfRule type="expression" dxfId="58" priority="59" stopIfTrue="1">
      <formula>$N$20=800</formula>
    </cfRule>
  </conditionalFormatting>
  <conditionalFormatting sqref="I58:J58">
    <cfRule type="expression" dxfId="57" priority="60" stopIfTrue="1">
      <formula>#REF!=800</formula>
    </cfRule>
  </conditionalFormatting>
  <conditionalFormatting sqref="F41">
    <cfRule type="cellIs" dxfId="56" priority="55" stopIfTrue="1" operator="lessThan">
      <formula>0</formula>
    </cfRule>
    <cfRule type="cellIs" dxfId="55" priority="56" stopIfTrue="1" operator="greaterThan">
      <formula>0</formula>
    </cfRule>
  </conditionalFormatting>
  <conditionalFormatting sqref="F57">
    <cfRule type="cellIs" dxfId="54" priority="52" stopIfTrue="1" operator="lessThan">
      <formula>0</formula>
    </cfRule>
    <cfRule type="cellIs" dxfId="53" priority="53" stopIfTrue="1" operator="greaterThan">
      <formula>0</formula>
    </cfRule>
  </conditionalFormatting>
  <conditionalFormatting sqref="I57:J57">
    <cfRule type="expression" dxfId="52" priority="54" stopIfTrue="1">
      <formula>#REF!=800</formula>
    </cfRule>
  </conditionalFormatting>
  <conditionalFormatting sqref="F56">
    <cfRule type="cellIs" dxfId="51" priority="48" stopIfTrue="1" operator="lessThan">
      <formula>0</formula>
    </cfRule>
    <cfRule type="cellIs" dxfId="50" priority="49" stopIfTrue="1" operator="greaterThan">
      <formula>0</formula>
    </cfRule>
  </conditionalFormatting>
  <conditionalFormatting sqref="M56">
    <cfRule type="expression" dxfId="49" priority="50" stopIfTrue="1">
      <formula>$N$20=800</formula>
    </cfRule>
  </conditionalFormatting>
  <conditionalFormatting sqref="I56:J56">
    <cfRule type="expression" dxfId="48" priority="51" stopIfTrue="1">
      <formula>#REF!=800</formula>
    </cfRule>
  </conditionalFormatting>
  <conditionalFormatting sqref="F55">
    <cfRule type="cellIs" dxfId="47" priority="44" stopIfTrue="1" operator="lessThan">
      <formula>0</formula>
    </cfRule>
    <cfRule type="cellIs" dxfId="46" priority="45" stopIfTrue="1" operator="greaterThan">
      <formula>0</formula>
    </cfRule>
  </conditionalFormatting>
  <conditionalFormatting sqref="M55">
    <cfRule type="expression" dxfId="45" priority="46" stopIfTrue="1">
      <formula>$N$20=800</formula>
    </cfRule>
  </conditionalFormatting>
  <conditionalFormatting sqref="I55:J55">
    <cfRule type="expression" dxfId="44" priority="47" stopIfTrue="1">
      <formula>#REF!=800</formula>
    </cfRule>
  </conditionalFormatting>
  <conditionalFormatting sqref="F54">
    <cfRule type="cellIs" dxfId="43" priority="40" stopIfTrue="1" operator="lessThan">
      <formula>0</formula>
    </cfRule>
    <cfRule type="cellIs" dxfId="42" priority="41" stopIfTrue="1" operator="greaterThan">
      <formula>0</formula>
    </cfRule>
  </conditionalFormatting>
  <conditionalFormatting sqref="M54">
    <cfRule type="expression" dxfId="41" priority="42" stopIfTrue="1">
      <formula>$N$20=800</formula>
    </cfRule>
  </conditionalFormatting>
  <conditionalFormatting sqref="I54:J54">
    <cfRule type="expression" dxfId="40" priority="43" stopIfTrue="1">
      <formula>#REF!=800</formula>
    </cfRule>
  </conditionalFormatting>
  <conditionalFormatting sqref="F44">
    <cfRule type="cellIs" dxfId="39" priority="37" stopIfTrue="1" operator="lessThan">
      <formula>0</formula>
    </cfRule>
    <cfRule type="cellIs" dxfId="38" priority="38" stopIfTrue="1" operator="greaterThan">
      <formula>0</formula>
    </cfRule>
  </conditionalFormatting>
  <conditionalFormatting sqref="I44:J44">
    <cfRule type="expression" dxfId="37" priority="39" stopIfTrue="1">
      <formula>#REF!=800</formula>
    </cfRule>
  </conditionalFormatting>
  <conditionalFormatting sqref="F43">
    <cfRule type="cellIs" dxfId="36" priority="35" stopIfTrue="1" operator="lessThan">
      <formula>0</formula>
    </cfRule>
    <cfRule type="cellIs" dxfId="35" priority="36" stopIfTrue="1" operator="greaterThan">
      <formula>0</formula>
    </cfRule>
  </conditionalFormatting>
  <conditionalFormatting sqref="F42">
    <cfRule type="cellIs" dxfId="34" priority="33" stopIfTrue="1" operator="lessThan">
      <formula>0</formula>
    </cfRule>
    <cfRule type="cellIs" dxfId="33" priority="34" stopIfTrue="1" operator="greaterThan">
      <formula>0</formula>
    </cfRule>
  </conditionalFormatting>
  <conditionalFormatting sqref="F47">
    <cfRule type="cellIs" dxfId="32" priority="30" stopIfTrue="1" operator="lessThan">
      <formula>0</formula>
    </cfRule>
    <cfRule type="cellIs" dxfId="31" priority="31" stopIfTrue="1" operator="greaterThan">
      <formula>0</formula>
    </cfRule>
  </conditionalFormatting>
  <conditionalFormatting sqref="I47:J47">
    <cfRule type="expression" dxfId="30" priority="32" stopIfTrue="1">
      <formula>#REF!=800</formula>
    </cfRule>
  </conditionalFormatting>
  <conditionalFormatting sqref="F46">
    <cfRule type="cellIs" dxfId="29" priority="27" stopIfTrue="1" operator="lessThan">
      <formula>0</formula>
    </cfRule>
    <cfRule type="cellIs" dxfId="28" priority="28" stopIfTrue="1" operator="greaterThan">
      <formula>0</formula>
    </cfRule>
  </conditionalFormatting>
  <conditionalFormatting sqref="I46:J46">
    <cfRule type="expression" dxfId="27" priority="29" stopIfTrue="1">
      <formula>#REF!=800</formula>
    </cfRule>
  </conditionalFormatting>
  <conditionalFormatting sqref="F45">
    <cfRule type="cellIs" dxfId="26" priority="24" stopIfTrue="1" operator="lessThan">
      <formula>0</formula>
    </cfRule>
    <cfRule type="cellIs" dxfId="25" priority="25" stopIfTrue="1" operator="greaterThan">
      <formula>0</formula>
    </cfRule>
  </conditionalFormatting>
  <conditionalFormatting sqref="I45:J45">
    <cfRule type="expression" dxfId="24" priority="26" stopIfTrue="1">
      <formula>#REF!=800</formula>
    </cfRule>
  </conditionalFormatting>
  <conditionalFormatting sqref="F50">
    <cfRule type="cellIs" dxfId="23" priority="21" stopIfTrue="1" operator="lessThan">
      <formula>0</formula>
    </cfRule>
    <cfRule type="cellIs" dxfId="22" priority="22" stopIfTrue="1" operator="greaterThan">
      <formula>0</formula>
    </cfRule>
  </conditionalFormatting>
  <conditionalFormatting sqref="I50:J50">
    <cfRule type="expression" dxfId="21" priority="23" stopIfTrue="1">
      <formula>#REF!=800</formula>
    </cfRule>
  </conditionalFormatting>
  <conditionalFormatting sqref="F49">
    <cfRule type="cellIs" dxfId="20" priority="18" stopIfTrue="1" operator="lessThan">
      <formula>0</formula>
    </cfRule>
    <cfRule type="cellIs" dxfId="19" priority="19" stopIfTrue="1" operator="greaterThan">
      <formula>0</formula>
    </cfRule>
  </conditionalFormatting>
  <conditionalFormatting sqref="I49:J49">
    <cfRule type="expression" dxfId="18" priority="20" stopIfTrue="1">
      <formula>#REF!=800</formula>
    </cfRule>
  </conditionalFormatting>
  <conditionalFormatting sqref="F48">
    <cfRule type="cellIs" dxfId="17" priority="15" stopIfTrue="1" operator="lessThan">
      <formula>0</formula>
    </cfRule>
    <cfRule type="cellIs" dxfId="16" priority="16" stopIfTrue="1" operator="greaterThan">
      <formula>0</formula>
    </cfRule>
  </conditionalFormatting>
  <conditionalFormatting sqref="I48:J48">
    <cfRule type="expression" dxfId="15" priority="17" stopIfTrue="1">
      <formula>#REF!=800</formula>
    </cfRule>
  </conditionalFormatting>
  <conditionalFormatting sqref="F53">
    <cfRule type="cellIs" dxfId="14" priority="11" stopIfTrue="1" operator="lessThan">
      <formula>0</formula>
    </cfRule>
    <cfRule type="cellIs" dxfId="13" priority="12" stopIfTrue="1" operator="greaterThan">
      <formula>0</formula>
    </cfRule>
  </conditionalFormatting>
  <conditionalFormatting sqref="M53">
    <cfRule type="expression" dxfId="12" priority="13" stopIfTrue="1">
      <formula>$N$20=800</formula>
    </cfRule>
  </conditionalFormatting>
  <conditionalFormatting sqref="I53:J53">
    <cfRule type="expression" dxfId="11" priority="14" stopIfTrue="1">
      <formula>#REF!=800</formula>
    </cfRule>
  </conditionalFormatting>
  <conditionalFormatting sqref="F52">
    <cfRule type="cellIs" dxfId="10" priority="8" stopIfTrue="1" operator="lessThan">
      <formula>0</formula>
    </cfRule>
    <cfRule type="cellIs" dxfId="9" priority="9" stopIfTrue="1" operator="greaterThan">
      <formula>0</formula>
    </cfRule>
  </conditionalFormatting>
  <conditionalFormatting sqref="I52:J52">
    <cfRule type="expression" dxfId="8" priority="10" stopIfTrue="1">
      <formula>#REF!=800</formula>
    </cfRule>
  </conditionalFormatting>
  <conditionalFormatting sqref="F51">
    <cfRule type="cellIs" dxfId="7" priority="5" stopIfTrue="1" operator="lessThan">
      <formula>0</formula>
    </cfRule>
    <cfRule type="cellIs" dxfId="6" priority="6" stopIfTrue="1" operator="greaterThan">
      <formula>0</formula>
    </cfRule>
  </conditionalFormatting>
  <conditionalFormatting sqref="I51:J51">
    <cfRule type="expression" dxfId="5" priority="7" stopIfTrue="1">
      <formula>#REF!=800</formula>
    </cfRule>
  </conditionalFormatting>
  <conditionalFormatting sqref="L40:L59">
    <cfRule type="cellIs" dxfId="4" priority="4" operator="equal">
      <formula>"DESCARTADO"</formula>
    </cfRule>
  </conditionalFormatting>
  <conditionalFormatting sqref="H40:J59 L40:N59">
    <cfRule type="expression" dxfId="3" priority="3">
      <formula>$N40=800</formula>
    </cfRule>
  </conditionalFormatting>
  <conditionalFormatting sqref="C40:C59">
    <cfRule type="cellIs" dxfId="2" priority="69" stopIfTrue="1" operator="notBetween">
      <formula>$C$67</formula>
      <formula>$C$66</formula>
    </cfRule>
  </conditionalFormatting>
  <conditionalFormatting sqref="K40:K59">
    <cfRule type="cellIs" dxfId="1" priority="1" stopIfTrue="1" operator="lessThan">
      <formula>0</formula>
    </cfRule>
    <cfRule type="cellIs" dxfId="0" priority="2" stopIfTrue="1" operator="greaterThan">
      <formula>0</formula>
    </cfRule>
  </conditionalFormatting>
  <printOptions horizontalCentered="1" verticalCentered="1"/>
  <pageMargins left="0.39370078740157483" right="0.39370078740157483" top="0.39370078740157483" bottom="0.39370078740157483" header="0" footer="0"/>
  <pageSetup scale="70" orientation="landscape" blackAndWhite="1"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2:H16"/>
  <sheetViews>
    <sheetView workbookViewId="0">
      <selection activeCell="J11" sqref="J11"/>
    </sheetView>
  </sheetViews>
  <sheetFormatPr baseColWidth="10" defaultRowHeight="12.75"/>
  <cols>
    <col min="1" max="1" width="2.28515625" customWidth="1"/>
    <col min="2" max="2" width="5.42578125" style="102" customWidth="1"/>
    <col min="3" max="3" width="6.28515625" style="102" customWidth="1"/>
    <col min="4" max="4" width="12.7109375" customWidth="1"/>
    <col min="5" max="8" width="20.7109375" customWidth="1"/>
    <col min="9" max="9" width="5.5703125" customWidth="1"/>
  </cols>
  <sheetData>
    <row r="2" spans="2:8">
      <c r="B2" s="819" t="s">
        <v>49</v>
      </c>
      <c r="C2" s="819"/>
      <c r="D2" s="819"/>
      <c r="E2" s="819"/>
      <c r="F2" s="819"/>
      <c r="G2" s="819"/>
      <c r="H2" s="819"/>
    </row>
    <row r="3" spans="2:8" ht="27" customHeight="1">
      <c r="B3" s="823" t="s">
        <v>48</v>
      </c>
      <c r="C3" s="823"/>
      <c r="D3" s="823"/>
      <c r="E3" s="823"/>
      <c r="F3" s="823"/>
      <c r="G3" s="823"/>
      <c r="H3" s="823"/>
    </row>
    <row r="4" spans="2:8" ht="15" customHeight="1">
      <c r="B4" s="107" t="s">
        <v>23</v>
      </c>
      <c r="C4" s="107"/>
      <c r="D4" s="107" t="s">
        <v>47</v>
      </c>
      <c r="E4" s="107" t="s">
        <v>43</v>
      </c>
      <c r="F4" s="107" t="s">
        <v>44</v>
      </c>
      <c r="G4" s="107" t="s">
        <v>45</v>
      </c>
      <c r="H4" s="107" t="s">
        <v>46</v>
      </c>
    </row>
    <row r="5" spans="2:8" ht="15" customHeight="1">
      <c r="B5" s="103">
        <v>1</v>
      </c>
      <c r="C5" s="820" t="s">
        <v>51</v>
      </c>
      <c r="D5" s="106">
        <v>42727</v>
      </c>
      <c r="E5" s="104" t="s">
        <v>50</v>
      </c>
      <c r="F5" s="105"/>
      <c r="G5" s="105"/>
      <c r="H5" s="105"/>
    </row>
    <row r="6" spans="2:8" ht="15" customHeight="1">
      <c r="B6" s="103">
        <v>2</v>
      </c>
      <c r="C6" s="821"/>
      <c r="D6" s="106"/>
      <c r="E6" s="105"/>
      <c r="F6" s="105"/>
      <c r="G6" s="105"/>
      <c r="H6" s="105"/>
    </row>
    <row r="7" spans="2:8" ht="15" customHeight="1">
      <c r="B7" s="103">
        <v>3</v>
      </c>
      <c r="C7" s="821"/>
      <c r="D7" s="106"/>
      <c r="E7" s="105"/>
      <c r="F7" s="105"/>
      <c r="G7" s="105"/>
      <c r="H7" s="105"/>
    </row>
    <row r="8" spans="2:8" ht="15" customHeight="1">
      <c r="B8" s="103">
        <v>4</v>
      </c>
      <c r="C8" s="821"/>
      <c r="D8" s="106"/>
      <c r="E8" s="105"/>
      <c r="F8" s="105"/>
      <c r="G8" s="105"/>
      <c r="H8" s="105"/>
    </row>
    <row r="9" spans="2:8" ht="15" customHeight="1">
      <c r="B9" s="103">
        <v>5</v>
      </c>
      <c r="C9" s="821"/>
      <c r="D9" s="106"/>
      <c r="E9" s="105"/>
      <c r="F9" s="105"/>
      <c r="G9" s="105"/>
      <c r="H9" s="105"/>
    </row>
    <row r="10" spans="2:8" ht="15" customHeight="1">
      <c r="B10" s="103">
        <v>6</v>
      </c>
      <c r="C10" s="821"/>
      <c r="D10" s="106"/>
      <c r="E10" s="105"/>
      <c r="F10" s="105"/>
      <c r="G10" s="105"/>
      <c r="H10" s="105"/>
    </row>
    <row r="11" spans="2:8" ht="15" customHeight="1">
      <c r="B11" s="103">
        <v>7</v>
      </c>
      <c r="C11" s="821"/>
      <c r="D11" s="106"/>
      <c r="E11" s="105"/>
      <c r="F11" s="105"/>
      <c r="G11" s="105"/>
      <c r="H11" s="105"/>
    </row>
    <row r="12" spans="2:8" ht="15" customHeight="1">
      <c r="B12" s="103">
        <v>8</v>
      </c>
      <c r="C12" s="821"/>
      <c r="D12" s="106"/>
      <c r="E12" s="105"/>
      <c r="F12" s="105"/>
      <c r="G12" s="105"/>
      <c r="H12" s="105"/>
    </row>
    <row r="13" spans="2:8" ht="15" customHeight="1">
      <c r="B13" s="103">
        <v>9</v>
      </c>
      <c r="C13" s="821"/>
      <c r="D13" s="106"/>
      <c r="E13" s="105"/>
      <c r="F13" s="105"/>
      <c r="G13" s="105"/>
      <c r="H13" s="105"/>
    </row>
    <row r="14" spans="2:8" ht="15" customHeight="1">
      <c r="B14" s="103">
        <v>10</v>
      </c>
      <c r="C14" s="821"/>
      <c r="D14" s="106"/>
      <c r="E14" s="105"/>
      <c r="F14" s="105"/>
      <c r="G14" s="105"/>
      <c r="H14" s="105"/>
    </row>
    <row r="15" spans="2:8" ht="15" customHeight="1">
      <c r="B15" s="103"/>
      <c r="C15" s="821"/>
      <c r="D15" s="103"/>
      <c r="E15" s="105"/>
      <c r="F15" s="105"/>
      <c r="G15" s="105"/>
      <c r="H15" s="105"/>
    </row>
    <row r="16" spans="2:8" ht="15" customHeight="1">
      <c r="B16" s="103"/>
      <c r="C16" s="822"/>
      <c r="D16" s="103"/>
      <c r="E16" s="105"/>
      <c r="F16" s="105"/>
      <c r="G16" s="105"/>
      <c r="H16" s="105"/>
    </row>
  </sheetData>
  <mergeCells count="3">
    <mergeCell ref="B2:H2"/>
    <mergeCell ref="C5:C16"/>
    <mergeCell ref="B3:H3"/>
  </mergeCells>
  <printOptions horizontalCentered="1"/>
  <pageMargins left="0.70866141732283472" right="0.70866141732283472" top="0.74803149606299213" bottom="0.74803149606299213" header="0.31496062992125984" footer="0.31496062992125984"/>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HH502"/>
  <sheetViews>
    <sheetView workbookViewId="0">
      <selection activeCell="O4" sqref="O4"/>
    </sheetView>
  </sheetViews>
  <sheetFormatPr baseColWidth="10" defaultRowHeight="12.75"/>
  <cols>
    <col min="2" max="2" width="9.5703125" customWidth="1"/>
    <col min="3" max="3" width="14.140625" bestFit="1" customWidth="1"/>
    <col min="6" max="7" width="11.42578125" style="3"/>
    <col min="8" max="8" width="11.42578125" style="1"/>
    <col min="9" max="9" width="12.28515625" bestFit="1" customWidth="1"/>
    <col min="11" max="11" width="13.85546875" customWidth="1"/>
    <col min="12" max="12" width="6.85546875" customWidth="1"/>
  </cols>
  <sheetData>
    <row r="1" spans="1:15">
      <c r="A1" s="824" t="s">
        <v>7</v>
      </c>
      <c r="B1" s="824"/>
      <c r="C1" s="824"/>
      <c r="D1" s="2" t="s">
        <v>8</v>
      </c>
      <c r="H1" s="292">
        <f ca="1">TODAY()</f>
        <v>43727</v>
      </c>
    </row>
    <row r="2" spans="1:15" ht="13.5" thickBot="1">
      <c r="A2" s="289"/>
      <c r="B2" s="305"/>
      <c r="C2" s="4">
        <v>29587</v>
      </c>
      <c r="D2" s="5">
        <v>4500</v>
      </c>
      <c r="E2" s="6"/>
      <c r="K2" s="825" t="s">
        <v>123</v>
      </c>
      <c r="L2" s="826"/>
      <c r="N2" s="380" t="s">
        <v>146</v>
      </c>
    </row>
    <row r="3" spans="1:15" ht="13.5" thickBot="1">
      <c r="A3" s="4">
        <v>29588</v>
      </c>
      <c r="B3" s="305">
        <v>29952</v>
      </c>
      <c r="C3" s="4">
        <v>29952</v>
      </c>
      <c r="D3" s="5">
        <v>5700</v>
      </c>
      <c r="E3" s="6">
        <f>+D3/D2-1</f>
        <v>0.27</v>
      </c>
      <c r="F3" s="3" t="str">
        <f>TEXT(A3,"YYYY")</f>
        <v>1981</v>
      </c>
      <c r="G3" s="290" t="s">
        <v>122</v>
      </c>
      <c r="H3" s="291"/>
      <c r="I3" s="293" t="e">
        <f ca="1">VLOOKUP(YEAR(H1),SALARIO,3,FALSE)</f>
        <v>#N/A</v>
      </c>
      <c r="K3" s="105" t="s">
        <v>107</v>
      </c>
      <c r="L3" s="298">
        <v>1</v>
      </c>
      <c r="N3" s="380"/>
      <c r="O3" s="491" t="s">
        <v>149</v>
      </c>
    </row>
    <row r="4" spans="1:15">
      <c r="A4" s="4">
        <v>29953</v>
      </c>
      <c r="B4" s="305">
        <v>29953</v>
      </c>
      <c r="C4" s="4">
        <v>30317</v>
      </c>
      <c r="D4" s="5">
        <v>7410</v>
      </c>
      <c r="E4" s="6">
        <f t="shared" ref="E4:E28" si="0">+D4/D3-1</f>
        <v>0.3</v>
      </c>
      <c r="K4" s="105" t="s">
        <v>108</v>
      </c>
      <c r="L4" s="298">
        <v>0.9</v>
      </c>
      <c r="N4" s="380" t="s">
        <v>140</v>
      </c>
      <c r="O4" s="380" t="s">
        <v>26</v>
      </c>
    </row>
    <row r="5" spans="1:15">
      <c r="A5" s="4">
        <v>30318</v>
      </c>
      <c r="B5" s="305">
        <v>30318</v>
      </c>
      <c r="C5" s="4">
        <v>30682</v>
      </c>
      <c r="D5" s="5">
        <v>9261</v>
      </c>
      <c r="E5" s="6">
        <f t="shared" si="0"/>
        <v>0.25</v>
      </c>
      <c r="K5" s="105" t="s">
        <v>109</v>
      </c>
      <c r="L5" s="298">
        <v>0.7</v>
      </c>
      <c r="N5" s="380" t="s">
        <v>144</v>
      </c>
      <c r="O5" s="380" t="s">
        <v>27</v>
      </c>
    </row>
    <row r="6" spans="1:15">
      <c r="A6" s="4">
        <v>30683</v>
      </c>
      <c r="B6" s="305">
        <v>30683</v>
      </c>
      <c r="C6" s="4">
        <v>31048</v>
      </c>
      <c r="D6" s="5">
        <v>11298</v>
      </c>
      <c r="E6" s="6">
        <f t="shared" si="0"/>
        <v>0.22</v>
      </c>
      <c r="K6" s="105" t="s">
        <v>110</v>
      </c>
      <c r="L6" s="298">
        <v>0.6</v>
      </c>
      <c r="N6" s="380" t="s">
        <v>145</v>
      </c>
      <c r="O6" s="380" t="s">
        <v>28</v>
      </c>
    </row>
    <row r="7" spans="1:15">
      <c r="A7" s="4">
        <v>31049</v>
      </c>
      <c r="B7" s="305">
        <v>31049</v>
      </c>
      <c r="C7" s="4">
        <v>31413</v>
      </c>
      <c r="D7" s="5">
        <v>13557.6</v>
      </c>
      <c r="E7" s="6">
        <f t="shared" si="0"/>
        <v>0.2</v>
      </c>
      <c r="K7" s="105" t="s">
        <v>111</v>
      </c>
      <c r="L7" s="298">
        <v>0.5</v>
      </c>
      <c r="O7" s="380" t="s">
        <v>148</v>
      </c>
    </row>
    <row r="8" spans="1:15">
      <c r="A8" s="4">
        <v>31414</v>
      </c>
      <c r="B8" s="305">
        <v>31414</v>
      </c>
      <c r="C8" s="4">
        <v>31778</v>
      </c>
      <c r="D8" s="5">
        <v>16611.400000000001</v>
      </c>
      <c r="E8" s="6">
        <f t="shared" si="0"/>
        <v>0.23</v>
      </c>
      <c r="K8" s="105" t="s">
        <v>112</v>
      </c>
      <c r="L8" s="298">
        <v>0.45</v>
      </c>
    </row>
    <row r="9" spans="1:15">
      <c r="A9" s="4">
        <v>31779</v>
      </c>
      <c r="B9" s="305">
        <v>31779</v>
      </c>
      <c r="C9" s="4">
        <v>32143</v>
      </c>
      <c r="D9" s="5">
        <v>20509.8</v>
      </c>
      <c r="E9" s="6">
        <f t="shared" si="0"/>
        <v>0.23</v>
      </c>
      <c r="K9" s="105" t="s">
        <v>114</v>
      </c>
      <c r="L9" s="298">
        <v>0.4</v>
      </c>
    </row>
    <row r="10" spans="1:15">
      <c r="A10" s="4">
        <v>32144</v>
      </c>
      <c r="B10" s="305">
        <v>32144</v>
      </c>
      <c r="C10" s="4">
        <v>32508</v>
      </c>
      <c r="D10" s="5">
        <v>25637.4</v>
      </c>
      <c r="E10" s="6">
        <f t="shared" si="0"/>
        <v>0.25</v>
      </c>
    </row>
    <row r="11" spans="1:15">
      <c r="A11" s="4">
        <v>32510</v>
      </c>
      <c r="B11" s="305">
        <v>32510</v>
      </c>
      <c r="C11" s="4">
        <v>32873</v>
      </c>
      <c r="D11" s="5">
        <v>32559.599999999999</v>
      </c>
      <c r="E11" s="6">
        <f t="shared" si="0"/>
        <v>0.27</v>
      </c>
    </row>
    <row r="12" spans="1:15">
      <c r="A12" s="4">
        <v>32875</v>
      </c>
      <c r="B12" s="305">
        <v>32875</v>
      </c>
      <c r="C12" s="4">
        <v>33238</v>
      </c>
      <c r="D12" s="5">
        <v>41025</v>
      </c>
      <c r="E12" s="6">
        <f t="shared" si="0"/>
        <v>0.26</v>
      </c>
    </row>
    <row r="13" spans="1:15">
      <c r="A13" s="4">
        <v>33240</v>
      </c>
      <c r="B13" s="305">
        <v>33240</v>
      </c>
      <c r="C13" s="4">
        <v>33603</v>
      </c>
      <c r="D13" s="5">
        <v>51720</v>
      </c>
      <c r="E13" s="6">
        <f t="shared" si="0"/>
        <v>0.26</v>
      </c>
    </row>
    <row r="14" spans="1:15">
      <c r="A14" s="4">
        <v>33605</v>
      </c>
      <c r="B14" s="305">
        <v>33605</v>
      </c>
      <c r="C14" s="4">
        <v>33969</v>
      </c>
      <c r="D14" s="5">
        <v>65190</v>
      </c>
      <c r="E14" s="6">
        <f t="shared" si="0"/>
        <v>0.26</v>
      </c>
    </row>
    <row r="15" spans="1:15">
      <c r="A15" s="4">
        <v>33971</v>
      </c>
      <c r="B15" s="305">
        <v>33971</v>
      </c>
      <c r="C15" s="4">
        <v>34334</v>
      </c>
      <c r="D15" s="5">
        <v>81510</v>
      </c>
      <c r="E15" s="6">
        <f t="shared" si="0"/>
        <v>0.25</v>
      </c>
    </row>
    <row r="16" spans="1:15">
      <c r="A16" s="4">
        <v>34336</v>
      </c>
      <c r="B16" s="305">
        <v>34336</v>
      </c>
      <c r="C16" s="4">
        <v>34699</v>
      </c>
      <c r="D16" s="5">
        <v>98700</v>
      </c>
      <c r="E16" s="6">
        <f t="shared" si="0"/>
        <v>0.21</v>
      </c>
    </row>
    <row r="17" spans="1:5">
      <c r="A17" s="4">
        <v>34701</v>
      </c>
      <c r="B17" s="305">
        <v>34701</v>
      </c>
      <c r="C17" s="4">
        <v>35064</v>
      </c>
      <c r="D17" s="5">
        <v>118933.5</v>
      </c>
      <c r="E17" s="6">
        <f t="shared" si="0"/>
        <v>0.21</v>
      </c>
    </row>
    <row r="18" spans="1:5">
      <c r="A18" s="4">
        <v>35066</v>
      </c>
      <c r="B18" s="305">
        <v>35066</v>
      </c>
      <c r="C18" s="4">
        <v>35430</v>
      </c>
      <c r="D18" s="5">
        <v>142125</v>
      </c>
      <c r="E18" s="6">
        <f t="shared" si="0"/>
        <v>0.19</v>
      </c>
    </row>
    <row r="19" spans="1:5">
      <c r="A19" s="4">
        <v>35432</v>
      </c>
      <c r="B19" s="305">
        <v>35432</v>
      </c>
      <c r="C19" s="4">
        <v>35795</v>
      </c>
      <c r="D19" s="5">
        <v>172005</v>
      </c>
      <c r="E19" s="6">
        <f t="shared" si="0"/>
        <v>0.21</v>
      </c>
    </row>
    <row r="20" spans="1:5">
      <c r="A20" s="4">
        <v>35797</v>
      </c>
      <c r="B20" s="305">
        <v>35797</v>
      </c>
      <c r="C20" s="4">
        <v>36160</v>
      </c>
      <c r="D20" s="5">
        <v>203826</v>
      </c>
      <c r="E20" s="6">
        <f t="shared" si="0"/>
        <v>0.19</v>
      </c>
    </row>
    <row r="21" spans="1:5">
      <c r="A21" s="4">
        <v>36162</v>
      </c>
      <c r="B21" s="305">
        <v>36162</v>
      </c>
      <c r="C21" s="4">
        <v>36525</v>
      </c>
      <c r="D21" s="5">
        <v>236460</v>
      </c>
      <c r="E21" s="6">
        <f t="shared" si="0"/>
        <v>0.16</v>
      </c>
    </row>
    <row r="22" spans="1:5">
      <c r="A22" s="4">
        <v>36527</v>
      </c>
      <c r="B22" s="305">
        <v>36527</v>
      </c>
      <c r="C22" s="4">
        <v>36891</v>
      </c>
      <c r="D22" s="5">
        <v>260100</v>
      </c>
      <c r="E22" s="6">
        <f t="shared" si="0"/>
        <v>0.1</v>
      </c>
    </row>
    <row r="23" spans="1:5">
      <c r="A23" s="4">
        <v>36893</v>
      </c>
      <c r="B23" s="305">
        <v>36893</v>
      </c>
      <c r="C23" s="4">
        <v>37256</v>
      </c>
      <c r="D23" s="5">
        <v>286000</v>
      </c>
      <c r="E23" s="6">
        <f t="shared" si="0"/>
        <v>0.1</v>
      </c>
    </row>
    <row r="24" spans="1:5">
      <c r="A24" s="4">
        <v>37258</v>
      </c>
      <c r="B24" s="305">
        <v>37258</v>
      </c>
      <c r="C24" s="4">
        <v>37621</v>
      </c>
      <c r="D24" s="5">
        <v>309000</v>
      </c>
      <c r="E24" s="6">
        <f t="shared" si="0"/>
        <v>0.08</v>
      </c>
    </row>
    <row r="25" spans="1:5">
      <c r="A25" s="4">
        <v>37623</v>
      </c>
      <c r="B25" s="305">
        <v>37623</v>
      </c>
      <c r="C25" s="4">
        <v>37986</v>
      </c>
      <c r="D25" s="5">
        <v>332000</v>
      </c>
      <c r="E25" s="6">
        <f t="shared" si="0"/>
        <v>7.0000000000000007E-2</v>
      </c>
    </row>
    <row r="26" spans="1:5">
      <c r="A26" s="4">
        <v>37988</v>
      </c>
      <c r="B26" s="305">
        <v>37988</v>
      </c>
      <c r="C26" s="4">
        <v>38352</v>
      </c>
      <c r="D26" s="5">
        <v>358000</v>
      </c>
      <c r="E26" s="6">
        <f t="shared" si="0"/>
        <v>0.08</v>
      </c>
    </row>
    <row r="27" spans="1:5">
      <c r="A27" s="4">
        <v>38354</v>
      </c>
      <c r="B27" s="305">
        <v>38354</v>
      </c>
      <c r="C27" s="4">
        <v>38717</v>
      </c>
      <c r="D27" s="5">
        <v>381500</v>
      </c>
      <c r="E27" s="6">
        <f>+D27/D26-1</f>
        <v>7.0000000000000007E-2</v>
      </c>
    </row>
    <row r="28" spans="1:5">
      <c r="A28" s="4">
        <v>38719</v>
      </c>
      <c r="B28" s="305">
        <v>38719</v>
      </c>
      <c r="C28" s="4">
        <v>39082</v>
      </c>
      <c r="D28" s="5">
        <v>408000</v>
      </c>
      <c r="E28" s="6">
        <f t="shared" si="0"/>
        <v>7.0000000000000007E-2</v>
      </c>
    </row>
    <row r="29" spans="1:5">
      <c r="A29" s="4">
        <v>39084</v>
      </c>
      <c r="B29" s="305">
        <v>39084</v>
      </c>
      <c r="C29" s="4">
        <v>39447</v>
      </c>
      <c r="D29" s="5">
        <v>433700</v>
      </c>
      <c r="E29" s="6">
        <f>+D29/D28-1</f>
        <v>0.06</v>
      </c>
    </row>
    <row r="30" spans="1:5">
      <c r="A30" s="4">
        <v>39449</v>
      </c>
      <c r="B30" s="305">
        <v>39449</v>
      </c>
      <c r="C30" s="4">
        <v>39813</v>
      </c>
      <c r="D30" s="5">
        <v>461500</v>
      </c>
      <c r="E30" s="6">
        <f>+D30/D29-1</f>
        <v>0.06</v>
      </c>
    </row>
    <row r="31" spans="1:5">
      <c r="A31" s="4">
        <v>39815</v>
      </c>
      <c r="B31" s="305">
        <v>39815</v>
      </c>
      <c r="C31" s="4">
        <v>40178</v>
      </c>
      <c r="D31" s="5">
        <v>496900</v>
      </c>
      <c r="E31" s="6">
        <f>+D31/D30-1</f>
        <v>0.08</v>
      </c>
    </row>
    <row r="32" spans="1:5">
      <c r="A32" s="4">
        <v>40180</v>
      </c>
      <c r="B32" s="305">
        <v>40180</v>
      </c>
      <c r="C32" s="4">
        <v>40543</v>
      </c>
      <c r="D32" s="5">
        <v>515000</v>
      </c>
      <c r="E32" s="6">
        <f t="shared" ref="E32:E42" si="1">+D32/D31-1</f>
        <v>0.04</v>
      </c>
    </row>
    <row r="33" spans="1:5">
      <c r="A33" s="4">
        <v>40545</v>
      </c>
      <c r="B33" s="305">
        <v>40545</v>
      </c>
      <c r="C33" s="4">
        <v>40908</v>
      </c>
      <c r="D33" s="5">
        <v>535600</v>
      </c>
      <c r="E33" s="6">
        <f t="shared" si="1"/>
        <v>0.04</v>
      </c>
    </row>
    <row r="34" spans="1:5">
      <c r="A34" s="4">
        <v>40910</v>
      </c>
      <c r="B34" s="305">
        <v>40910</v>
      </c>
      <c r="C34" s="4">
        <v>41274</v>
      </c>
      <c r="D34" s="5">
        <v>566700</v>
      </c>
      <c r="E34" s="6">
        <f t="shared" si="1"/>
        <v>0.06</v>
      </c>
    </row>
    <row r="35" spans="1:5">
      <c r="A35" s="4">
        <v>41276</v>
      </c>
      <c r="B35" s="305">
        <v>41276</v>
      </c>
      <c r="C35" s="4">
        <v>41639</v>
      </c>
      <c r="D35" s="5">
        <v>589500</v>
      </c>
      <c r="E35" s="6">
        <f t="shared" si="1"/>
        <v>0.04</v>
      </c>
    </row>
    <row r="36" spans="1:5">
      <c r="A36" s="4">
        <v>41641</v>
      </c>
      <c r="B36" s="305">
        <v>41641</v>
      </c>
      <c r="C36" s="4">
        <v>42004</v>
      </c>
      <c r="D36" s="5">
        <v>616000</v>
      </c>
      <c r="E36" s="6">
        <f t="shared" si="1"/>
        <v>0.04</v>
      </c>
    </row>
    <row r="37" spans="1:5">
      <c r="A37" s="4">
        <v>42006</v>
      </c>
      <c r="B37" s="305">
        <v>42006</v>
      </c>
      <c r="C37" s="4">
        <v>42369</v>
      </c>
      <c r="D37" s="5">
        <v>644350</v>
      </c>
      <c r="E37" s="6">
        <f t="shared" si="1"/>
        <v>0.05</v>
      </c>
    </row>
    <row r="38" spans="1:5">
      <c r="A38" s="4">
        <v>42371</v>
      </c>
      <c r="B38" s="305">
        <v>42371</v>
      </c>
      <c r="C38" s="4">
        <v>42735</v>
      </c>
      <c r="D38" s="5">
        <v>689455</v>
      </c>
      <c r="E38" s="6">
        <f t="shared" si="1"/>
        <v>7.0000000000000007E-2</v>
      </c>
    </row>
    <row r="39" spans="1:5">
      <c r="A39" s="4">
        <v>42737</v>
      </c>
      <c r="B39" s="305">
        <v>42737</v>
      </c>
      <c r="C39" s="4">
        <v>43100</v>
      </c>
      <c r="D39" s="5">
        <v>737717</v>
      </c>
      <c r="E39" s="6">
        <f t="shared" si="1"/>
        <v>7.0000000000000007E-2</v>
      </c>
    </row>
    <row r="40" spans="1:5">
      <c r="A40" s="4">
        <v>43102</v>
      </c>
      <c r="B40" s="305">
        <v>43102</v>
      </c>
      <c r="C40" s="4">
        <v>43465</v>
      </c>
      <c r="D40" s="5">
        <v>781242</v>
      </c>
      <c r="E40" s="6">
        <f t="shared" si="1"/>
        <v>0.06</v>
      </c>
    </row>
    <row r="41" spans="1:5">
      <c r="A41" s="4">
        <v>43467</v>
      </c>
      <c r="B41" s="305">
        <v>43467</v>
      </c>
      <c r="C41" s="4">
        <v>43830</v>
      </c>
      <c r="D41" s="5">
        <v>828116</v>
      </c>
      <c r="E41" s="6">
        <f t="shared" si="1"/>
        <v>0.06</v>
      </c>
    </row>
    <row r="42" spans="1:5">
      <c r="A42" s="4">
        <v>43832</v>
      </c>
      <c r="B42" s="305">
        <v>43832</v>
      </c>
      <c r="C42" s="4">
        <v>44196</v>
      </c>
      <c r="D42" s="5">
        <v>900000</v>
      </c>
      <c r="E42" s="6">
        <f t="shared" si="1"/>
        <v>0.09</v>
      </c>
    </row>
    <row r="500" spans="216:216">
      <c r="HH500" s="100">
        <v>39733</v>
      </c>
    </row>
    <row r="501" spans="216:216">
      <c r="HH501" s="101">
        <v>22</v>
      </c>
    </row>
    <row r="502" spans="216:216">
      <c r="HH502" s="101">
        <v>12</v>
      </c>
    </row>
  </sheetData>
  <customSheetViews>
    <customSheetView guid="{4FD7B380-97FE-41A2-99C1-9E1A481B7C5B}" showRuler="0" topLeftCell="A7">
      <selection activeCell="I26" sqref="I26"/>
      <pageMargins left="0.75" right="0.75" top="1" bottom="1" header="0" footer="0"/>
      <pageSetup orientation="portrait" horizontalDpi="300" verticalDpi="300" r:id="rId1"/>
      <headerFooter alignWithMargins="0"/>
    </customSheetView>
    <customSheetView guid="{DDA08836-FFF7-4F47-B058-4616FC9BD320}" showPageBreaks="1" showRuler="0" topLeftCell="A7">
      <selection activeCell="I26" sqref="I26"/>
      <pageMargins left="0.75" right="0.75" top="1" bottom="1" header="0" footer="0"/>
      <pageSetup orientation="portrait" horizontalDpi="300" verticalDpi="300" r:id="rId2"/>
      <headerFooter alignWithMargins="0"/>
    </customSheetView>
  </customSheetViews>
  <mergeCells count="2">
    <mergeCell ref="A1:C1"/>
    <mergeCell ref="K2:L2"/>
  </mergeCells>
  <phoneticPr fontId="5" type="noConversion"/>
  <dataValidations count="1">
    <dataValidation type="list" allowBlank="1" showInputMessage="1" showErrorMessage="1" sqref="O4">
      <formula1>ADMISION</formula1>
    </dataValidation>
  </dataValidations>
  <pageMargins left="0.75" right="0.75" top="1" bottom="1" header="0" footer="0"/>
  <pageSetup orientation="portrait" horizontalDpi="300" verticalDpi="300" r:id="rId3"/>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46"/>
  <sheetViews>
    <sheetView workbookViewId="0">
      <selection activeCell="G3" sqref="G3"/>
    </sheetView>
  </sheetViews>
  <sheetFormatPr baseColWidth="10" defaultRowHeight="15.75"/>
  <cols>
    <col min="1" max="1" width="11.42578125" style="306"/>
    <col min="2" max="2" width="14.7109375" style="306" customWidth="1"/>
    <col min="3" max="3" width="15.42578125" style="306" customWidth="1"/>
    <col min="4" max="4" width="12.7109375" style="306" bestFit="1" customWidth="1"/>
    <col min="5" max="5" width="11.42578125" style="306"/>
    <col min="6" max="6" width="8" style="306" customWidth="1"/>
    <col min="7" max="16384" width="11.42578125" style="306"/>
  </cols>
  <sheetData>
    <row r="1" spans="1:7" ht="16.5" thickBot="1"/>
    <row r="2" spans="1:7" ht="30.75" thickBot="1">
      <c r="A2" s="307" t="s">
        <v>129</v>
      </c>
      <c r="B2" s="307" t="s">
        <v>130</v>
      </c>
      <c r="C2" s="307" t="s">
        <v>131</v>
      </c>
      <c r="D2" s="312">
        <f ca="1">TODAY()</f>
        <v>43727</v>
      </c>
    </row>
    <row r="3" spans="1:7" ht="16.5" thickBot="1">
      <c r="A3" s="308">
        <v>1978</v>
      </c>
      <c r="B3" s="309">
        <f>C3/30</f>
        <v>86</v>
      </c>
      <c r="C3" s="310">
        <v>2580</v>
      </c>
      <c r="E3" s="827" t="s">
        <v>132</v>
      </c>
      <c r="F3" s="827"/>
      <c r="G3" s="313">
        <f ca="1">VLOOKUP(YEAR(D2),TABLA,3,FALSE)</f>
        <v>828116</v>
      </c>
    </row>
    <row r="4" spans="1:7" ht="16.5" thickBot="1">
      <c r="A4" s="308">
        <v>1979</v>
      </c>
      <c r="B4" s="309">
        <f t="shared" ref="B4:B8" si="0">C4/30</f>
        <v>115</v>
      </c>
      <c r="C4" s="310">
        <v>3450</v>
      </c>
    </row>
    <row r="5" spans="1:7" ht="16.5" thickBot="1">
      <c r="A5" s="308">
        <v>1980</v>
      </c>
      <c r="B5" s="309">
        <f t="shared" si="0"/>
        <v>150</v>
      </c>
      <c r="C5" s="310">
        <v>4500</v>
      </c>
    </row>
    <row r="6" spans="1:7" ht="16.5" thickBot="1">
      <c r="A6" s="308">
        <v>1981</v>
      </c>
      <c r="B6" s="309">
        <f t="shared" si="0"/>
        <v>190</v>
      </c>
      <c r="C6" s="310">
        <v>5700</v>
      </c>
    </row>
    <row r="7" spans="1:7" ht="16.5" thickBot="1">
      <c r="A7" s="308">
        <v>1982</v>
      </c>
      <c r="B7" s="309">
        <f t="shared" si="0"/>
        <v>247</v>
      </c>
      <c r="C7" s="310">
        <v>7410</v>
      </c>
    </row>
    <row r="8" spans="1:7" ht="16.5" thickBot="1">
      <c r="A8" s="308">
        <v>1983</v>
      </c>
      <c r="B8" s="309">
        <f t="shared" si="0"/>
        <v>308.7</v>
      </c>
      <c r="C8" s="310">
        <v>9261</v>
      </c>
    </row>
    <row r="9" spans="1:7" ht="16.5" thickBot="1">
      <c r="A9" s="308">
        <v>1984</v>
      </c>
      <c r="B9" s="310">
        <v>376.6</v>
      </c>
      <c r="C9" s="310">
        <v>11298</v>
      </c>
    </row>
    <row r="10" spans="1:7" ht="16.5" thickBot="1">
      <c r="A10" s="308">
        <v>1985</v>
      </c>
      <c r="B10" s="309">
        <v>451.92</v>
      </c>
      <c r="C10" s="309">
        <v>13558</v>
      </c>
    </row>
    <row r="11" spans="1:7" ht="16.5" thickBot="1">
      <c r="A11" s="308">
        <v>1986</v>
      </c>
      <c r="B11" s="310">
        <v>560.38</v>
      </c>
      <c r="C11" s="310">
        <v>16811</v>
      </c>
    </row>
    <row r="12" spans="1:7" ht="16.5" thickBot="1">
      <c r="A12" s="308">
        <v>1987</v>
      </c>
      <c r="B12" s="309">
        <v>683.66</v>
      </c>
      <c r="C12" s="309">
        <v>20510</v>
      </c>
    </row>
    <row r="13" spans="1:7" ht="16.5" thickBot="1">
      <c r="A13" s="308">
        <v>1988</v>
      </c>
      <c r="B13" s="310">
        <v>854.58</v>
      </c>
      <c r="C13" s="310">
        <v>25637</v>
      </c>
    </row>
    <row r="14" spans="1:7" ht="16.5" thickBot="1">
      <c r="A14" s="308">
        <v>1989</v>
      </c>
      <c r="B14" s="309">
        <v>1085.32</v>
      </c>
      <c r="C14" s="309">
        <v>32560</v>
      </c>
    </row>
    <row r="15" spans="1:7" ht="16.5" thickBot="1">
      <c r="A15" s="308">
        <v>1990</v>
      </c>
      <c r="B15" s="310">
        <v>1367.5</v>
      </c>
      <c r="C15" s="310">
        <v>41025</v>
      </c>
    </row>
    <row r="16" spans="1:7" ht="16.5" thickBot="1">
      <c r="A16" s="308">
        <v>1991</v>
      </c>
      <c r="B16" s="309">
        <v>1723.87</v>
      </c>
      <c r="C16" s="309">
        <v>51716</v>
      </c>
    </row>
    <row r="17" spans="1:3" ht="16.5" thickBot="1">
      <c r="A17" s="308">
        <v>1992</v>
      </c>
      <c r="B17" s="310">
        <v>2173</v>
      </c>
      <c r="C17" s="310">
        <v>65190</v>
      </c>
    </row>
    <row r="18" spans="1:3" ht="16.5" thickBot="1">
      <c r="A18" s="308">
        <v>1993</v>
      </c>
      <c r="B18" s="309">
        <v>2717</v>
      </c>
      <c r="C18" s="309">
        <v>81510</v>
      </c>
    </row>
    <row r="19" spans="1:3" ht="16.5" thickBot="1">
      <c r="A19" s="308">
        <v>1994</v>
      </c>
      <c r="B19" s="310">
        <v>3290</v>
      </c>
      <c r="C19" s="310">
        <v>98700</v>
      </c>
    </row>
    <row r="20" spans="1:3" ht="16.5" thickBot="1">
      <c r="A20" s="308">
        <v>1995</v>
      </c>
      <c r="B20" s="309">
        <v>3964.45</v>
      </c>
      <c r="C20" s="309">
        <v>118934</v>
      </c>
    </row>
    <row r="21" spans="1:3" ht="16.5" thickBot="1">
      <c r="A21" s="308">
        <v>1996</v>
      </c>
      <c r="B21" s="310">
        <v>4737.5</v>
      </c>
      <c r="C21" s="310">
        <v>142125</v>
      </c>
    </row>
    <row r="22" spans="1:3" ht="16.5" thickBot="1">
      <c r="A22" s="308">
        <v>1997</v>
      </c>
      <c r="B22" s="309">
        <v>5733.5</v>
      </c>
      <c r="C22" s="309">
        <v>172005</v>
      </c>
    </row>
    <row r="23" spans="1:3" ht="16.5" thickBot="1">
      <c r="A23" s="308">
        <v>1998</v>
      </c>
      <c r="B23" s="310">
        <v>6794.2</v>
      </c>
      <c r="C23" s="310">
        <v>203826</v>
      </c>
    </row>
    <row r="24" spans="1:3" ht="16.5" thickBot="1">
      <c r="A24" s="308">
        <v>1999</v>
      </c>
      <c r="B24" s="309">
        <v>7882</v>
      </c>
      <c r="C24" s="309">
        <v>236460</v>
      </c>
    </row>
    <row r="25" spans="1:3" ht="16.5" thickBot="1">
      <c r="A25" s="308">
        <v>2000</v>
      </c>
      <c r="B25" s="310">
        <v>8670</v>
      </c>
      <c r="C25" s="310">
        <v>260100</v>
      </c>
    </row>
    <row r="26" spans="1:3" ht="16.5" thickBot="1">
      <c r="A26" s="308">
        <v>2001</v>
      </c>
      <c r="B26" s="309">
        <v>9533.33</v>
      </c>
      <c r="C26" s="309">
        <v>286000</v>
      </c>
    </row>
    <row r="27" spans="1:3" ht="16.5" thickBot="1">
      <c r="A27" s="308">
        <v>2002</v>
      </c>
      <c r="B27" s="310">
        <v>10300</v>
      </c>
      <c r="C27" s="310">
        <v>309000</v>
      </c>
    </row>
    <row r="28" spans="1:3" ht="16.5" thickBot="1">
      <c r="A28" s="308">
        <v>2003</v>
      </c>
      <c r="B28" s="309">
        <v>11066.67</v>
      </c>
      <c r="C28" s="309">
        <v>332000</v>
      </c>
    </row>
    <row r="29" spans="1:3" ht="16.5" thickBot="1">
      <c r="A29" s="308">
        <v>2004</v>
      </c>
      <c r="B29" s="310">
        <v>11933.33</v>
      </c>
      <c r="C29" s="310">
        <v>358000</v>
      </c>
    </row>
    <row r="30" spans="1:3" ht="16.5" thickBot="1">
      <c r="A30" s="308">
        <v>2005</v>
      </c>
      <c r="B30" s="309">
        <v>12716.67</v>
      </c>
      <c r="C30" s="309">
        <v>381500</v>
      </c>
    </row>
    <row r="31" spans="1:3" ht="16.5" thickBot="1">
      <c r="A31" s="308">
        <v>2006</v>
      </c>
      <c r="B31" s="310">
        <v>13600</v>
      </c>
      <c r="C31" s="310">
        <v>408000</v>
      </c>
    </row>
    <row r="32" spans="1:3" ht="16.5" thickBot="1">
      <c r="A32" s="308">
        <v>2007</v>
      </c>
      <c r="B32" s="309">
        <v>14456.67</v>
      </c>
      <c r="C32" s="309">
        <v>433700</v>
      </c>
    </row>
    <row r="33" spans="1:3" ht="16.5" thickBot="1">
      <c r="A33" s="308">
        <v>2008</v>
      </c>
      <c r="B33" s="310">
        <v>15383.33</v>
      </c>
      <c r="C33" s="310">
        <v>461500</v>
      </c>
    </row>
    <row r="34" spans="1:3" ht="16.5" thickBot="1">
      <c r="A34" s="308">
        <v>2009</v>
      </c>
      <c r="B34" s="309">
        <v>16563.330000000002</v>
      </c>
      <c r="C34" s="309">
        <v>496900</v>
      </c>
    </row>
    <row r="35" spans="1:3" ht="16.5" thickBot="1">
      <c r="A35" s="308">
        <v>2010</v>
      </c>
      <c r="B35" s="310">
        <v>17166.669999999998</v>
      </c>
      <c r="C35" s="310">
        <v>515000</v>
      </c>
    </row>
    <row r="36" spans="1:3" ht="16.5" thickBot="1">
      <c r="A36" s="308">
        <v>2011</v>
      </c>
      <c r="B36" s="309">
        <v>17853.330000000002</v>
      </c>
      <c r="C36" s="309">
        <v>535600</v>
      </c>
    </row>
    <row r="37" spans="1:3" ht="16.5" thickBot="1">
      <c r="A37" s="308">
        <v>2012</v>
      </c>
      <c r="B37" s="310">
        <v>18890</v>
      </c>
      <c r="C37" s="310">
        <v>566700</v>
      </c>
    </row>
    <row r="38" spans="1:3" ht="16.5" thickBot="1">
      <c r="A38" s="308">
        <v>2013</v>
      </c>
      <c r="B38" s="309">
        <v>19650</v>
      </c>
      <c r="C38" s="309">
        <v>589500</v>
      </c>
    </row>
    <row r="39" spans="1:3" ht="16.5" thickBot="1">
      <c r="A39" s="308">
        <v>2014</v>
      </c>
      <c r="B39" s="310">
        <v>20533.330000000002</v>
      </c>
      <c r="C39" s="310">
        <v>616000</v>
      </c>
    </row>
    <row r="40" spans="1:3" ht="16.5" thickBot="1">
      <c r="A40" s="308">
        <v>2015</v>
      </c>
      <c r="B40" s="309">
        <v>21478.33</v>
      </c>
      <c r="C40" s="309">
        <v>644350</v>
      </c>
    </row>
    <row r="41" spans="1:3" ht="16.5" thickBot="1">
      <c r="A41" s="308">
        <v>2016</v>
      </c>
      <c r="B41" s="310">
        <v>22981.83</v>
      </c>
      <c r="C41" s="310">
        <v>689455</v>
      </c>
    </row>
    <row r="42" spans="1:3" ht="16.5" thickBot="1">
      <c r="A42" s="308">
        <v>2017</v>
      </c>
      <c r="B42" s="309">
        <v>24590.57</v>
      </c>
      <c r="C42" s="309">
        <v>737717</v>
      </c>
    </row>
    <row r="43" spans="1:3" ht="16.5" thickBot="1">
      <c r="A43" s="308">
        <v>2018</v>
      </c>
      <c r="B43" s="310">
        <v>26041.4</v>
      </c>
      <c r="C43" s="310">
        <v>781242</v>
      </c>
    </row>
    <row r="44" spans="1:3" ht="16.5" thickBot="1">
      <c r="A44" s="308">
        <v>2019</v>
      </c>
      <c r="B44" s="309">
        <v>27603.87</v>
      </c>
      <c r="C44" s="309">
        <v>828116</v>
      </c>
    </row>
    <row r="45" spans="1:3" ht="16.5" thickBot="1">
      <c r="A45" s="311"/>
      <c r="B45" s="311"/>
      <c r="C45" s="311"/>
    </row>
    <row r="46" spans="1:3" ht="16.5" thickBot="1">
      <c r="A46" s="311"/>
      <c r="B46" s="311"/>
      <c r="C46" s="311"/>
    </row>
  </sheetData>
  <mergeCells count="1">
    <mergeCell ref="E3: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11</vt:i4>
      </vt:variant>
    </vt:vector>
  </HeadingPairs>
  <TitlesOfParts>
    <vt:vector size="24" baseType="lpstr">
      <vt:lpstr>PRESUPUESTOS</vt:lpstr>
      <vt:lpstr>PROPONENTES</vt:lpstr>
      <vt:lpstr>INTEGRANTES</vt:lpstr>
      <vt:lpstr>VFrequerido</vt:lpstr>
      <vt:lpstr>FORMULARIO No 2- VFT</vt:lpstr>
      <vt:lpstr>EXPERIENCIA</vt:lpstr>
      <vt:lpstr>RESUMEN(B)</vt:lpstr>
      <vt:lpstr>RESUMEN</vt:lpstr>
      <vt:lpstr>FORMULA-MODULO 1</vt:lpstr>
      <vt:lpstr>FORMULA-MODULO 2</vt:lpstr>
      <vt:lpstr>Hoja1</vt:lpstr>
      <vt:lpstr>SMLM</vt:lpstr>
      <vt:lpstr>SALARIO</vt:lpstr>
      <vt:lpstr>ADMISION</vt:lpstr>
      <vt:lpstr>EXPERIENCIA</vt:lpstr>
      <vt:lpstr>FORM</vt:lpstr>
      <vt:lpstr>INTEGRAN</vt:lpstr>
      <vt:lpstr>PAISES</vt:lpstr>
      <vt:lpstr>PPTO</vt:lpstr>
      <vt:lpstr>PROPO</vt:lpstr>
      <vt:lpstr>Pto</vt:lpstr>
      <vt:lpstr>SALARIO</vt:lpstr>
      <vt:lpstr>SMACTUAL</vt:lpstr>
      <vt:lpstr>TABLA</vt:lpstr>
    </vt:vector>
  </TitlesOfParts>
  <Company>INSTITUTO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ANTONIO OLAYA MORENO</dc:creator>
  <cp:lastModifiedBy>Juan David Mosquera Valencia</cp:lastModifiedBy>
  <cp:lastPrinted>2019-09-01T21:45:57Z</cp:lastPrinted>
  <dcterms:created xsi:type="dcterms:W3CDTF">2003-08-04T15:33:07Z</dcterms:created>
  <dcterms:modified xsi:type="dcterms:W3CDTF">2019-09-19T21:19:08Z</dcterms:modified>
</cp:coreProperties>
</file>