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d.docs.live.net/e0d87d92d1682d63/Documents/"/>
    </mc:Choice>
  </mc:AlternateContent>
  <xr:revisionPtr revIDLastSave="13" documentId="13_ncr:1_{6A0B1D8B-2D89-4F78-9137-A40637C6DC6C}" xr6:coauthVersionLast="47" xr6:coauthVersionMax="47" xr10:uidLastSave="{601F2513-332A-4B4D-97F4-C9787DD065F6}"/>
  <bookViews>
    <workbookView xWindow="-108" yWindow="-108" windowWidth="23256" windowHeight="12456" firstSheet="3" activeTab="3" xr2:uid="{00000000-000D-0000-FFFF-FFFF00000000}"/>
  </bookViews>
  <sheets>
    <sheet name="COTIZAR" sheetId="1" state="hidden" r:id="rId1"/>
    <sheet name="NO COTIZAR" sheetId="2" state="hidden" r:id="rId2"/>
    <sheet name="COMPARATIVO " sheetId="3" r:id="rId3"/>
    <sheet name="PRESUPUESTO" sheetId="6" r:id="rId4"/>
  </sheets>
  <definedNames>
    <definedName name="_xlnm._FilterDatabase" localSheetId="3" hidden="1">PRESUPUESTO!$A$11:$AJ$74</definedName>
    <definedName name="incBuyerDossierDetaillnkRequestReference" localSheetId="3">PRESUPUESTO!$AJ$12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1" i="6" l="1"/>
  <c r="AD31" i="6"/>
  <c r="AA31" i="6"/>
  <c r="AG19" i="6"/>
  <c r="AD19" i="6"/>
  <c r="AA19" i="6"/>
  <c r="AG18" i="6"/>
  <c r="AD18" i="6"/>
  <c r="AA18" i="6"/>
  <c r="AG27" i="6"/>
  <c r="AD27" i="6"/>
  <c r="AA27" i="6"/>
  <c r="AG26" i="6"/>
  <c r="AD26" i="6"/>
  <c r="AA26" i="6"/>
  <c r="AG29" i="6"/>
  <c r="AD29" i="6"/>
  <c r="AA29" i="6"/>
  <c r="AG43" i="6"/>
  <c r="AD43" i="6"/>
  <c r="AA43" i="6"/>
  <c r="AG42" i="6"/>
  <c r="AD42" i="6"/>
  <c r="AA42" i="6"/>
  <c r="AG41" i="6"/>
  <c r="AD41" i="6"/>
  <c r="AA41" i="6"/>
  <c r="AG70" i="6"/>
  <c r="AD70" i="6"/>
  <c r="AA70" i="6"/>
  <c r="AG69" i="6"/>
  <c r="AD69" i="6"/>
  <c r="AA69" i="6"/>
  <c r="AG68" i="6"/>
  <c r="AD68" i="6"/>
  <c r="AA68" i="6"/>
  <c r="AG67" i="6"/>
  <c r="AD67" i="6"/>
  <c r="AA67" i="6"/>
  <c r="AG66" i="6"/>
  <c r="AD66" i="6"/>
  <c r="AA66" i="6"/>
  <c r="AG49" i="6"/>
  <c r="AD49" i="6"/>
  <c r="AA49" i="6"/>
  <c r="AG48" i="6"/>
  <c r="AD48" i="6"/>
  <c r="AA48" i="6"/>
  <c r="AG47" i="6"/>
  <c r="AD47" i="6"/>
  <c r="AA47" i="6"/>
  <c r="AG46" i="6"/>
  <c r="AD46" i="6"/>
  <c r="AA46" i="6"/>
  <c r="AG45" i="6"/>
  <c r="AD45" i="6"/>
  <c r="AA45" i="6"/>
  <c r="AG44" i="6"/>
  <c r="AD44" i="6"/>
  <c r="AA44" i="6"/>
  <c r="AG37" i="6"/>
  <c r="AD37" i="6"/>
  <c r="AA37" i="6"/>
  <c r="AG36" i="6"/>
  <c r="AD36" i="6"/>
  <c r="AA36" i="6"/>
  <c r="AG35" i="6"/>
  <c r="AD35" i="6"/>
  <c r="AA35" i="6"/>
  <c r="AG34" i="6"/>
  <c r="AD34" i="6"/>
  <c r="AA34" i="6"/>
  <c r="AG33" i="6"/>
  <c r="AD33" i="6"/>
  <c r="AA33" i="6"/>
  <c r="AG32" i="6"/>
  <c r="AD32" i="6"/>
  <c r="AA32" i="6"/>
  <c r="AG65" i="6"/>
  <c r="AD65" i="6"/>
  <c r="AA65" i="6"/>
  <c r="AG64" i="6"/>
  <c r="AD64" i="6"/>
  <c r="AA64" i="6"/>
  <c r="AG63" i="6"/>
  <c r="AD63" i="6"/>
  <c r="AA63" i="6"/>
  <c r="AG62" i="6"/>
  <c r="AD62" i="6"/>
  <c r="AA62" i="6"/>
  <c r="AG74" i="6"/>
  <c r="AD74" i="6"/>
  <c r="AA74" i="6"/>
  <c r="AG61" i="6"/>
  <c r="AD61" i="6"/>
  <c r="AA61" i="6"/>
  <c r="AG60" i="6"/>
  <c r="AD60" i="6"/>
  <c r="AA60" i="6"/>
  <c r="AG59" i="6"/>
  <c r="AD59" i="6"/>
  <c r="AA59" i="6"/>
  <c r="AG58" i="6"/>
  <c r="AD58" i="6"/>
  <c r="AA58" i="6"/>
  <c r="AG15" i="6"/>
  <c r="AD15" i="6"/>
  <c r="AA15" i="6"/>
  <c r="AG57" i="6"/>
  <c r="AD57" i="6"/>
  <c r="AA57" i="6"/>
  <c r="AG56" i="6"/>
  <c r="AD56" i="6"/>
  <c r="AA56" i="6"/>
  <c r="AG39" i="6"/>
  <c r="AD39" i="6"/>
  <c r="AA39" i="6"/>
  <c r="AG22" i="6"/>
  <c r="AD22" i="6"/>
  <c r="AA22" i="6"/>
  <c r="AG55" i="6"/>
  <c r="AD55" i="6"/>
  <c r="AA55" i="6"/>
  <c r="AG54" i="6"/>
  <c r="AD54" i="6"/>
  <c r="AA54" i="6"/>
  <c r="AG53" i="6"/>
  <c r="AD53" i="6"/>
  <c r="AA53" i="6"/>
  <c r="AG52" i="6"/>
  <c r="AD52" i="6"/>
  <c r="AA52" i="6"/>
  <c r="AG51" i="6"/>
  <c r="AD51" i="6"/>
  <c r="AA51" i="6"/>
  <c r="AG50" i="6"/>
  <c r="AD50" i="6"/>
  <c r="AA50" i="6"/>
  <c r="AG25" i="6"/>
  <c r="AD25" i="6"/>
  <c r="AA25" i="6"/>
  <c r="AG73" i="6"/>
  <c r="AD73" i="6"/>
  <c r="AA73" i="6"/>
  <c r="AG72" i="6"/>
  <c r="AD72" i="6"/>
  <c r="AA72" i="6"/>
  <c r="AG14" i="6"/>
  <c r="AD14" i="6"/>
  <c r="AA14" i="6"/>
  <c r="AG40" i="6"/>
  <c r="AD40" i="6"/>
  <c r="AA40" i="6"/>
  <c r="AG21" i="6"/>
  <c r="AD21" i="6"/>
  <c r="AA21" i="6"/>
  <c r="AG20" i="6"/>
  <c r="AD20" i="6"/>
  <c r="AA20" i="6"/>
  <c r="AG30" i="6"/>
  <c r="AD30" i="6"/>
  <c r="AA30" i="6"/>
  <c r="AG71" i="6"/>
  <c r="AD71" i="6"/>
  <c r="AA71" i="6"/>
  <c r="AG28" i="6"/>
  <c r="AD28" i="6"/>
  <c r="AA28" i="6"/>
  <c r="AG13" i="6"/>
  <c r="AD13" i="6"/>
  <c r="AA13" i="6"/>
  <c r="AG17" i="6"/>
  <c r="AD17" i="6"/>
  <c r="AA17" i="6"/>
  <c r="AG24" i="6"/>
  <c r="AD24" i="6"/>
  <c r="AA24" i="6"/>
  <c r="AG23" i="6"/>
  <c r="AD23" i="6"/>
  <c r="AA23" i="6"/>
  <c r="T41" i="6" l="1"/>
  <c r="T42" i="6"/>
  <c r="T43" i="6"/>
  <c r="T29" i="6"/>
  <c r="T26" i="6"/>
  <c r="T27" i="6"/>
  <c r="T18" i="6"/>
  <c r="T19" i="6"/>
  <c r="T31" i="6"/>
  <c r="M41" i="6"/>
  <c r="M42" i="6"/>
  <c r="M43" i="6"/>
  <c r="M29" i="6"/>
  <c r="M26" i="6"/>
  <c r="M27" i="6"/>
  <c r="M18" i="6"/>
  <c r="M19" i="6"/>
  <c r="M31" i="6"/>
  <c r="L34" i="6"/>
  <c r="L37" i="6"/>
  <c r="S62" i="6"/>
  <c r="L62" i="6"/>
  <c r="T74" i="6"/>
  <c r="L50" i="6"/>
  <c r="S73" i="6"/>
  <c r="S72" i="6"/>
  <c r="L73" i="6"/>
  <c r="L72" i="6"/>
  <c r="F50" i="6" l="1"/>
  <c r="F34" i="6"/>
  <c r="F37" i="6"/>
  <c r="F72" i="6" l="1"/>
  <c r="F73" i="6"/>
  <c r="M55" i="6" l="1"/>
  <c r="G31" i="6" l="1"/>
  <c r="Y31" i="6" s="1"/>
  <c r="G19" i="6"/>
  <c r="Y19" i="6" s="1"/>
  <c r="G18" i="6"/>
  <c r="Y18" i="6" s="1"/>
  <c r="G27" i="6"/>
  <c r="Y27" i="6" s="1"/>
  <c r="G26" i="6"/>
  <c r="Y26" i="6" s="1"/>
  <c r="G29" i="6"/>
  <c r="Y29" i="6" s="1"/>
  <c r="G43" i="6"/>
  <c r="Y43" i="6" s="1"/>
  <c r="G42" i="6"/>
  <c r="Y42" i="6" s="1"/>
  <c r="G41" i="6"/>
  <c r="Y41" i="6" s="1"/>
  <c r="R27" i="6" l="1"/>
  <c r="R18" i="6"/>
  <c r="R29" i="6"/>
  <c r="R19" i="6"/>
  <c r="R42" i="6"/>
  <c r="R43" i="6"/>
  <c r="R41" i="6"/>
  <c r="R26" i="6"/>
  <c r="R31" i="6"/>
  <c r="F62" i="6"/>
  <c r="M36" i="6" l="1"/>
  <c r="M35" i="6"/>
  <c r="M32" i="6"/>
  <c r="G65" i="6" l="1"/>
  <c r="M74" i="6"/>
  <c r="G74" i="6"/>
  <c r="Y74" i="6" s="1"/>
  <c r="G15" i="6"/>
  <c r="R74" i="6" l="1"/>
  <c r="G40" i="6"/>
  <c r="Y40" i="6" s="1"/>
  <c r="M17" i="6"/>
  <c r="T11" i="6"/>
  <c r="M12" i="6"/>
  <c r="L75" i="6" s="1"/>
  <c r="M11" i="6"/>
  <c r="T12" i="6"/>
  <c r="M70" i="6"/>
  <c r="M69" i="6"/>
  <c r="M68" i="6"/>
  <c r="M67" i="6"/>
  <c r="M66" i="6"/>
  <c r="M49" i="6"/>
  <c r="M48" i="6"/>
  <c r="M47" i="6"/>
  <c r="M46" i="6"/>
  <c r="M45" i="6"/>
  <c r="M44" i="6"/>
  <c r="M37" i="6"/>
  <c r="M34" i="6"/>
  <c r="M33" i="6"/>
  <c r="M64" i="6"/>
  <c r="M63" i="6"/>
  <c r="M62" i="6"/>
  <c r="M61" i="6"/>
  <c r="M60" i="6"/>
  <c r="M59" i="6"/>
  <c r="M58" i="6"/>
  <c r="M57" i="6"/>
  <c r="M56" i="6"/>
  <c r="M39" i="6"/>
  <c r="M22" i="6"/>
  <c r="M54" i="6"/>
  <c r="M53" i="6"/>
  <c r="M52" i="6"/>
  <c r="M51" i="6"/>
  <c r="M50" i="6"/>
  <c r="M25" i="6"/>
  <c r="M73" i="6"/>
  <c r="M72" i="6"/>
  <c r="M14" i="6"/>
  <c r="M21" i="6"/>
  <c r="M20" i="6"/>
  <c r="M30" i="6"/>
  <c r="M71" i="6"/>
  <c r="M28" i="6"/>
  <c r="M13" i="6"/>
  <c r="M24" i="6"/>
  <c r="M23" i="6"/>
  <c r="M38" i="6"/>
  <c r="T70" i="6"/>
  <c r="T69" i="6"/>
  <c r="T68" i="6"/>
  <c r="T67" i="6"/>
  <c r="T66" i="6"/>
  <c r="T49" i="6"/>
  <c r="T48" i="6"/>
  <c r="T47" i="6"/>
  <c r="T46" i="6"/>
  <c r="T45" i="6"/>
  <c r="T44" i="6"/>
  <c r="T37" i="6"/>
  <c r="T36" i="6"/>
  <c r="T35" i="6"/>
  <c r="T34" i="6"/>
  <c r="T33" i="6"/>
  <c r="T32" i="6"/>
  <c r="T65" i="6"/>
  <c r="Y65" i="6" s="1"/>
  <c r="T64" i="6"/>
  <c r="T63" i="6"/>
  <c r="T62" i="6"/>
  <c r="T61" i="6"/>
  <c r="T60" i="6"/>
  <c r="T59" i="6"/>
  <c r="T58" i="6"/>
  <c r="T15" i="6"/>
  <c r="Y15" i="6" s="1"/>
  <c r="T57" i="6"/>
  <c r="T56" i="6"/>
  <c r="T39" i="6"/>
  <c r="T22" i="6"/>
  <c r="T55" i="6"/>
  <c r="T54" i="6"/>
  <c r="T53" i="6"/>
  <c r="T52" i="6"/>
  <c r="T51" i="6"/>
  <c r="T50" i="6"/>
  <c r="T25" i="6"/>
  <c r="T73" i="6"/>
  <c r="T72" i="6"/>
  <c r="T14" i="6"/>
  <c r="T40" i="6"/>
  <c r="T21" i="6"/>
  <c r="T20" i="6"/>
  <c r="T30" i="6"/>
  <c r="T71" i="6"/>
  <c r="T28" i="6"/>
  <c r="T13" i="6"/>
  <c r="T17" i="6"/>
  <c r="T24" i="6"/>
  <c r="T23" i="6"/>
  <c r="T38" i="6"/>
  <c r="T16" i="6"/>
  <c r="M16" i="6"/>
  <c r="G11" i="6"/>
  <c r="G16" i="6"/>
  <c r="G38" i="6"/>
  <c r="Y38" i="6" s="1"/>
  <c r="G23" i="6"/>
  <c r="G24" i="6"/>
  <c r="Y24" i="6" s="1"/>
  <c r="G17" i="6"/>
  <c r="G13" i="6"/>
  <c r="Y13" i="6" s="1"/>
  <c r="G28" i="6"/>
  <c r="G71" i="6"/>
  <c r="G30" i="6"/>
  <c r="G20" i="6"/>
  <c r="Y20" i="6" s="1"/>
  <c r="G21" i="6"/>
  <c r="M40" i="6"/>
  <c r="G14" i="6"/>
  <c r="G72" i="6"/>
  <c r="Y72" i="6" s="1"/>
  <c r="G73" i="6"/>
  <c r="G25" i="6"/>
  <c r="G50" i="6"/>
  <c r="G51" i="6"/>
  <c r="Y51" i="6" s="1"/>
  <c r="G52" i="6"/>
  <c r="G53" i="6"/>
  <c r="G54" i="6"/>
  <c r="G55" i="6"/>
  <c r="Y55" i="6" s="1"/>
  <c r="G22" i="6"/>
  <c r="G39" i="6"/>
  <c r="Y39" i="6" s="1"/>
  <c r="G56" i="6"/>
  <c r="G57" i="6"/>
  <c r="Y57" i="6" s="1"/>
  <c r="M15" i="6"/>
  <c r="R15" i="6" s="1"/>
  <c r="G58" i="6"/>
  <c r="Y58" i="6" s="1"/>
  <c r="G59" i="6"/>
  <c r="G60" i="6"/>
  <c r="Y60" i="6" s="1"/>
  <c r="G61" i="6"/>
  <c r="G62" i="6"/>
  <c r="Y62" i="6" s="1"/>
  <c r="G63" i="6"/>
  <c r="G64" i="6"/>
  <c r="Y64" i="6" s="1"/>
  <c r="M65" i="6"/>
  <c r="R65" i="6" s="1"/>
  <c r="G32" i="6"/>
  <c r="Y32" i="6" s="1"/>
  <c r="G33" i="6"/>
  <c r="G34" i="6"/>
  <c r="Y34" i="6" s="1"/>
  <c r="G35" i="6"/>
  <c r="G36" i="6"/>
  <c r="Y36" i="6" s="1"/>
  <c r="G37" i="6"/>
  <c r="G44" i="6"/>
  <c r="Y44" i="6" s="1"/>
  <c r="G45" i="6"/>
  <c r="G46" i="6"/>
  <c r="Y46" i="6" s="1"/>
  <c r="G47" i="6"/>
  <c r="G48" i="6"/>
  <c r="Y48" i="6" s="1"/>
  <c r="G49" i="6"/>
  <c r="G66" i="6"/>
  <c r="Y66" i="6" s="1"/>
  <c r="G67" i="6"/>
  <c r="G68" i="6"/>
  <c r="Y68" i="6" s="1"/>
  <c r="G69" i="6"/>
  <c r="G70" i="6"/>
  <c r="Y70" i="6" s="1"/>
  <c r="G12" i="6"/>
  <c r="C77" i="6"/>
  <c r="F75" i="6" l="1"/>
  <c r="Y12" i="6"/>
  <c r="Y67" i="6"/>
  <c r="Y47" i="6"/>
  <c r="Y37" i="6"/>
  <c r="Y33" i="6"/>
  <c r="Y63" i="6"/>
  <c r="Y59" i="6"/>
  <c r="Y56" i="6"/>
  <c r="Y54" i="6"/>
  <c r="Y50" i="6"/>
  <c r="Y14" i="6"/>
  <c r="Y30" i="6"/>
  <c r="Y17" i="6"/>
  <c r="Y16" i="6"/>
  <c r="Y53" i="6"/>
  <c r="Y25" i="6"/>
  <c r="Y71" i="6"/>
  <c r="Y11" i="6"/>
  <c r="Y69" i="6"/>
  <c r="Y49" i="6"/>
  <c r="Y45" i="6"/>
  <c r="Y35" i="6"/>
  <c r="Y61" i="6"/>
  <c r="Y22" i="6"/>
  <c r="Y52" i="6"/>
  <c r="Y73" i="6"/>
  <c r="Y21" i="6"/>
  <c r="Y28" i="6"/>
  <c r="Y23" i="6"/>
  <c r="S75" i="6"/>
  <c r="R40" i="6"/>
  <c r="R51" i="6"/>
  <c r="R38" i="6"/>
  <c r="R28" i="6"/>
  <c r="R21" i="6"/>
  <c r="R25" i="6"/>
  <c r="R53" i="6"/>
  <c r="R59" i="6"/>
  <c r="R63" i="6"/>
  <c r="R47" i="6"/>
  <c r="R67" i="6"/>
  <c r="R23" i="6"/>
  <c r="R56" i="6"/>
  <c r="R60" i="6"/>
  <c r="R64" i="6"/>
  <c r="R44" i="6"/>
  <c r="R48" i="6"/>
  <c r="R68" i="6"/>
  <c r="R72" i="6"/>
  <c r="R45" i="6"/>
  <c r="R49" i="6"/>
  <c r="R69" i="6"/>
  <c r="R39" i="6"/>
  <c r="R71" i="6"/>
  <c r="R14" i="6"/>
  <c r="R50" i="6"/>
  <c r="R54" i="6"/>
  <c r="R16" i="6"/>
  <c r="R30" i="6"/>
  <c r="R57" i="6"/>
  <c r="R61" i="6"/>
  <c r="R13" i="6"/>
  <c r="R20" i="6"/>
  <c r="R73" i="6"/>
  <c r="R52" i="6"/>
  <c r="R22" i="6"/>
  <c r="R58" i="6"/>
  <c r="R46" i="6"/>
  <c r="R66" i="6"/>
  <c r="R70" i="6"/>
  <c r="R24" i="6"/>
  <c r="R17" i="6"/>
  <c r="R55" i="6"/>
  <c r="R11" i="6"/>
  <c r="R12" i="6"/>
  <c r="R62" i="6"/>
  <c r="R37" i="6"/>
  <c r="R34" i="6"/>
  <c r="R36" i="6"/>
  <c r="R35" i="6"/>
  <c r="R33" i="6"/>
  <c r="R32" i="6"/>
  <c r="Y75" i="6" l="1"/>
  <c r="R75" i="6"/>
  <c r="W75" i="6"/>
  <c r="N75" i="6"/>
  <c r="AD22" i="3"/>
  <c r="BB59" i="3" l="1"/>
  <c r="BB58" i="3"/>
  <c r="BC58" i="3" s="1"/>
  <c r="BB57" i="3"/>
  <c r="BC57" i="3" s="1"/>
  <c r="BB56" i="3"/>
  <c r="BC56" i="3" s="1"/>
  <c r="BB52" i="3"/>
  <c r="BB49" i="3"/>
  <c r="BC49" i="3" s="1"/>
  <c r="BB55" i="3"/>
  <c r="BC55" i="3" s="1"/>
  <c r="BB54" i="3"/>
  <c r="BC54" i="3" s="1"/>
  <c r="BB53" i="3"/>
  <c r="BB51" i="3"/>
  <c r="BB50" i="3"/>
  <c r="BC50" i="3" s="1"/>
  <c r="BB48" i="3"/>
  <c r="BC48" i="3" s="1"/>
  <c r="BB47" i="3"/>
  <c r="BC47" i="3" s="1"/>
  <c r="BB46" i="3"/>
  <c r="BC46" i="3" s="1"/>
  <c r="BB44" i="3"/>
  <c r="BC44" i="3" s="1"/>
  <c r="BB43" i="3"/>
  <c r="BC43" i="3" s="1"/>
  <c r="BB42" i="3"/>
  <c r="BC42" i="3" s="1"/>
  <c r="BB41" i="3"/>
  <c r="BB37" i="3"/>
  <c r="BC37" i="3" s="1"/>
  <c r="BB36" i="3"/>
  <c r="BC36" i="3" s="1"/>
  <c r="BB35" i="3"/>
  <c r="BB34" i="3"/>
  <c r="BC34" i="3" s="1"/>
  <c r="BB27" i="3"/>
  <c r="BC27" i="3" s="1"/>
  <c r="BB26" i="3"/>
  <c r="BC26" i="3" s="1"/>
  <c r="BB25" i="3"/>
  <c r="BB24" i="3"/>
  <c r="BC24" i="3" s="1"/>
  <c r="BB18" i="3"/>
  <c r="BC18" i="3" s="1"/>
  <c r="BB17" i="3"/>
  <c r="BC17" i="3" s="1"/>
  <c r="BB16" i="3"/>
  <c r="BB14" i="3"/>
  <c r="BC14" i="3" s="1"/>
  <c r="BB13" i="3"/>
  <c r="BC13" i="3" s="1"/>
  <c r="BB12" i="3"/>
  <c r="BC12" i="3" s="1"/>
  <c r="BB11" i="3"/>
  <c r="BB10" i="3"/>
  <c r="BC10" i="3" s="1"/>
  <c r="BB9" i="3"/>
  <c r="BC9" i="3" s="1"/>
  <c r="BB8" i="3"/>
  <c r="BC8" i="3" s="1"/>
  <c r="BB7" i="3"/>
  <c r="BB6" i="3"/>
  <c r="BC6" i="3" s="1"/>
  <c r="BB5" i="3"/>
  <c r="BC5" i="3" s="1"/>
  <c r="BC7" i="3"/>
  <c r="BC11" i="3"/>
  <c r="BC15" i="3"/>
  <c r="BC16" i="3"/>
  <c r="BC19" i="3"/>
  <c r="BC20" i="3"/>
  <c r="BC21" i="3"/>
  <c r="BC22" i="3"/>
  <c r="BC23" i="3"/>
  <c r="BC25" i="3"/>
  <c r="BC28" i="3"/>
  <c r="BC29" i="3"/>
  <c r="BC30" i="3"/>
  <c r="BC31" i="3"/>
  <c r="BC32" i="3"/>
  <c r="BC33" i="3"/>
  <c r="BC35" i="3"/>
  <c r="BC38" i="3"/>
  <c r="BC39" i="3"/>
  <c r="BC40" i="3"/>
  <c r="BC41" i="3"/>
  <c r="BC45" i="3"/>
  <c r="BC51" i="3"/>
  <c r="BC52" i="3"/>
  <c r="BC53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B4" i="3"/>
  <c r="BC4" i="3" s="1"/>
  <c r="BC1" i="3" l="1"/>
  <c r="AX51" i="3"/>
  <c r="AX50" i="3"/>
  <c r="AY50" i="3"/>
  <c r="AX46" i="3"/>
  <c r="AY46" i="3" s="1"/>
  <c r="AX35" i="3"/>
  <c r="AX34" i="3"/>
  <c r="AY34" i="3" s="1"/>
  <c r="AX31" i="3"/>
  <c r="AY31" i="3" s="1"/>
  <c r="AX29" i="3"/>
  <c r="AY29" i="3" s="1"/>
  <c r="AX28" i="3"/>
  <c r="AX24" i="3"/>
  <c r="AY24" i="3" s="1"/>
  <c r="AX19" i="3"/>
  <c r="AY19" i="3" s="1"/>
  <c r="AX18" i="3"/>
  <c r="AY18" i="3" s="1"/>
  <c r="AX17" i="3"/>
  <c r="AX16" i="3"/>
  <c r="AX15" i="3"/>
  <c r="AY15" i="3" s="1"/>
  <c r="AX12" i="3"/>
  <c r="AY12" i="3" s="1"/>
  <c r="AX11" i="3"/>
  <c r="AY11" i="3" s="1"/>
  <c r="AX10" i="3"/>
  <c r="AY10" i="3" s="1"/>
  <c r="AX9" i="3"/>
  <c r="AY9" i="3" s="1"/>
  <c r="AX8" i="3"/>
  <c r="AY8" i="3" s="1"/>
  <c r="AX7" i="3"/>
  <c r="AY7" i="3" s="1"/>
  <c r="AX6" i="3"/>
  <c r="AY6" i="3" s="1"/>
  <c r="AX5" i="3"/>
  <c r="AY5" i="3" s="1"/>
  <c r="AY13" i="3"/>
  <c r="AY14" i="3"/>
  <c r="AY16" i="3"/>
  <c r="AY17" i="3"/>
  <c r="AY20" i="3"/>
  <c r="AY21" i="3"/>
  <c r="AY22" i="3"/>
  <c r="AY23" i="3"/>
  <c r="AY25" i="3"/>
  <c r="AY26" i="3"/>
  <c r="AY27" i="3"/>
  <c r="AY28" i="3"/>
  <c r="AY30" i="3"/>
  <c r="AY32" i="3"/>
  <c r="AY33" i="3"/>
  <c r="AY35" i="3"/>
  <c r="AY36" i="3"/>
  <c r="AY37" i="3"/>
  <c r="AY38" i="3"/>
  <c r="AY39" i="3"/>
  <c r="AY40" i="3"/>
  <c r="AY41" i="3"/>
  <c r="AY42" i="3"/>
  <c r="AY43" i="3"/>
  <c r="AY44" i="3"/>
  <c r="AY45" i="3"/>
  <c r="AY47" i="3"/>
  <c r="AY48" i="3"/>
  <c r="AY49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X4" i="3"/>
  <c r="AY4" i="3" s="1"/>
  <c r="AY1" i="3" l="1"/>
  <c r="AT42" i="3"/>
  <c r="AT41" i="3"/>
  <c r="AU41" i="3" s="1"/>
  <c r="AU4" i="3"/>
  <c r="AT4" i="3"/>
  <c r="AT7" i="3"/>
  <c r="AU7" i="3"/>
  <c r="AU8" i="3"/>
  <c r="AT6" i="3"/>
  <c r="AU6" i="3" s="1"/>
  <c r="AU9" i="3"/>
  <c r="AU10" i="3"/>
  <c r="AU11" i="3"/>
  <c r="AU12" i="3"/>
  <c r="AU13" i="3"/>
  <c r="AU14" i="3"/>
  <c r="AU15" i="3"/>
  <c r="AU16" i="3"/>
  <c r="AU17" i="3"/>
  <c r="AU18" i="3"/>
  <c r="AU19" i="3"/>
  <c r="AU20" i="3"/>
  <c r="AU21" i="3"/>
  <c r="AU22" i="3"/>
  <c r="AU23" i="3"/>
  <c r="AU24" i="3"/>
  <c r="AU25" i="3"/>
  <c r="AU26" i="3"/>
  <c r="AU27" i="3"/>
  <c r="AU28" i="3"/>
  <c r="AU29" i="3"/>
  <c r="AU30" i="3"/>
  <c r="AU31" i="3"/>
  <c r="AU32" i="3"/>
  <c r="AU33" i="3"/>
  <c r="AU34" i="3"/>
  <c r="AU35" i="3"/>
  <c r="AU36" i="3"/>
  <c r="AU37" i="3"/>
  <c r="AU38" i="3"/>
  <c r="AU39" i="3"/>
  <c r="AU40" i="3"/>
  <c r="AU42" i="3"/>
  <c r="AU43" i="3"/>
  <c r="AU44" i="3"/>
  <c r="AU45" i="3"/>
  <c r="AU46" i="3"/>
  <c r="AU47" i="3"/>
  <c r="AU48" i="3"/>
  <c r="AU49" i="3"/>
  <c r="AU50" i="3"/>
  <c r="AU51" i="3"/>
  <c r="AU52" i="3"/>
  <c r="AU53" i="3"/>
  <c r="AU54" i="3"/>
  <c r="AU55" i="3"/>
  <c r="AU56" i="3"/>
  <c r="AU57" i="3"/>
  <c r="AU58" i="3"/>
  <c r="AU59" i="3"/>
  <c r="AU60" i="3"/>
  <c r="AU61" i="3"/>
  <c r="AU62" i="3"/>
  <c r="AU63" i="3"/>
  <c r="AU64" i="3"/>
  <c r="AU65" i="3"/>
  <c r="AU66" i="3"/>
  <c r="AU67" i="3"/>
  <c r="AU68" i="3"/>
  <c r="AU69" i="3"/>
  <c r="AU70" i="3"/>
  <c r="AT5" i="3"/>
  <c r="AU5" i="3" s="1"/>
  <c r="AU1" i="3" l="1"/>
  <c r="AP59" i="3"/>
  <c r="AP58" i="3"/>
  <c r="AQ58" i="3" s="1"/>
  <c r="AP57" i="3"/>
  <c r="AQ57" i="3" s="1"/>
  <c r="AP56" i="3"/>
  <c r="AQ56" i="3" s="1"/>
  <c r="AP55" i="3"/>
  <c r="AP54" i="3"/>
  <c r="AQ54" i="3" s="1"/>
  <c r="AP53" i="3"/>
  <c r="AQ53" i="3" s="1"/>
  <c r="AP52" i="3"/>
  <c r="AQ52" i="3" s="1"/>
  <c r="AP51" i="3"/>
  <c r="AP50" i="3"/>
  <c r="AQ50" i="3" s="1"/>
  <c r="AP49" i="3"/>
  <c r="AQ49" i="3" s="1"/>
  <c r="AP48" i="3"/>
  <c r="AQ48" i="3" s="1"/>
  <c r="AP47" i="3"/>
  <c r="AP11" i="3"/>
  <c r="AQ11" i="3" s="1"/>
  <c r="AP7" i="3"/>
  <c r="AP5" i="3"/>
  <c r="AQ5" i="3" s="1"/>
  <c r="AP4" i="3"/>
  <c r="AQ6" i="3"/>
  <c r="AQ7" i="3"/>
  <c r="AQ8" i="3"/>
  <c r="AQ9" i="3"/>
  <c r="AQ10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51" i="3"/>
  <c r="AQ55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4" i="3"/>
  <c r="AL30" i="3"/>
  <c r="AM30" i="3" s="1"/>
  <c r="AL17" i="3"/>
  <c r="AM17" i="3" s="1"/>
  <c r="AL12" i="3"/>
  <c r="AL10" i="3"/>
  <c r="AM10" i="3" s="1"/>
  <c r="AL9" i="3"/>
  <c r="AM9" i="3" s="1"/>
  <c r="AL8" i="3"/>
  <c r="AM8" i="3" s="1"/>
  <c r="AL5" i="3"/>
  <c r="AM5" i="3" s="1"/>
  <c r="AM6" i="3"/>
  <c r="AM7" i="3"/>
  <c r="AM11" i="3"/>
  <c r="AM12" i="3"/>
  <c r="AM13" i="3"/>
  <c r="AM14" i="3"/>
  <c r="AM15" i="3"/>
  <c r="AM16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1" i="3"/>
  <c r="AM32" i="3"/>
  <c r="AM33" i="3"/>
  <c r="AM34" i="3"/>
  <c r="AM35" i="3"/>
  <c r="AM36" i="3"/>
  <c r="AM37" i="3"/>
  <c r="AM38" i="3"/>
  <c r="AM39" i="3"/>
  <c r="AM40" i="3"/>
  <c r="AM41" i="3"/>
  <c r="AM42" i="3"/>
  <c r="AM43" i="3"/>
  <c r="AM44" i="3"/>
  <c r="AM45" i="3"/>
  <c r="AM46" i="3"/>
  <c r="AM47" i="3"/>
  <c r="AM48" i="3"/>
  <c r="AM49" i="3"/>
  <c r="AM50" i="3"/>
  <c r="AM51" i="3"/>
  <c r="AM52" i="3"/>
  <c r="AM53" i="3"/>
  <c r="AM54" i="3"/>
  <c r="AM55" i="3"/>
  <c r="AM56" i="3"/>
  <c r="AM57" i="3"/>
  <c r="AM58" i="3"/>
  <c r="AM59" i="3"/>
  <c r="AM60" i="3"/>
  <c r="AM61" i="3"/>
  <c r="AM62" i="3"/>
  <c r="AM63" i="3"/>
  <c r="AM64" i="3"/>
  <c r="AM65" i="3"/>
  <c r="AM66" i="3"/>
  <c r="AM67" i="3"/>
  <c r="AM68" i="3"/>
  <c r="AM69" i="3"/>
  <c r="AM70" i="3"/>
  <c r="AL4" i="3"/>
  <c r="AM4" i="3" s="1"/>
  <c r="AH12" i="3"/>
  <c r="AI12" i="3" s="1"/>
  <c r="AH10" i="3"/>
  <c r="AI10" i="3" s="1"/>
  <c r="AI5" i="3"/>
  <c r="AI6" i="3"/>
  <c r="AI7" i="3"/>
  <c r="AI8" i="3"/>
  <c r="AI11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I61" i="3"/>
  <c r="AI62" i="3"/>
  <c r="AI63" i="3"/>
  <c r="AI64" i="3"/>
  <c r="AI65" i="3"/>
  <c r="AI66" i="3"/>
  <c r="AI67" i="3"/>
  <c r="AI68" i="3"/>
  <c r="AI69" i="3"/>
  <c r="AI70" i="3"/>
  <c r="AI4" i="3"/>
  <c r="AH9" i="3"/>
  <c r="AI9" i="3" s="1"/>
  <c r="AD10" i="3"/>
  <c r="AE10" i="3" s="1"/>
  <c r="AD8" i="3"/>
  <c r="AE8" i="3" s="1"/>
  <c r="AD9" i="3"/>
  <c r="AE9" i="3" s="1"/>
  <c r="AD12" i="3"/>
  <c r="AE12" i="3" s="1"/>
  <c r="AD17" i="3"/>
  <c r="AE17" i="3" s="1"/>
  <c r="AD42" i="3"/>
  <c r="AE42" i="3" s="1"/>
  <c r="AD4" i="3"/>
  <c r="AE4" i="3" s="1"/>
  <c r="AE5" i="3"/>
  <c r="AE6" i="3"/>
  <c r="AE7" i="3"/>
  <c r="AE11" i="3"/>
  <c r="AE13" i="3"/>
  <c r="AE14" i="3"/>
  <c r="AE15" i="3"/>
  <c r="AE16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Z17" i="3"/>
  <c r="AA17" i="3" s="1"/>
  <c r="AA5" i="3"/>
  <c r="AA6" i="3"/>
  <c r="AA7" i="3"/>
  <c r="AA8" i="3"/>
  <c r="AA9" i="3"/>
  <c r="AA10" i="3"/>
  <c r="AA11" i="3"/>
  <c r="AA13" i="3"/>
  <c r="AA14" i="3"/>
  <c r="AA15" i="3"/>
  <c r="AA16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4" i="3"/>
  <c r="Z12" i="3"/>
  <c r="AA12" i="3" s="1"/>
  <c r="V17" i="3"/>
  <c r="W17" i="3" s="1"/>
  <c r="V14" i="3"/>
  <c r="W14" i="3" s="1"/>
  <c r="V12" i="3"/>
  <c r="W12" i="3" s="1"/>
  <c r="V10" i="3"/>
  <c r="W10" i="3" s="1"/>
  <c r="V8" i="3"/>
  <c r="W5" i="3"/>
  <c r="W6" i="3"/>
  <c r="W7" i="3"/>
  <c r="W8" i="3"/>
  <c r="W9" i="3"/>
  <c r="W11" i="3"/>
  <c r="W13" i="3"/>
  <c r="W15" i="3"/>
  <c r="W16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4" i="3"/>
  <c r="AM1" i="3" l="1"/>
  <c r="AA1" i="3"/>
  <c r="AQ1" i="3"/>
  <c r="W1" i="3"/>
  <c r="AE1" i="3"/>
  <c r="AI1" i="3"/>
  <c r="R67" i="3"/>
  <c r="S67" i="3" s="1"/>
  <c r="R68" i="3"/>
  <c r="S68" i="3" s="1"/>
  <c r="R69" i="3"/>
  <c r="S69" i="3" s="1"/>
  <c r="R70" i="3"/>
  <c r="S70" i="3" s="1"/>
  <c r="R66" i="3"/>
  <c r="S66" i="3" s="1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6" i="3"/>
  <c r="O67" i="3"/>
  <c r="O68" i="3"/>
  <c r="O69" i="3"/>
  <c r="O70" i="3"/>
  <c r="O4" i="3"/>
  <c r="N61" i="3"/>
  <c r="O61" i="3" s="1"/>
  <c r="N62" i="3"/>
  <c r="O62" i="3" s="1"/>
  <c r="N63" i="3"/>
  <c r="O63" i="3" s="1"/>
  <c r="N64" i="3"/>
  <c r="O64" i="3" s="1"/>
  <c r="N65" i="3"/>
  <c r="O65" i="3" s="1"/>
  <c r="N60" i="3"/>
  <c r="O60" i="3" s="1"/>
  <c r="O1" i="3" l="1"/>
  <c r="S1" i="3"/>
  <c r="J58" i="3"/>
  <c r="K58" i="3" s="1"/>
  <c r="J59" i="3"/>
  <c r="K59" i="3" s="1"/>
  <c r="J57" i="3"/>
  <c r="K57" i="3" s="1"/>
  <c r="J55" i="3"/>
  <c r="K55" i="3" s="1"/>
  <c r="J56" i="3"/>
  <c r="K56" i="3" s="1"/>
  <c r="J54" i="3"/>
  <c r="K54" i="3" s="1"/>
  <c r="J53" i="3"/>
  <c r="K53" i="3" s="1"/>
  <c r="J40" i="3"/>
  <c r="K40" i="3" s="1"/>
  <c r="J39" i="3"/>
  <c r="K39" i="3" s="1"/>
  <c r="J38" i="3"/>
  <c r="K38" i="3" s="1"/>
  <c r="J36" i="3"/>
  <c r="K36" i="3" s="1"/>
  <c r="J35" i="3"/>
  <c r="K35" i="3" s="1"/>
  <c r="J34" i="3"/>
  <c r="K34" i="3" s="1"/>
  <c r="J29" i="3"/>
  <c r="K29" i="3" s="1"/>
  <c r="J27" i="3"/>
  <c r="J23" i="3"/>
  <c r="K23" i="3" s="1"/>
  <c r="J19" i="3"/>
  <c r="K19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9" i="3"/>
  <c r="K9" i="3" s="1"/>
  <c r="J10" i="3"/>
  <c r="K10" i="3" s="1"/>
  <c r="J8" i="3"/>
  <c r="K8" i="3" s="1"/>
  <c r="J7" i="3"/>
  <c r="K7" i="3" s="1"/>
  <c r="K18" i="3"/>
  <c r="K20" i="3"/>
  <c r="K21" i="3"/>
  <c r="K22" i="3"/>
  <c r="K24" i="3"/>
  <c r="K25" i="3"/>
  <c r="K26" i="3"/>
  <c r="K27" i="3"/>
  <c r="K28" i="3"/>
  <c r="K30" i="3"/>
  <c r="K31" i="3"/>
  <c r="K32" i="3"/>
  <c r="K33" i="3"/>
  <c r="K37" i="3"/>
  <c r="K41" i="3"/>
  <c r="K42" i="3"/>
  <c r="K43" i="3"/>
  <c r="K44" i="3"/>
  <c r="K45" i="3"/>
  <c r="K46" i="3"/>
  <c r="K47" i="3"/>
  <c r="K48" i="3"/>
  <c r="K49" i="3"/>
  <c r="K50" i="3"/>
  <c r="K51" i="3"/>
  <c r="K52" i="3"/>
  <c r="K60" i="3"/>
  <c r="K61" i="3"/>
  <c r="K62" i="3"/>
  <c r="K63" i="3"/>
  <c r="K64" i="3"/>
  <c r="K65" i="3"/>
  <c r="K66" i="3"/>
  <c r="K67" i="3"/>
  <c r="K68" i="3"/>
  <c r="K69" i="3"/>
  <c r="K70" i="3"/>
  <c r="J6" i="3"/>
  <c r="K6" i="3" s="1"/>
  <c r="J5" i="3"/>
  <c r="K5" i="3" s="1"/>
  <c r="K4" i="3"/>
  <c r="K1" i="3" l="1"/>
  <c r="F50" i="3"/>
  <c r="G50" i="3"/>
  <c r="F59" i="3"/>
  <c r="G59" i="3" s="1"/>
  <c r="F58" i="3"/>
  <c r="G58" i="3" s="1"/>
  <c r="F57" i="3"/>
  <c r="G57" i="3" s="1"/>
  <c r="F56" i="3"/>
  <c r="G56" i="3" s="1"/>
  <c r="F55" i="3"/>
  <c r="G55" i="3" s="1"/>
  <c r="F54" i="3"/>
  <c r="G54" i="3" s="1"/>
  <c r="F53" i="3"/>
  <c r="G53" i="3" s="1"/>
  <c r="F51" i="3"/>
  <c r="G51" i="3" s="1"/>
  <c r="F49" i="3"/>
  <c r="G49" i="3" s="1"/>
  <c r="F48" i="3"/>
  <c r="G48" i="3" s="1"/>
  <c r="F47" i="3"/>
  <c r="G47" i="3" s="1"/>
  <c r="F37" i="3"/>
  <c r="G37" i="3" s="1"/>
  <c r="F36" i="3"/>
  <c r="G36" i="3" s="1"/>
  <c r="F35" i="3"/>
  <c r="G35" i="3" s="1"/>
  <c r="F34" i="3"/>
  <c r="G34" i="3" s="1"/>
  <c r="F33" i="3"/>
  <c r="G33" i="3" s="1"/>
  <c r="F32" i="3"/>
  <c r="G32" i="3" s="1"/>
  <c r="F31" i="3"/>
  <c r="G31" i="3" s="1"/>
  <c r="F25" i="3"/>
  <c r="G25" i="3" s="1"/>
  <c r="F24" i="3"/>
  <c r="G24" i="3" s="1"/>
  <c r="F19" i="3"/>
  <c r="G19" i="3" s="1"/>
  <c r="F17" i="3"/>
  <c r="G17" i="3" s="1"/>
  <c r="F16" i="3"/>
  <c r="G16" i="3" s="1"/>
  <c r="F15" i="3"/>
  <c r="G15" i="3" s="1"/>
  <c r="F14" i="3"/>
  <c r="G14" i="3" s="1"/>
  <c r="F13" i="3"/>
  <c r="G13" i="3" s="1"/>
  <c r="F11" i="3"/>
  <c r="G11" i="3" s="1"/>
  <c r="F9" i="3"/>
  <c r="G9" i="3" s="1"/>
  <c r="F8" i="3"/>
  <c r="G8" i="3" s="1"/>
  <c r="F7" i="3"/>
  <c r="G7" i="3" s="1"/>
  <c r="F6" i="3"/>
  <c r="G6" i="3" s="1"/>
  <c r="F5" i="3"/>
  <c r="G5" i="3" s="1"/>
  <c r="F4" i="3"/>
  <c r="G4" i="3" s="1"/>
  <c r="G1" i="3" l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l="1"/>
  <c r="B44" i="1" s="1"/>
  <c r="B45" i="1" s="1"/>
  <c r="B46" i="1" s="1"/>
  <c r="B47" i="1" s="1"/>
  <c r="B48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A8" i="2"/>
  <c r="A9" i="2" s="1"/>
  <c r="A10" i="2" s="1"/>
  <c r="A11" i="2" s="1"/>
  <c r="A12" i="2" s="1"/>
  <c r="A2" i="2" s="1"/>
  <c r="A3" i="2" s="1"/>
  <c r="A4" i="2" s="1"/>
  <c r="A5" i="2" s="1"/>
  <c r="A6" i="2" s="1"/>
  <c r="A7" i="2" s="1"/>
</calcChain>
</file>

<file path=xl/sharedStrings.xml><?xml version="1.0" encoding="utf-8"?>
<sst xmlns="http://schemas.openxmlformats.org/spreadsheetml/2006/main" count="1475" uniqueCount="519">
  <si>
    <t>kit comercial de deteccion del COVID19</t>
  </si>
  <si>
    <t>Film adesivo optico</t>
  </si>
  <si>
    <t>placas de PCR</t>
  </si>
  <si>
    <t>Kit de RT-qPCR (SuperScript™ III Platinum™ One-Step qRT-PCR Kit)</t>
  </si>
  <si>
    <t>Tubos Eppendorf 1,5mL</t>
  </si>
  <si>
    <t>Guantes de vinilo de diferentes tallas</t>
  </si>
  <si>
    <t>Guantes de latex de diferentes tallas</t>
  </si>
  <si>
    <t>Caja de almacenamiento de tubos</t>
  </si>
  <si>
    <t>Abbott m2000rt, VIASURE (labcare)</t>
  </si>
  <si>
    <t>Abbott, AMLtda, GenProducts</t>
  </si>
  <si>
    <t>Abbott, AMLtda, Genproducts</t>
  </si>
  <si>
    <t>New England Biolabs Luna Universal Probe One-Step RT-qPCR Kit</t>
  </si>
  <si>
    <t>Isla</t>
  </si>
  <si>
    <t>New England Biolabs Proteinase K</t>
  </si>
  <si>
    <t>Genproducts, Isla, ARCanalisis</t>
  </si>
  <si>
    <t>Guardian desechos</t>
  </si>
  <si>
    <t>Sterile Hanks Balanced Salt Solution (HBSS) 1X con calcium y magnesio, sin phenol red</t>
  </si>
  <si>
    <t>Escherichia coli bacteriophage MS2</t>
  </si>
  <si>
    <t>15597-B1™</t>
  </si>
  <si>
    <t>ATCC®</t>
  </si>
  <si>
    <t xml:space="preserve">Escherichia coli bacteriophage T1 </t>
  </si>
  <si>
    <t>11303-B1™</t>
  </si>
  <si>
    <t>AMPure XP, 60 mL</t>
  </si>
  <si>
    <t>A63881</t>
  </si>
  <si>
    <t>Beckman Coulter</t>
  </si>
  <si>
    <t>Tubos con perlas de vidrio (Standard Glass Beads, Ø: 0.1mm)</t>
  </si>
  <si>
    <t>(D1031-01)</t>
  </si>
  <si>
    <t>Benchmark</t>
  </si>
  <si>
    <t>LongAmp® Taq 2X Master Mix (500 reacciones)</t>
  </si>
  <si>
    <t>M0287L</t>
  </si>
  <si>
    <t>New England Biolabs</t>
  </si>
  <si>
    <t>NEBNext® Microbiome DNA Enrichment Kit</t>
  </si>
  <si>
    <t>E2612S</t>
  </si>
  <si>
    <t>NEBNext® rRNA Depletion Kit (Human/Mouse/Rat)</t>
  </si>
  <si>
    <t>E6310S</t>
  </si>
  <si>
    <t>RNase If</t>
  </si>
  <si>
    <t>M0243S</t>
  </si>
  <si>
    <t>Opentrons 1000uL Filter Tips (9600 puntas)</t>
  </si>
  <si>
    <t>Opentrons</t>
  </si>
  <si>
    <t>Opentrons 20uL Filter Tips (9600 puntas)</t>
  </si>
  <si>
    <t>Opentrons 1000uL Tips (16 RACKS &amp; 80 REFILLS (9216 TIPS))</t>
  </si>
  <si>
    <t>Opentrons 10µL/20µL Tips (16 RACKS &amp; 80 REFILLS (9216 TIPS))</t>
  </si>
  <si>
    <t>4-in-1 Tube Rack Set</t>
  </si>
  <si>
    <t>Flow Cell Wash Kit</t>
  </si>
  <si>
    <t>EXP-WSH003</t>
  </si>
  <si>
    <t>Oxford Nanopore Technologies</t>
  </si>
  <si>
    <t>Rapid Barcoding kit</t>
  </si>
  <si>
    <t>SQK-RBK004</t>
  </si>
  <si>
    <t>16S Barcoding Kit 1-24</t>
  </si>
  <si>
    <t>SQK-16S024</t>
  </si>
  <si>
    <t>Rapid PCR Barcoding Kit</t>
  </si>
  <si>
    <t>SQK-RPB004</t>
  </si>
  <si>
    <t>Celdas flujo para secuenciación FLO-MIN106D</t>
  </si>
  <si>
    <t>Celdas flujo para secuenciación FLO-FLG001</t>
  </si>
  <si>
    <t>Buffer P1 (500 ml)</t>
  </si>
  <si>
    <t>Qiagen</t>
  </si>
  <si>
    <t>MagAttract HMW DNA Kit Catalog no. Number of samples (48)</t>
  </si>
  <si>
    <t xml:space="preserve">AccuPlex™ SARS-CoV-2 Reference Material Kit </t>
  </si>
  <si>
    <t>#0505-0126</t>
  </si>
  <si>
    <t>Seracare</t>
  </si>
  <si>
    <t>Lysozyme para Biologia Molecular</t>
  </si>
  <si>
    <t>L4919-500MG</t>
  </si>
  <si>
    <t>Sigma</t>
  </si>
  <si>
    <t>Qubit™ dsDNA BR Assay Kit (500 reacciones)</t>
  </si>
  <si>
    <t>Q32853</t>
  </si>
  <si>
    <t>ThermoFisher</t>
  </si>
  <si>
    <t>Invitrogen™ Qubit™ Flex Assay Tube Strips</t>
  </si>
  <si>
    <t>Q33252</t>
  </si>
  <si>
    <t>SuperScript IV One-Step RT-PCR System</t>
  </si>
  <si>
    <t>SuperScript III One-Step RT-PCR System with Platinum Taq DNA Polymerase</t>
  </si>
  <si>
    <t>SuperScript™ IV First-Strand Synthesis System (50 reacciones)</t>
  </si>
  <si>
    <t>Thermofisher</t>
  </si>
  <si>
    <t>Second Strand cDNA Synthesis Kit (50 reacciones)</t>
  </si>
  <si>
    <t xml:space="preserve"> A48570</t>
  </si>
  <si>
    <t>ZymoBIOMICS™ MagBead DNA/RNA</t>
  </si>
  <si>
    <t>R2135</t>
  </si>
  <si>
    <t>Zymo Research</t>
  </si>
  <si>
    <t>ZymoBIOMICS™ Microbial Community Standard</t>
  </si>
  <si>
    <t>D6300</t>
  </si>
  <si>
    <t>RNA Clean &amp; Concentrator MagBead (supplied with DNase I Set)</t>
  </si>
  <si>
    <t xml:space="preserve">R1082 </t>
  </si>
  <si>
    <t>Kit de deteccion de anticuerpos SARS-CoV-2</t>
  </si>
  <si>
    <t>Kit de detección de antigeno SARS-CoV-2</t>
  </si>
  <si>
    <t>Abbott</t>
  </si>
  <si>
    <t>NEBNext® Ultra™ II End Repair/dA-Tailing Module</t>
  </si>
  <si>
    <t>E7546L</t>
  </si>
  <si>
    <t>M0367S</t>
  </si>
  <si>
    <t>NEB Blunt/TA Ligase Master Mix</t>
  </si>
  <si>
    <t>NEBNext® Quick Ligation Reaction Buffer</t>
  </si>
  <si>
    <t>B6058S</t>
  </si>
  <si>
    <t>T4 DNA Ligase</t>
  </si>
  <si>
    <t>M0202S</t>
  </si>
  <si>
    <t>Genproducts, Isla, ARCanalisis, Abbott</t>
  </si>
  <si>
    <t>$220.00 USD</t>
  </si>
  <si>
    <t>$415.00 USD</t>
  </si>
  <si>
    <t>Integrated DNA Technologies</t>
  </si>
  <si>
    <t>nCOV_N1 Probe Aliquot, 50 nmol (FAM-ACC CCG CAT TAC GTT TGG TGG ACC-BHQ1)</t>
  </si>
  <si>
    <t>nCOV_N1 Forward Primer Aliquot, 100 nmol (GAC CCC AAA ATC AGC GAA AT)</t>
  </si>
  <si>
    <t>nCOV_N1 Reverse Primer Aliquot, 100 nmol (TCT GGT TAC TGC CAG TTG AAT CTG)</t>
  </si>
  <si>
    <t>RNase P Forward Primer Aliquot, 100 nmol (AGA TTT GGA CCT GCG AGC G)</t>
  </si>
  <si>
    <t>RNase P Reverse Primer Aliquot, 100 nmol (GAG CGG CTG TCT CCA CAA GT)</t>
  </si>
  <si>
    <t>RNase P Probe Aliquot, 50 nmol (Cy5-GAG CGG CTG TCT CCA CAA GT-IBRQ)</t>
  </si>
  <si>
    <t>No hay que cotizar</t>
  </si>
  <si>
    <t>Código cardio</t>
  </si>
  <si>
    <t>kit de extraccion de ácidos nucléicos SARS-CoV-2</t>
  </si>
  <si>
    <t>401298, 401351</t>
  </si>
  <si>
    <t>Varios</t>
  </si>
  <si>
    <t>402102, 401352</t>
  </si>
  <si>
    <t>Lab Clínico</t>
  </si>
  <si>
    <t>OligoNucleotidos:</t>
  </si>
  <si>
    <t xml:space="preserve">RdRP_SARSr-F2 (GTGARATGGTCATGTGTGGCGG) </t>
  </si>
  <si>
    <t xml:space="preserve">RdRP_SARSr-R1 (CARATGTTAAASACACTATTAGCATA) </t>
  </si>
  <si>
    <t xml:space="preserve">RdRP_SARSr-P2 (FAM-CAGGTGGAACCTCATCAGGAGATGC-BBQ) </t>
  </si>
  <si>
    <t xml:space="preserve">E_Sarbeco_F1 (ACAGGTACGTTAATAGTTAATAGCGT) </t>
  </si>
  <si>
    <t xml:space="preserve">E_Sarbeco_R2 (ATATTGCAGCAGTACGCACACA) </t>
  </si>
  <si>
    <t>E_Sarbeco_P1 (FAM-ACACTAGCCATCCTTACTGCGCTTCG-BBQ)</t>
  </si>
  <si>
    <t xml:space="preserve">RdRP_SARSr-P1 (FAM-CCAGGTGGWACRTCATCMGGTGATGC-BBQ) </t>
  </si>
  <si>
    <t>Anfotericina B para cultivo celular</t>
  </si>
  <si>
    <t>Gentamicina sulfato para cultivo celular</t>
  </si>
  <si>
    <t>Suero Fetal Bovino para cultivo celular</t>
  </si>
  <si>
    <t>4320-4500 REACCIONES</t>
  </si>
  <si>
    <t>Puntas de 0.5 - 10uL con filtro</t>
  </si>
  <si>
    <t>Puntas de 10-100ul con filtro</t>
  </si>
  <si>
    <t>Puntas de 100-1000uL con filtro</t>
  </si>
  <si>
    <t>11520 PUNTAS</t>
  </si>
  <si>
    <t>Uniforme de bioseguridad (gafas, caretas, traje, tapaboca, gorro, polainas)</t>
  </si>
  <si>
    <t>15 gafas, 15 caretas, 240 trajes, 480 tapabocas, 480 gorros, 480 pares de polainas</t>
  </si>
  <si>
    <t>20000 tubos</t>
  </si>
  <si>
    <t>12000 pares de guantes</t>
  </si>
  <si>
    <t>1200 pares de guantes</t>
  </si>
  <si>
    <t>9 litros</t>
  </si>
  <si>
    <t>500 ml</t>
  </si>
  <si>
    <t>20 ml (50mg/mL)</t>
  </si>
  <si>
    <t>20 ml (250µg/mL)</t>
  </si>
  <si>
    <t>5000 reacciones</t>
  </si>
  <si>
    <t>12 ml (6 kits)</t>
  </si>
  <si>
    <t>1 kit</t>
  </si>
  <si>
    <t>60 ml</t>
  </si>
  <si>
    <t>150 tubos</t>
  </si>
  <si>
    <t>1000 reacciones</t>
  </si>
  <si>
    <t>48 reacciones</t>
  </si>
  <si>
    <t>5000 unidades</t>
  </si>
  <si>
    <t>500 reacciones</t>
  </si>
  <si>
    <t>50 reacciones</t>
  </si>
  <si>
    <t>480 muestras</t>
  </si>
  <si>
    <t>2 kits</t>
  </si>
  <si>
    <t>500 mg</t>
  </si>
  <si>
    <t>480 reacciones</t>
  </si>
  <si>
    <t>4500 kits</t>
  </si>
  <si>
    <t>72 reacciones</t>
  </si>
  <si>
    <t>100 reacciones</t>
  </si>
  <si>
    <t>4 ml</t>
  </si>
  <si>
    <t>40.000 unidades (40.000 unidades/ml)</t>
  </si>
  <si>
    <t>100 nmol</t>
  </si>
  <si>
    <t>50 nmol</t>
  </si>
  <si>
    <t>Insumo</t>
  </si>
  <si>
    <t>Proveedor</t>
  </si>
  <si>
    <t>Fabricante</t>
  </si>
  <si>
    <t>Cantidad (12 meses)</t>
  </si>
  <si>
    <t>1880-2000 placas</t>
  </si>
  <si>
    <t>ITEM</t>
  </si>
  <si>
    <t>INSUMO</t>
  </si>
  <si>
    <t>PROVEEDOR ARC ANALIS</t>
  </si>
  <si>
    <t xml:space="preserve">PRESENTACION </t>
  </si>
  <si>
    <t>VALOR MAS IVA</t>
  </si>
  <si>
    <t xml:space="preserve">VALOR POR FRACCION </t>
  </si>
  <si>
    <t>Kit x 2000 reacciones</t>
  </si>
  <si>
    <t xml:space="preserve">CANTIDAD ESTIMADA 12 MESES </t>
  </si>
  <si>
    <t xml:space="preserve">VALOR ESTIMADO 12 MESES </t>
  </si>
  <si>
    <t xml:space="preserve">Kit x 50 </t>
  </si>
  <si>
    <t>Caja x 100 films</t>
  </si>
  <si>
    <t>Caja x 500 placas</t>
  </si>
  <si>
    <t>Caja x 960 puntas</t>
  </si>
  <si>
    <t>Kit x 1000 reacciones</t>
  </si>
  <si>
    <t>Frasco x 500 mL</t>
  </si>
  <si>
    <t>Frasco x 20 mL</t>
  </si>
  <si>
    <t>Frasco x 10 mL</t>
  </si>
  <si>
    <t>Paquete x 5 und</t>
  </si>
  <si>
    <t>Set 5 x 1,25 mL</t>
  </si>
  <si>
    <t>Kit x 200 reacciones</t>
  </si>
  <si>
    <t>Kit x 50 reacciones</t>
  </si>
  <si>
    <t>Frasco x 5 g</t>
  </si>
  <si>
    <t>Kit x 500 reacciones</t>
  </si>
  <si>
    <t>Caja x 125 strips, cada strips x 8 tubos</t>
  </si>
  <si>
    <t>Kit x 100 reacciones</t>
  </si>
  <si>
    <t>200 NM</t>
  </si>
  <si>
    <t>50,000 pmol</t>
  </si>
  <si>
    <t xml:space="preserve">PROVEEDOR GENPRODUCTS </t>
  </si>
  <si>
    <t>Kit 4 x 96 Preps</t>
  </si>
  <si>
    <t>Kit 1.000 rxns</t>
  </si>
  <si>
    <t>100 sht/cs</t>
  </si>
  <si>
    <t>Caja x 10 placas</t>
  </si>
  <si>
    <t>Caja x 10 racks x 96 puntas</t>
  </si>
  <si>
    <t xml:space="preserve">Kit 2000 Reacciones </t>
  </si>
  <si>
    <t>Bolsa X 500 und</t>
  </si>
  <si>
    <t>Frasco 500 ml</t>
  </si>
  <si>
    <t>250ug/ml,100ml</t>
  </si>
  <si>
    <t>5g</t>
  </si>
  <si>
    <t>Caja con 81 divisores</t>
  </si>
  <si>
    <t>20 mg</t>
  </si>
  <si>
    <t>Frasco 50 ml</t>
  </si>
  <si>
    <t>30 mg</t>
  </si>
  <si>
    <t>Kit 1 x 96 Preps</t>
  </si>
  <si>
    <t xml:space="preserve">Kit 200 Reacciones </t>
  </si>
  <si>
    <t xml:space="preserve">Kit 25 Reacciones </t>
  </si>
  <si>
    <t xml:space="preserve"> 1 x 96 Preps</t>
  </si>
  <si>
    <t>10 Preparaciones</t>
  </si>
  <si>
    <t>96 preps</t>
  </si>
  <si>
    <t xml:space="preserve">Oligonucleótido a 0,2 umol. </t>
  </si>
  <si>
    <t xml:space="preserve">Oligonucleótido a 1.0 umol. </t>
  </si>
  <si>
    <t>Oligonucleótido a 1.0 umol</t>
  </si>
  <si>
    <t>Sonda a 1.0 umol.</t>
  </si>
  <si>
    <t>OXFORD NANOPORE</t>
  </si>
  <si>
    <t>OPENTRONS</t>
  </si>
  <si>
    <t xml:space="preserve">BIODAN </t>
  </si>
  <si>
    <t>10 RACKS*96 PUNTAS</t>
  </si>
  <si>
    <t>500 UNIDADES</t>
  </si>
  <si>
    <t>500ML</t>
  </si>
  <si>
    <t xml:space="preserve">UNIDAD </t>
  </si>
  <si>
    <t>BIOPLAST</t>
  </si>
  <si>
    <t>PAQUETE X 500</t>
  </si>
  <si>
    <t xml:space="preserve">BPL MEDICAL </t>
  </si>
  <si>
    <t>Kit por 100 reacciones</t>
  </si>
  <si>
    <t xml:space="preserve">Bolsa x 500 unidades </t>
  </si>
  <si>
    <t>Kit X 25 cassets</t>
  </si>
  <si>
    <t xml:space="preserve">RACK X 960 UNIDADES </t>
  </si>
  <si>
    <t xml:space="preserve">ELEMENTOS QUIMICOS </t>
  </si>
  <si>
    <t>CAJA X 96</t>
  </si>
  <si>
    <t>CAJA X 500</t>
  </si>
  <si>
    <t>LABCARE</t>
  </si>
  <si>
    <t>CAJA X 100</t>
  </si>
  <si>
    <t xml:space="preserve">CAJA X 100 REACCIONES </t>
  </si>
  <si>
    <t xml:space="preserve">CAJAX 96 REACCIONES </t>
  </si>
  <si>
    <t>CAJA X 960</t>
  </si>
  <si>
    <t>CAJA X 576</t>
  </si>
  <si>
    <t>BOLSA X 500</t>
  </si>
  <si>
    <t xml:space="preserve">CAJA X 8 </t>
  </si>
  <si>
    <t>10 VIALES X1,5ML</t>
  </si>
  <si>
    <t xml:space="preserve">ROCHE </t>
  </si>
  <si>
    <t xml:space="preserve">100 EXTRACCIONES </t>
  </si>
  <si>
    <t xml:space="preserve">96 PRUEBAS </t>
  </si>
  <si>
    <t xml:space="preserve">50 PLACAS 96 POZOS </t>
  </si>
  <si>
    <t xml:space="preserve">100 REACCIONES </t>
  </si>
  <si>
    <t xml:space="preserve">1000 REACCIONES </t>
  </si>
  <si>
    <t>ABBOTT</t>
  </si>
  <si>
    <t>CAJA X20</t>
  </si>
  <si>
    <t>UNIDAD</t>
  </si>
  <si>
    <t>KIT X 25</t>
  </si>
  <si>
    <t>GENTECH</t>
  </si>
  <si>
    <t xml:space="preserve">60 REACCIONES </t>
  </si>
  <si>
    <t xml:space="preserve">250 REACCIONES </t>
  </si>
  <si>
    <t xml:space="preserve">100 UNIDADES </t>
  </si>
  <si>
    <t xml:space="preserve">50 UNIDADES </t>
  </si>
  <si>
    <t>960 PUNTAS</t>
  </si>
  <si>
    <t xml:space="preserve">100 PUNTAS </t>
  </si>
  <si>
    <t xml:space="preserve">200 REACCIONES </t>
  </si>
  <si>
    <t>10ML A 5MG</t>
  </si>
  <si>
    <t>10ML A 50MG</t>
  </si>
  <si>
    <t xml:space="preserve">CAJA X 5 UNIDADES </t>
  </si>
  <si>
    <t xml:space="preserve">200 RACCIONES </t>
  </si>
  <si>
    <t>2ML</t>
  </si>
  <si>
    <t>1 LIBRA</t>
  </si>
  <si>
    <t>1KU</t>
  </si>
  <si>
    <t xml:space="preserve">48 REACCIONES </t>
  </si>
  <si>
    <t>1GR</t>
  </si>
  <si>
    <t xml:space="preserve">50 REACCIONES </t>
  </si>
  <si>
    <t xml:space="preserve">200UL </t>
  </si>
  <si>
    <t>50NMOL</t>
  </si>
  <si>
    <t>50 NMOL</t>
  </si>
  <si>
    <t xml:space="preserve">ISLA SAS </t>
  </si>
  <si>
    <t xml:space="preserve">96 REACCIONES </t>
  </si>
  <si>
    <t xml:space="preserve">10 UNIDADES </t>
  </si>
  <si>
    <t xml:space="preserve">96 UNIDADES </t>
  </si>
  <si>
    <t xml:space="preserve">1000 UNIDADES </t>
  </si>
  <si>
    <t>2500 RXNS</t>
  </si>
  <si>
    <t xml:space="preserve">500ML </t>
  </si>
  <si>
    <t>1G</t>
  </si>
  <si>
    <t>2500RXNS</t>
  </si>
  <si>
    <t>500 RXNS</t>
  </si>
  <si>
    <t xml:space="preserve">24 RXNS </t>
  </si>
  <si>
    <t xml:space="preserve">5000 UNIDADES </t>
  </si>
  <si>
    <t xml:space="preserve">5G </t>
  </si>
  <si>
    <t>150 RXNS</t>
  </si>
  <si>
    <t xml:space="preserve">30 RXNS </t>
  </si>
  <si>
    <t xml:space="preserve">20 UNIDADES </t>
  </si>
  <si>
    <t>96 RXNS</t>
  </si>
  <si>
    <t>50RXNS</t>
  </si>
  <si>
    <t>2,0ML</t>
  </si>
  <si>
    <t xml:space="preserve">20000 UNIDADES </t>
  </si>
  <si>
    <t>100NMOL</t>
  </si>
  <si>
    <t>100 NMOL</t>
  </si>
  <si>
    <t xml:space="preserve">POLAINAS </t>
  </si>
  <si>
    <t>GUARDIAN</t>
  </si>
  <si>
    <t>MONOGAFAS DE PROTECCION</t>
  </si>
  <si>
    <t>CARETA DE PROTECCION</t>
  </si>
  <si>
    <t>OVEROL TYVEK</t>
  </si>
  <si>
    <t>TAPABOCAS DESECHABLE CON ELASTICO</t>
  </si>
  <si>
    <t>GORRO DESECHABLE PARA ENFERMERA</t>
  </si>
  <si>
    <t xml:space="preserve">DESECHABLES MEDICOS </t>
  </si>
  <si>
    <t>GUANTES DE NITRILO</t>
  </si>
  <si>
    <t>GUANTE DE EXAMEN MEDIANO (CJ x 100) (SIN TALCO)</t>
  </si>
  <si>
    <t xml:space="preserve">BECTON DIKINSON </t>
  </si>
  <si>
    <t>60ML</t>
  </si>
  <si>
    <t>FORMATO CUADRO COMPARATIVO</t>
  </si>
  <si>
    <t>SUBPROCESO DE ADQUISICIÒN DE BIENES Y SUMINISTROS</t>
  </si>
  <si>
    <t>CUADRO COMPARATIVO No. 2020</t>
  </si>
  <si>
    <t xml:space="preserve"> </t>
  </si>
  <si>
    <t>P+D11:D36ROVEEDOR E11:E33</t>
  </si>
  <si>
    <t>1. ANALISIS COMPARATIVO OFERTA DE PROVEEDORES</t>
  </si>
  <si>
    <t>Item</t>
  </si>
  <si>
    <t>COD FCI</t>
  </si>
  <si>
    <t>SERVICIO</t>
  </si>
  <si>
    <t>CANTIDAD ESTIMADA ANUAL S/FORECAST MAYO</t>
  </si>
  <si>
    <t>PROVEEDOR A</t>
  </si>
  <si>
    <t xml:space="preserve">PROVEEDOR </t>
  </si>
  <si>
    <t>PROVEEDOR B</t>
  </si>
  <si>
    <t>% VAR</t>
  </si>
  <si>
    <t>PROVEEDOR C</t>
  </si>
  <si>
    <t>DESCRIPCIÓN</t>
  </si>
  <si>
    <t>VR. UNIT.</t>
  </si>
  <si>
    <t>VR TOTAL</t>
  </si>
  <si>
    <t xml:space="preserve">BIOPLAST </t>
  </si>
  <si>
    <t xml:space="preserve">LABCARE </t>
  </si>
  <si>
    <t>TOTAL</t>
  </si>
  <si>
    <t>ELABORADO: JAMES HERNANDO RODRIGUEZ</t>
  </si>
  <si>
    <t xml:space="preserve">FECHA:  </t>
  </si>
  <si>
    <t>MARCA</t>
  </si>
  <si>
    <t>EVALUACION TECNICOCIENTIFICA</t>
  </si>
  <si>
    <t xml:space="preserve">UNIDAD DE MEDIDA </t>
  </si>
  <si>
    <t>RXN</t>
  </si>
  <si>
    <t>ZEESAN</t>
  </si>
  <si>
    <t>EVALUACION TECNICOCIENTIFICA (0-5)</t>
  </si>
  <si>
    <t xml:space="preserve">RXN </t>
  </si>
  <si>
    <t>ANNAR DIAGNOSTICA</t>
  </si>
  <si>
    <t>SEEGENE</t>
  </si>
  <si>
    <t xml:space="preserve">MTC BIO </t>
  </si>
  <si>
    <t>USA CIENTIFIC</t>
  </si>
  <si>
    <t xml:space="preserve">GENPRODUCTS </t>
  </si>
  <si>
    <t>BIOPOINTE</t>
  </si>
  <si>
    <t xml:space="preserve">ZYMO RESEARCH </t>
  </si>
  <si>
    <t>GENPRODUCTS</t>
  </si>
  <si>
    <t xml:space="preserve">ARC ANALISIS </t>
  </si>
  <si>
    <t>APPLIED BIO SYSTEMS</t>
  </si>
  <si>
    <t>CO-DIAGNOSTICS</t>
  </si>
  <si>
    <t>GOLDEN GATE</t>
  </si>
  <si>
    <t xml:space="preserve">BPL MEDICAS </t>
  </si>
  <si>
    <t>GEN FOLLOWER</t>
  </si>
  <si>
    <t>SORENSON</t>
  </si>
  <si>
    <t>NEST</t>
  </si>
  <si>
    <t>NEB</t>
  </si>
  <si>
    <t xml:space="preserve">INVITROGEN </t>
  </si>
  <si>
    <t>QANTA</t>
  </si>
  <si>
    <t>BIOLIFE</t>
  </si>
  <si>
    <t>ML</t>
  </si>
  <si>
    <t>GENPRODUTS</t>
  </si>
  <si>
    <t xml:space="preserve">LONZA </t>
  </si>
  <si>
    <t>GIBCO</t>
  </si>
  <si>
    <t>BIOWEST</t>
  </si>
  <si>
    <t>ARC ANALIS</t>
  </si>
  <si>
    <t>BIO-BASIC</t>
  </si>
  <si>
    <t>LONZA</t>
  </si>
  <si>
    <t>BIOLOGICS</t>
  </si>
  <si>
    <t xml:space="preserve">NEB </t>
  </si>
  <si>
    <t xml:space="preserve">AMBION </t>
  </si>
  <si>
    <t>BECKMANCOUTER</t>
  </si>
  <si>
    <t>ENEB</t>
  </si>
  <si>
    <t xml:space="preserve">BIOBASEC </t>
  </si>
  <si>
    <t>QIAGEN</t>
  </si>
  <si>
    <t xml:space="preserve">UNIDADES </t>
  </si>
  <si>
    <t>ACCUPLEX</t>
  </si>
  <si>
    <t>MG</t>
  </si>
  <si>
    <t>BIO BASIC</t>
  </si>
  <si>
    <t xml:space="preserve">GOLD BIO </t>
  </si>
  <si>
    <t>PIERCE</t>
  </si>
  <si>
    <t>ZYMO RESEARCH</t>
  </si>
  <si>
    <t xml:space="preserve">ALERE </t>
  </si>
  <si>
    <t>ABCAM</t>
  </si>
  <si>
    <t xml:space="preserve">BIO BASIC </t>
  </si>
  <si>
    <t>NMOL</t>
  </si>
  <si>
    <t xml:space="preserve">IDT </t>
  </si>
  <si>
    <t>Kit de RT-Qpcr</t>
  </si>
  <si>
    <t>PCR Barcoding Kit</t>
  </si>
  <si>
    <t>Qubit™ Assay Tubes</t>
  </si>
  <si>
    <t>Kit de extracción de ADN magnético de alto peso molecular</t>
  </si>
  <si>
    <t>bases</t>
  </si>
  <si>
    <t>ATCC</t>
  </si>
  <si>
    <t>UN</t>
  </si>
  <si>
    <t>IDT</t>
  </si>
  <si>
    <t>BENCHMARK</t>
  </si>
  <si>
    <t xml:space="preserve">ANNAR </t>
  </si>
  <si>
    <t>INVERSIONES RKF</t>
  </si>
  <si>
    <t>UVEX</t>
  </si>
  <si>
    <t>REDLINE</t>
  </si>
  <si>
    <t>TYVEK</t>
  </si>
  <si>
    <t xml:space="preserve">BIOPLAS </t>
  </si>
  <si>
    <t>CAJA X 50</t>
  </si>
  <si>
    <t>PAQUETE X 100</t>
  </si>
  <si>
    <t>PAQUIETE X 100</t>
  </si>
  <si>
    <t xml:space="preserve">ALFA TRADING </t>
  </si>
  <si>
    <t xml:space="preserve">ALFA SAFE </t>
  </si>
  <si>
    <t xml:space="preserve">CIREC </t>
  </si>
  <si>
    <t xml:space="preserve">WASTON </t>
  </si>
  <si>
    <t xml:space="preserve">PULIDO PINEDA GLORIA </t>
  </si>
  <si>
    <t>PAQUETE X 101</t>
  </si>
  <si>
    <t xml:space="preserve">NIPRO MEDICAL </t>
  </si>
  <si>
    <t xml:space="preserve">IMCOLMEDICA </t>
  </si>
  <si>
    <t xml:space="preserve">INIDAD </t>
  </si>
  <si>
    <t xml:space="preserve">GEMAPLAS </t>
  </si>
  <si>
    <t>AAB</t>
  </si>
  <si>
    <t xml:space="preserve">PAQUETE X 100 </t>
  </si>
  <si>
    <t xml:space="preserve">RUIZ PEDRO DAVID </t>
  </si>
  <si>
    <t>ALFA SAFE</t>
  </si>
  <si>
    <t>CAJA X 101</t>
  </si>
  <si>
    <t>New Stetic S.A</t>
  </si>
  <si>
    <t>OTAI</t>
  </si>
  <si>
    <t>ESFERA</t>
  </si>
  <si>
    <t>TECNOLOGIA MEDICA</t>
  </si>
  <si>
    <t>COVERALL</t>
  </si>
  <si>
    <t>HONEYWELL</t>
  </si>
  <si>
    <t>ANSEL</t>
  </si>
  <si>
    <t xml:space="preserve">OKEIGROUP </t>
  </si>
  <si>
    <t xml:space="preserve">G BARCO </t>
  </si>
  <si>
    <t>GBARCO</t>
  </si>
  <si>
    <t>CRITERIO EVALUACIÓN</t>
  </si>
  <si>
    <t>Se requiere un método validado con una pareja kit extracción-kit PCR. Para usar como método de referencia en validación de método. Cumple = 5</t>
  </si>
  <si>
    <t>Consumible genérico. Se verifica compatibilidad con equipos en la institución. Cumple = 5</t>
  </si>
  <si>
    <t>Debe tener reportes en la literatura usado con primers y sondas de protocolos de Berlin, CDC y SalivaDirect. Cumple = 5</t>
  </si>
  <si>
    <t>Se verifica compatibilidad con protocolos de secuenciación por nanoporos. Cumple = 5</t>
  </si>
  <si>
    <t>Unico Proveedor</t>
  </si>
  <si>
    <t>Reactivo genérico.</t>
  </si>
  <si>
    <t>Se verifica factor de empaque.</t>
  </si>
  <si>
    <t>Método validado en la institución. Cumple = 5</t>
  </si>
  <si>
    <t>Unico Proveedor.</t>
  </si>
  <si>
    <t>Se verifica kit validado de EPPs para la institución.</t>
  </si>
  <si>
    <t>Se requiere un método automatizado compatible con los equipos de extracción presentes en la institución y validado con una pareja kit extracción-kit PCR en la institución. Para usar como método de referencia en validación de método.  Cumple = 5</t>
  </si>
  <si>
    <t>Se verifican reportes en la literatura usado con primers y sondas de SalivaDirect y secuenciación por nanoporos. Cumple = 5</t>
  </si>
  <si>
    <t>Annar</t>
  </si>
  <si>
    <t>P-KJ0019-20</t>
  </si>
  <si>
    <t>Cotizacion</t>
  </si>
  <si>
    <t>2019-nCoV</t>
  </si>
  <si>
    <t>ARC ANALISIS</t>
  </si>
  <si>
    <t>ISLA SAS</t>
  </si>
  <si>
    <t>A48383</t>
  </si>
  <si>
    <t>A47532</t>
  </si>
  <si>
    <t>P1001-QPS</t>
  </si>
  <si>
    <t>NA</t>
  </si>
  <si>
    <t>AN-46058-01</t>
  </si>
  <si>
    <t>2921-7800</t>
  </si>
  <si>
    <t>1402-9200</t>
  </si>
  <si>
    <t>R2141</t>
  </si>
  <si>
    <t>R3011-1K</t>
  </si>
  <si>
    <t>SPCSFRT-LPO</t>
  </si>
  <si>
    <t>BPCP096-HS-SP</t>
  </si>
  <si>
    <t>P9602-N</t>
  </si>
  <si>
    <t>BS721</t>
  </si>
  <si>
    <t>BS724</t>
  </si>
  <si>
    <t>R1020*</t>
  </si>
  <si>
    <t>LDB0308</t>
  </si>
  <si>
    <t>90-9100</t>
  </si>
  <si>
    <t>AM2548</t>
  </si>
  <si>
    <t>A48570</t>
  </si>
  <si>
    <t>B1445</t>
  </si>
  <si>
    <t>BP-TR-361-4150</t>
  </si>
  <si>
    <t>95134-02K</t>
  </si>
  <si>
    <t>10-527F</t>
  </si>
  <si>
    <t>S181B</t>
  </si>
  <si>
    <t>17-836E</t>
  </si>
  <si>
    <t>D4085</t>
  </si>
  <si>
    <t>95161-025</t>
  </si>
  <si>
    <t>R1082</t>
  </si>
  <si>
    <t>E3006E</t>
  </si>
  <si>
    <t>P8107S</t>
  </si>
  <si>
    <t>E2612L</t>
  </si>
  <si>
    <t>E6310L</t>
  </si>
  <si>
    <t>BEN0601</t>
  </si>
  <si>
    <t>L-040-5</t>
  </si>
  <si>
    <t>E6300S</t>
  </si>
  <si>
    <t>E7442L</t>
  </si>
  <si>
    <t>ab272243/ab272244</t>
  </si>
  <si>
    <t>FTR1000-96R</t>
  </si>
  <si>
    <t>COT8779</t>
  </si>
  <si>
    <t>FTR100-‐96</t>
  </si>
  <si>
    <t>FTR10-96</t>
  </si>
  <si>
    <t>MCTB015</t>
  </si>
  <si>
    <t>CSR100</t>
  </si>
  <si>
    <t>A63880</t>
  </si>
  <si>
    <t>B-471/20</t>
  </si>
  <si>
    <t>S181B-500</t>
  </si>
  <si>
    <t>SC 0505-0126</t>
  </si>
  <si>
    <t>GB 150820</t>
  </si>
  <si>
    <t>ONT-287681</t>
  </si>
  <si>
    <t>SQK-RAB204</t>
  </si>
  <si>
    <t>FLO-MIN106D</t>
  </si>
  <si>
    <t>FLO-FLG001</t>
  </si>
  <si>
    <t>OT81381</t>
  </si>
  <si>
    <t>FCISUM543103</t>
  </si>
  <si>
    <t>FCISUMO19</t>
  </si>
  <si>
    <t>FCISUMO26</t>
  </si>
  <si>
    <t>FCISUMO25410109</t>
  </si>
  <si>
    <t>FCISUM558806</t>
  </si>
  <si>
    <t>FCISUMO25409708</t>
  </si>
  <si>
    <t>FCISUMO25630310</t>
  </si>
  <si>
    <t>FCISUMO25630411</t>
  </si>
  <si>
    <t>FCISUMO25630512</t>
  </si>
  <si>
    <t>FCISUMO25682413</t>
  </si>
  <si>
    <t>FCISUMO25699114</t>
  </si>
  <si>
    <t>FCISUM543103/FCISUMO18</t>
  </si>
  <si>
    <t>FCISUMO21</t>
  </si>
  <si>
    <t>FCIUR1</t>
  </si>
  <si>
    <t>FCISUMO27</t>
  </si>
  <si>
    <t>FCISUMO22</t>
  </si>
  <si>
    <t>FCISUMO28</t>
  </si>
  <si>
    <t>FCISUMO30</t>
  </si>
  <si>
    <t>FCISUMO29</t>
  </si>
  <si>
    <t>Fuente de información</t>
  </si>
  <si>
    <t>Proceso SECOP</t>
  </si>
  <si>
    <t>FCISUMO23</t>
  </si>
  <si>
    <t>GATS028</t>
  </si>
  <si>
    <t>GATS030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</si>
</sst>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#,##0.00"/>
    <numFmt numFmtId="168" formatCode="_-&quot;$&quot;\ * #,##0.0_-;\-&quot;$&quot;\ * #,##0.0_-;_-&quot;$&quot;\ * &quot;-&quot;_-;_-@_-"/>
    <numFmt numFmtId="169" formatCode="&quot;$&quot;\ #,##0;[Red]&quot;$&quot;\ #,##0"/>
    <numFmt numFmtId="170" formatCode="dd/mm/yyyy;@"/>
    <numFmt numFmtId="171" formatCode="0.0"/>
    <numFmt numFmtId="172" formatCode="0.0%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10" fillId="0" borderId="0" applyNumberFormat="0" applyFill="0" applyBorder="0" applyAlignment="0" applyProtection="0"/>
    <xf numFmtId="0" fontId="14" fillId="0" borderId="0"/>
  </cellStyleXfs>
  <cellXfs count="18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wrapText="1"/>
    </xf>
    <xf numFmtId="167" fontId="0" fillId="5" borderId="0" xfId="0" applyNumberFormat="1" applyFill="1"/>
    <xf numFmtId="0" fontId="0" fillId="5" borderId="0" xfId="0" applyFill="1"/>
    <xf numFmtId="167" fontId="0" fillId="6" borderId="0" xfId="0" applyNumberFormat="1" applyFill="1"/>
    <xf numFmtId="166" fontId="0" fillId="6" borderId="0" xfId="1" applyFont="1" applyFill="1"/>
    <xf numFmtId="0" fontId="0" fillId="6" borderId="0" xfId="0" applyFill="1"/>
    <xf numFmtId="0" fontId="0" fillId="6" borderId="1" xfId="0" applyFill="1" applyBorder="1" applyAlignment="1">
      <alignment wrapText="1"/>
    </xf>
    <xf numFmtId="167" fontId="0" fillId="6" borderId="1" xfId="0" applyNumberFormat="1" applyFill="1" applyBorder="1" applyAlignment="1">
      <alignment horizontal="center" wrapText="1"/>
    </xf>
    <xf numFmtId="166" fontId="0" fillId="6" borderId="1" xfId="1" applyFont="1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8" borderId="1" xfId="0" applyFill="1" applyBorder="1" applyAlignment="1">
      <alignment wrapText="1"/>
    </xf>
    <xf numFmtId="167" fontId="0" fillId="8" borderId="1" xfId="0" applyNumberFormat="1" applyFill="1" applyBorder="1" applyAlignment="1">
      <alignment horizontal="center" wrapText="1"/>
    </xf>
    <xf numFmtId="0" fontId="0" fillId="8" borderId="0" xfId="0" applyFill="1"/>
    <xf numFmtId="167" fontId="0" fillId="8" borderId="1" xfId="1" applyNumberFormat="1" applyFont="1" applyFill="1" applyBorder="1" applyAlignment="1">
      <alignment horizontal="center" wrapText="1"/>
    </xf>
    <xf numFmtId="167" fontId="0" fillId="8" borderId="0" xfId="0" applyNumberFormat="1" applyFill="1"/>
    <xf numFmtId="0" fontId="0" fillId="9" borderId="1" xfId="0" applyFill="1" applyBorder="1" applyAlignment="1">
      <alignment wrapText="1"/>
    </xf>
    <xf numFmtId="167" fontId="0" fillId="9" borderId="1" xfId="0" applyNumberFormat="1" applyFill="1" applyBorder="1" applyAlignment="1">
      <alignment horizontal="center" wrapText="1"/>
    </xf>
    <xf numFmtId="167" fontId="0" fillId="9" borderId="1" xfId="1" applyNumberFormat="1" applyFont="1" applyFill="1" applyBorder="1" applyAlignment="1">
      <alignment horizontal="center" wrapText="1"/>
    </xf>
    <xf numFmtId="0" fontId="0" fillId="9" borderId="0" xfId="0" applyFill="1"/>
    <xf numFmtId="167" fontId="0" fillId="9" borderId="0" xfId="0" applyNumberFormat="1" applyFill="1"/>
    <xf numFmtId="0" fontId="0" fillId="10" borderId="1" xfId="0" applyFill="1" applyBorder="1" applyAlignment="1">
      <alignment wrapText="1"/>
    </xf>
    <xf numFmtId="167" fontId="0" fillId="10" borderId="1" xfId="0" applyNumberFormat="1" applyFill="1" applyBorder="1" applyAlignment="1">
      <alignment horizontal="center" wrapText="1"/>
    </xf>
    <xf numFmtId="167" fontId="0" fillId="10" borderId="1" xfId="1" applyNumberFormat="1" applyFont="1" applyFill="1" applyBorder="1" applyAlignment="1">
      <alignment horizontal="center" wrapText="1"/>
    </xf>
    <xf numFmtId="0" fontId="0" fillId="10" borderId="0" xfId="0" applyFill="1"/>
    <xf numFmtId="167" fontId="0" fillId="10" borderId="0" xfId="0" applyNumberFormat="1" applyFill="1"/>
    <xf numFmtId="0" fontId="0" fillId="11" borderId="1" xfId="0" applyFill="1" applyBorder="1" applyAlignment="1">
      <alignment wrapText="1"/>
    </xf>
    <xf numFmtId="167" fontId="0" fillId="11" borderId="1" xfId="0" applyNumberFormat="1" applyFill="1" applyBorder="1" applyAlignment="1">
      <alignment horizontal="center" wrapText="1"/>
    </xf>
    <xf numFmtId="167" fontId="0" fillId="11" borderId="1" xfId="1" applyNumberFormat="1" applyFont="1" applyFill="1" applyBorder="1" applyAlignment="1">
      <alignment horizontal="center" wrapText="1"/>
    </xf>
    <xf numFmtId="0" fontId="0" fillId="11" borderId="0" xfId="0" applyFill="1"/>
    <xf numFmtId="167" fontId="0" fillId="11" borderId="0" xfId="0" applyNumberFormat="1" applyFill="1"/>
    <xf numFmtId="0" fontId="0" fillId="5" borderId="1" xfId="0" applyFill="1" applyBorder="1" applyAlignment="1">
      <alignment wrapText="1"/>
    </xf>
    <xf numFmtId="167" fontId="0" fillId="5" borderId="1" xfId="0" applyNumberFormat="1" applyFill="1" applyBorder="1" applyAlignment="1">
      <alignment horizontal="center" wrapText="1"/>
    </xf>
    <xf numFmtId="167" fontId="0" fillId="5" borderId="1" xfId="1" applyNumberFormat="1" applyFont="1" applyFill="1" applyBorder="1" applyAlignment="1">
      <alignment horizontal="center" wrapText="1"/>
    </xf>
    <xf numFmtId="0" fontId="0" fillId="12" borderId="1" xfId="0" applyFill="1" applyBorder="1" applyAlignment="1">
      <alignment wrapText="1"/>
    </xf>
    <xf numFmtId="167" fontId="0" fillId="12" borderId="1" xfId="0" applyNumberFormat="1" applyFill="1" applyBorder="1" applyAlignment="1">
      <alignment horizontal="center" wrapText="1"/>
    </xf>
    <xf numFmtId="167" fontId="0" fillId="12" borderId="1" xfId="1" applyNumberFormat="1" applyFont="1" applyFill="1" applyBorder="1" applyAlignment="1">
      <alignment horizontal="center" wrapText="1"/>
    </xf>
    <xf numFmtId="0" fontId="0" fillId="12" borderId="0" xfId="0" applyFill="1"/>
    <xf numFmtId="167" fontId="0" fillId="12" borderId="0" xfId="0" applyNumberFormat="1" applyFill="1"/>
    <xf numFmtId="0" fontId="0" fillId="13" borderId="1" xfId="0" applyFill="1" applyBorder="1" applyAlignment="1">
      <alignment wrapText="1"/>
    </xf>
    <xf numFmtId="167" fontId="0" fillId="13" borderId="1" xfId="0" applyNumberFormat="1" applyFill="1" applyBorder="1" applyAlignment="1">
      <alignment horizontal="center" wrapText="1"/>
    </xf>
    <xf numFmtId="167" fontId="0" fillId="13" borderId="1" xfId="1" applyNumberFormat="1" applyFont="1" applyFill="1" applyBorder="1" applyAlignment="1">
      <alignment horizontal="center" wrapText="1"/>
    </xf>
    <xf numFmtId="0" fontId="0" fillId="13" borderId="0" xfId="0" applyFill="1"/>
    <xf numFmtId="0" fontId="0" fillId="14" borderId="1" xfId="0" applyFill="1" applyBorder="1" applyAlignment="1">
      <alignment wrapText="1"/>
    </xf>
    <xf numFmtId="167" fontId="0" fillId="14" borderId="1" xfId="0" applyNumberFormat="1" applyFill="1" applyBorder="1" applyAlignment="1">
      <alignment horizontal="center" wrapText="1"/>
    </xf>
    <xf numFmtId="167" fontId="0" fillId="14" borderId="1" xfId="1" applyNumberFormat="1" applyFont="1" applyFill="1" applyBorder="1" applyAlignment="1">
      <alignment horizontal="center" wrapText="1"/>
    </xf>
    <xf numFmtId="0" fontId="0" fillId="14" borderId="0" xfId="0" applyFill="1"/>
    <xf numFmtId="167" fontId="0" fillId="14" borderId="0" xfId="0" applyNumberFormat="1" applyFill="1"/>
    <xf numFmtId="0" fontId="0" fillId="15" borderId="1" xfId="0" applyFill="1" applyBorder="1" applyAlignment="1">
      <alignment wrapText="1"/>
    </xf>
    <xf numFmtId="167" fontId="0" fillId="15" borderId="1" xfId="0" applyNumberFormat="1" applyFill="1" applyBorder="1" applyAlignment="1">
      <alignment horizontal="center" wrapText="1"/>
    </xf>
    <xf numFmtId="167" fontId="0" fillId="15" borderId="1" xfId="1" applyNumberFormat="1" applyFont="1" applyFill="1" applyBorder="1" applyAlignment="1">
      <alignment horizontal="center" wrapText="1"/>
    </xf>
    <xf numFmtId="0" fontId="0" fillId="15" borderId="0" xfId="0" applyFill="1"/>
    <xf numFmtId="167" fontId="0" fillId="15" borderId="0" xfId="0" applyNumberFormat="1" applyFill="1"/>
    <xf numFmtId="167" fontId="0" fillId="13" borderId="0" xfId="0" applyNumberFormat="1" applyFill="1"/>
    <xf numFmtId="0" fontId="0" fillId="2" borderId="1" xfId="0" applyFill="1" applyBorder="1" applyAlignment="1">
      <alignment wrapText="1"/>
    </xf>
    <xf numFmtId="167" fontId="0" fillId="2" borderId="1" xfId="0" applyNumberFormat="1" applyFill="1" applyBorder="1" applyAlignment="1">
      <alignment horizontal="center" wrapText="1"/>
    </xf>
    <xf numFmtId="167" fontId="0" fillId="2" borderId="1" xfId="1" applyNumberFormat="1" applyFont="1" applyFill="1" applyBorder="1" applyAlignment="1">
      <alignment horizontal="center" wrapText="1"/>
    </xf>
    <xf numFmtId="0" fontId="0" fillId="2" borderId="0" xfId="0" applyFill="1"/>
    <xf numFmtId="167" fontId="0" fillId="2" borderId="0" xfId="0" applyNumberFormat="1" applyFill="1"/>
    <xf numFmtId="0" fontId="0" fillId="16" borderId="1" xfId="0" applyFill="1" applyBorder="1" applyAlignment="1">
      <alignment wrapText="1"/>
    </xf>
    <xf numFmtId="167" fontId="0" fillId="16" borderId="1" xfId="0" applyNumberFormat="1" applyFill="1" applyBorder="1" applyAlignment="1">
      <alignment horizontal="center" wrapText="1"/>
    </xf>
    <xf numFmtId="167" fontId="0" fillId="16" borderId="1" xfId="1" applyNumberFormat="1" applyFont="1" applyFill="1" applyBorder="1" applyAlignment="1">
      <alignment horizontal="center" wrapText="1"/>
    </xf>
    <xf numFmtId="0" fontId="0" fillId="16" borderId="0" xfId="0" applyFill="1"/>
    <xf numFmtId="167" fontId="0" fillId="16" borderId="0" xfId="0" applyNumberFormat="1" applyFill="1"/>
    <xf numFmtId="0" fontId="0" fillId="7" borderId="0" xfId="0" applyFill="1" applyAlignment="1">
      <alignment horizontal="left"/>
    </xf>
    <xf numFmtId="166" fontId="0" fillId="6" borderId="0" xfId="1" applyFont="1" applyFill="1" applyBorder="1"/>
    <xf numFmtId="166" fontId="0" fillId="6" borderId="0" xfId="0" applyNumberFormat="1" applyFill="1"/>
    <xf numFmtId="0" fontId="0" fillId="6" borderId="0" xfId="0" applyFill="1" applyAlignment="1">
      <alignment horizontal="left"/>
    </xf>
    <xf numFmtId="0" fontId="0" fillId="6" borderId="0" xfId="0" applyFill="1" applyAlignment="1">
      <alignment wrapText="1"/>
    </xf>
    <xf numFmtId="167" fontId="0" fillId="4" borderId="0" xfId="0" applyNumberFormat="1" applyFill="1"/>
    <xf numFmtId="166" fontId="0" fillId="4" borderId="0" xfId="1" applyFont="1" applyFill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4" applyFont="1" applyAlignment="1">
      <alignment horizontal="center"/>
    </xf>
    <xf numFmtId="0" fontId="9" fillId="0" borderId="0" xfId="0" applyFont="1"/>
    <xf numFmtId="0" fontId="6" fillId="0" borderId="0" xfId="4" applyFont="1" applyAlignment="1">
      <alignment horizontal="left"/>
    </xf>
    <xf numFmtId="0" fontId="8" fillId="0" borderId="0" xfId="4" applyFont="1"/>
    <xf numFmtId="0" fontId="6" fillId="4" borderId="0" xfId="4" applyFont="1" applyFill="1" applyAlignment="1">
      <alignment vertical="center" wrapText="1"/>
    </xf>
    <xf numFmtId="0" fontId="6" fillId="4" borderId="0" xfId="4" applyFont="1" applyFill="1" applyAlignment="1">
      <alignment horizontal="center" vertical="center" wrapText="1"/>
    </xf>
    <xf numFmtId="0" fontId="6" fillId="0" borderId="0" xfId="4" applyFont="1"/>
    <xf numFmtId="0" fontId="11" fillId="18" borderId="1" xfId="5" applyFont="1" applyFill="1" applyBorder="1" applyAlignment="1">
      <alignment horizontal="center" vertical="center" wrapText="1"/>
    </xf>
    <xf numFmtId="0" fontId="9" fillId="18" borderId="1" xfId="4" applyFont="1" applyFill="1" applyBorder="1" applyAlignment="1">
      <alignment horizontal="center" vertical="center" wrapText="1"/>
    </xf>
    <xf numFmtId="0" fontId="12" fillId="4" borderId="1" xfId="4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/>
    </xf>
    <xf numFmtId="0" fontId="13" fillId="0" borderId="1" xfId="0" applyFont="1" applyBorder="1"/>
    <xf numFmtId="1" fontId="13" fillId="0" borderId="1" xfId="0" applyNumberFormat="1" applyFont="1" applyBorder="1" applyAlignment="1">
      <alignment horizontal="center" vertical="center"/>
    </xf>
    <xf numFmtId="168" fontId="13" fillId="4" borderId="1" xfId="0" applyNumberFormat="1" applyFont="1" applyFill="1" applyBorder="1" applyAlignment="1">
      <alignment horizontal="left"/>
    </xf>
    <xf numFmtId="165" fontId="4" fillId="4" borderId="1" xfId="2" applyFont="1" applyFill="1" applyBorder="1" applyAlignment="1">
      <alignment horizontal="center" vertical="center" wrapText="1"/>
    </xf>
    <xf numFmtId="165" fontId="4" fillId="4" borderId="1" xfId="2" applyFont="1" applyFill="1" applyBorder="1" applyAlignment="1">
      <alignment horizontal="right" vertical="center" wrapText="1"/>
    </xf>
    <xf numFmtId="165" fontId="4" fillId="4" borderId="1" xfId="2" applyFont="1" applyFill="1" applyBorder="1" applyAlignment="1">
      <alignment horizontal="center" vertical="center"/>
    </xf>
    <xf numFmtId="9" fontId="8" fillId="4" borderId="1" xfId="3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left"/>
    </xf>
    <xf numFmtId="0" fontId="14" fillId="4" borderId="1" xfId="6" applyFill="1" applyBorder="1" applyAlignment="1">
      <alignment horizontal="right"/>
    </xf>
    <xf numFmtId="165" fontId="4" fillId="0" borderId="1" xfId="2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9" fillId="18" borderId="1" xfId="4" applyFont="1" applyFill="1" applyBorder="1" applyAlignment="1">
      <alignment horizontal="center" vertical="center"/>
    </xf>
    <xf numFmtId="169" fontId="9" fillId="18" borderId="1" xfId="4" applyNumberFormat="1" applyFont="1" applyFill="1" applyBorder="1" applyAlignment="1">
      <alignment horizontal="center" vertical="center" wrapText="1"/>
    </xf>
    <xf numFmtId="9" fontId="9" fillId="18" borderId="1" xfId="3" applyFont="1" applyFill="1" applyBorder="1" applyAlignment="1">
      <alignment horizontal="center" vertical="center" wrapText="1"/>
    </xf>
    <xf numFmtId="0" fontId="12" fillId="0" borderId="7" xfId="0" applyFont="1" applyBorder="1"/>
    <xf numFmtId="0" fontId="12" fillId="0" borderId="6" xfId="0" applyFont="1" applyBorder="1"/>
    <xf numFmtId="0" fontId="12" fillId="0" borderId="3" xfId="0" applyFont="1" applyBorder="1"/>
    <xf numFmtId="170" fontId="6" fillId="0" borderId="1" xfId="4" applyNumberFormat="1" applyFont="1" applyBorder="1" applyAlignment="1">
      <alignment horizontal="left"/>
    </xf>
    <xf numFmtId="3" fontId="4" fillId="0" borderId="0" xfId="0" applyNumberFormat="1" applyFont="1"/>
    <xf numFmtId="9" fontId="4" fillId="0" borderId="0" xfId="3" applyFont="1"/>
    <xf numFmtId="2" fontId="4" fillId="4" borderId="1" xfId="2" applyNumberFormat="1" applyFont="1" applyFill="1" applyBorder="1" applyAlignment="1">
      <alignment horizontal="center" vertical="center" wrapText="1"/>
    </xf>
    <xf numFmtId="171" fontId="4" fillId="4" borderId="1" xfId="2" applyNumberFormat="1" applyFont="1" applyFill="1" applyBorder="1" applyAlignment="1">
      <alignment horizontal="center" vertical="center" wrapText="1"/>
    </xf>
    <xf numFmtId="1" fontId="4" fillId="4" borderId="1" xfId="2" applyNumberFormat="1" applyFont="1" applyFill="1" applyBorder="1" applyAlignment="1">
      <alignment horizontal="center" vertical="center" wrapText="1"/>
    </xf>
    <xf numFmtId="167" fontId="5" fillId="0" borderId="0" xfId="0" applyNumberFormat="1" applyFont="1"/>
    <xf numFmtId="167" fontId="6" fillId="0" borderId="0" xfId="0" applyNumberFormat="1" applyFont="1" applyAlignment="1">
      <alignment vertical="center"/>
    </xf>
    <xf numFmtId="167" fontId="8" fillId="0" borderId="0" xfId="4" applyNumberFormat="1" applyFont="1" applyAlignment="1">
      <alignment horizontal="center"/>
    </xf>
    <xf numFmtId="167" fontId="6" fillId="4" borderId="0" xfId="4" applyNumberFormat="1" applyFont="1" applyFill="1" applyAlignment="1">
      <alignment horizontal="center" vertical="center" wrapText="1"/>
    </xf>
    <xf numFmtId="167" fontId="9" fillId="18" borderId="1" xfId="4" applyNumberFormat="1" applyFont="1" applyFill="1" applyBorder="1" applyAlignment="1">
      <alignment horizontal="center" vertical="center" wrapText="1"/>
    </xf>
    <xf numFmtId="167" fontId="4" fillId="0" borderId="0" xfId="0" applyNumberFormat="1" applyFont="1"/>
    <xf numFmtId="2" fontId="5" fillId="0" borderId="0" xfId="0" applyNumberFormat="1" applyFont="1"/>
    <xf numFmtId="2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2" fontId="8" fillId="0" borderId="0" xfId="4" applyNumberFormat="1" applyFont="1" applyAlignment="1">
      <alignment horizontal="center"/>
    </xf>
    <xf numFmtId="2" fontId="6" fillId="4" borderId="0" xfId="4" applyNumberFormat="1" applyFont="1" applyFill="1" applyAlignment="1">
      <alignment horizontal="center" vertical="center" wrapText="1"/>
    </xf>
    <xf numFmtId="2" fontId="8" fillId="4" borderId="1" xfId="2" applyNumberFormat="1" applyFont="1" applyFill="1" applyBorder="1" applyAlignment="1">
      <alignment horizontal="center" vertical="center" wrapText="1"/>
    </xf>
    <xf numFmtId="2" fontId="9" fillId="18" borderId="1" xfId="4" applyNumberFormat="1" applyFont="1" applyFill="1" applyBorder="1" applyAlignment="1">
      <alignment horizontal="center" vertical="center" wrapText="1"/>
    </xf>
    <xf numFmtId="2" fontId="4" fillId="0" borderId="0" xfId="0" applyNumberFormat="1" applyFont="1"/>
    <xf numFmtId="2" fontId="4" fillId="4" borderId="1" xfId="2" applyNumberFormat="1" applyFont="1" applyFill="1" applyBorder="1" applyAlignment="1">
      <alignment horizontal="center" vertical="center"/>
    </xf>
    <xf numFmtId="0" fontId="4" fillId="4" borderId="0" xfId="0" applyFont="1" applyFill="1"/>
    <xf numFmtId="9" fontId="9" fillId="4" borderId="1" xfId="3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right"/>
    </xf>
    <xf numFmtId="0" fontId="13" fillId="4" borderId="1" xfId="0" applyFont="1" applyFill="1" applyBorder="1"/>
    <xf numFmtId="1" fontId="13" fillId="4" borderId="1" xfId="0" applyNumberFormat="1" applyFont="1" applyFill="1" applyBorder="1" applyAlignment="1">
      <alignment horizontal="center" vertical="center"/>
    </xf>
    <xf numFmtId="166" fontId="9" fillId="18" borderId="1" xfId="1" applyFont="1" applyFill="1" applyBorder="1" applyAlignment="1">
      <alignment horizontal="center" vertical="center" wrapText="1"/>
    </xf>
    <xf numFmtId="168" fontId="13" fillId="4" borderId="1" xfId="0" applyNumberFormat="1" applyFont="1" applyFill="1" applyBorder="1" applyAlignment="1">
      <alignment horizontal="center" vertical="center"/>
    </xf>
    <xf numFmtId="172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wrapText="1"/>
    </xf>
    <xf numFmtId="0" fontId="4" fillId="0" borderId="0" xfId="0" applyFont="1" applyAlignment="1">
      <alignment wrapText="1"/>
    </xf>
    <xf numFmtId="165" fontId="4" fillId="0" borderId="0" xfId="0" applyNumberFormat="1" applyFont="1"/>
    <xf numFmtId="1" fontId="13" fillId="0" borderId="0" xfId="0" applyNumberFormat="1" applyFont="1" applyAlignment="1">
      <alignment horizontal="center" vertical="center"/>
    </xf>
    <xf numFmtId="0" fontId="4" fillId="0" borderId="1" xfId="0" applyFont="1" applyBorder="1"/>
    <xf numFmtId="164" fontId="13" fillId="4" borderId="0" xfId="0" applyNumberFormat="1" applyFont="1" applyFill="1" applyAlignment="1">
      <alignment horizontal="left"/>
    </xf>
    <xf numFmtId="165" fontId="4" fillId="4" borderId="0" xfId="2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17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wrapText="1"/>
    </xf>
    <xf numFmtId="0" fontId="0" fillId="8" borderId="1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4" applyFont="1" applyAlignment="1">
      <alignment horizontal="center"/>
    </xf>
    <xf numFmtId="0" fontId="6" fillId="4" borderId="0" xfId="4" applyFont="1" applyFill="1" applyAlignment="1">
      <alignment horizontal="center" vertical="center" wrapText="1"/>
    </xf>
    <xf numFmtId="0" fontId="9" fillId="18" borderId="1" xfId="4" applyFont="1" applyFill="1" applyBorder="1" applyAlignment="1">
      <alignment horizontal="center" vertical="center" wrapText="1"/>
    </xf>
    <xf numFmtId="0" fontId="9" fillId="18" borderId="2" xfId="4" applyFont="1" applyFill="1" applyBorder="1" applyAlignment="1">
      <alignment horizontal="center" vertical="center" wrapText="1"/>
    </xf>
    <xf numFmtId="0" fontId="9" fillId="18" borderId="5" xfId="4" applyFont="1" applyFill="1" applyBorder="1" applyAlignment="1">
      <alignment horizontal="center" vertical="center" wrapText="1"/>
    </xf>
    <xf numFmtId="0" fontId="9" fillId="18" borderId="3" xfId="4" applyFont="1" applyFill="1" applyBorder="1" applyAlignment="1">
      <alignment horizontal="center" vertical="center" wrapText="1"/>
    </xf>
    <xf numFmtId="0" fontId="9" fillId="18" borderId="4" xfId="4" applyFont="1" applyFill="1" applyBorder="1" applyAlignment="1">
      <alignment horizontal="center" vertical="center" wrapText="1"/>
    </xf>
    <xf numFmtId="2" fontId="9" fillId="18" borderId="2" xfId="4" applyNumberFormat="1" applyFont="1" applyFill="1" applyBorder="1" applyAlignment="1">
      <alignment horizontal="center" vertical="center" wrapText="1"/>
    </xf>
    <xf numFmtId="2" fontId="9" fillId="18" borderId="5" xfId="4" applyNumberFormat="1" applyFont="1" applyFill="1" applyBorder="1" applyAlignment="1">
      <alignment horizontal="center" vertical="center" wrapText="1"/>
    </xf>
    <xf numFmtId="0" fontId="9" fillId="18" borderId="1" xfId="4" applyFont="1" applyFill="1" applyBorder="1" applyAlignment="1">
      <alignment horizontal="center" vertical="center"/>
    </xf>
    <xf numFmtId="169" fontId="9" fillId="18" borderId="1" xfId="4" applyNumberFormat="1" applyFont="1" applyFill="1" applyBorder="1" applyAlignment="1">
      <alignment horizontal="center" vertical="center" wrapText="1"/>
    </xf>
    <xf numFmtId="167" fontId="9" fillId="18" borderId="2" xfId="4" applyNumberFormat="1" applyFont="1" applyFill="1" applyBorder="1" applyAlignment="1">
      <alignment horizontal="center" vertical="center" wrapText="1"/>
    </xf>
    <xf numFmtId="167" fontId="9" fillId="18" borderId="5" xfId="4" applyNumberFormat="1" applyFont="1" applyFill="1" applyBorder="1" applyAlignment="1">
      <alignment horizontal="center" vertical="center" wrapText="1"/>
    </xf>
    <xf numFmtId="0" fontId="9" fillId="18" borderId="8" xfId="4" applyFont="1" applyFill="1" applyBorder="1" applyAlignment="1">
      <alignment horizontal="center" vertical="center" wrapText="1"/>
    </xf>
  </cellXfs>
  <cellStyles count="7">
    <cellStyle name="Currency" xfId="1" builtinId="4"/>
    <cellStyle name="Currency [0]" xfId="2" builtinId="7"/>
    <cellStyle name="Hyperlink" xfId="5" builtinId="8"/>
    <cellStyle name="Normal" xfId="0" builtinId="0"/>
    <cellStyle name="Normal 2" xfId="4" xr:uid="{00000000-0005-0000-0000-000004000000}"/>
    <cellStyle name="Normal 3" xfId="6" xr:uid="{00000000-0005-0000-0000-000005000000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2</xdr:col>
      <xdr:colOff>1057275</xdr:colOff>
      <xdr:row>3</xdr:row>
      <xdr:rowOff>47625</xdr:rowOff>
    </xdr:to>
    <xdr:pic>
      <xdr:nvPicPr>
        <xdr:cNvPr id="2" name="Picture 9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20383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"/>
  <sheetViews>
    <sheetView topLeftCell="C1" workbookViewId="0">
      <selection activeCell="F18" sqref="F18"/>
    </sheetView>
  </sheetViews>
  <sheetFormatPr defaultColWidth="9.21875" defaultRowHeight="14.4" x14ac:dyDescent="0.3"/>
  <cols>
    <col min="1" max="1" width="13.77734375" bestFit="1" customWidth="1"/>
    <col min="3" max="3" width="53.21875" bestFit="1" customWidth="1"/>
    <col min="4" max="4" width="53.21875" customWidth="1"/>
    <col min="5" max="5" width="23.77734375" bestFit="1" customWidth="1"/>
    <col min="6" max="6" width="66" bestFit="1" customWidth="1"/>
  </cols>
  <sheetData>
    <row r="1" spans="1:7" x14ac:dyDescent="0.3">
      <c r="A1" s="1" t="s">
        <v>103</v>
      </c>
      <c r="B1" s="1"/>
      <c r="C1" s="1" t="s">
        <v>155</v>
      </c>
      <c r="D1" s="1" t="s">
        <v>156</v>
      </c>
      <c r="E1" s="1" t="s">
        <v>157</v>
      </c>
      <c r="F1" s="1" t="s">
        <v>158</v>
      </c>
      <c r="G1" s="1"/>
    </row>
    <row r="2" spans="1:7" x14ac:dyDescent="0.3">
      <c r="A2" s="8" t="s">
        <v>107</v>
      </c>
      <c r="B2" s="9">
        <v>1</v>
      </c>
      <c r="C2" s="1" t="s">
        <v>104</v>
      </c>
      <c r="D2" s="1" t="s">
        <v>92</v>
      </c>
      <c r="E2" s="1"/>
      <c r="F2" s="2" t="s">
        <v>120</v>
      </c>
      <c r="G2" s="1"/>
    </row>
    <row r="3" spans="1:7" x14ac:dyDescent="0.3">
      <c r="A3" s="1" t="s">
        <v>105</v>
      </c>
      <c r="B3" s="9">
        <f>B2+1</f>
        <v>2</v>
      </c>
      <c r="C3" s="1" t="s">
        <v>0</v>
      </c>
      <c r="D3" s="1" t="s">
        <v>8</v>
      </c>
      <c r="E3" s="1"/>
      <c r="F3" s="2" t="s">
        <v>120</v>
      </c>
      <c r="G3" s="1"/>
    </row>
    <row r="4" spans="1:7" x14ac:dyDescent="0.3">
      <c r="A4" s="1">
        <v>402104</v>
      </c>
      <c r="B4" s="9">
        <f t="shared" ref="B4:B62" si="0">B3+1</f>
        <v>3</v>
      </c>
      <c r="C4" s="1" t="s">
        <v>1</v>
      </c>
      <c r="D4" s="1" t="s">
        <v>9</v>
      </c>
      <c r="E4" s="1"/>
      <c r="F4" s="2" t="s">
        <v>159</v>
      </c>
      <c r="G4" s="1"/>
    </row>
    <row r="5" spans="1:7" x14ac:dyDescent="0.3">
      <c r="A5" s="1">
        <v>402103</v>
      </c>
      <c r="B5" s="9">
        <f t="shared" si="0"/>
        <v>4</v>
      </c>
      <c r="C5" s="1" t="s">
        <v>2</v>
      </c>
      <c r="D5" s="1" t="s">
        <v>10</v>
      </c>
      <c r="E5" s="1"/>
      <c r="F5" s="2" t="s">
        <v>159</v>
      </c>
      <c r="G5" s="1"/>
    </row>
    <row r="6" spans="1:7" x14ac:dyDescent="0.3">
      <c r="A6" s="1">
        <v>411541</v>
      </c>
      <c r="B6" s="9">
        <f t="shared" si="0"/>
        <v>5</v>
      </c>
      <c r="C6" s="1" t="s">
        <v>121</v>
      </c>
      <c r="D6" s="1"/>
      <c r="E6" s="1"/>
      <c r="F6" s="2" t="s">
        <v>124</v>
      </c>
      <c r="G6" s="1"/>
    </row>
    <row r="7" spans="1:7" x14ac:dyDescent="0.3">
      <c r="A7" s="1">
        <v>401353</v>
      </c>
      <c r="B7" s="9">
        <f t="shared" si="0"/>
        <v>6</v>
      </c>
      <c r="C7" s="1" t="s">
        <v>122</v>
      </c>
      <c r="D7" s="1"/>
      <c r="E7" s="1"/>
      <c r="F7" s="2" t="s">
        <v>124</v>
      </c>
      <c r="G7" s="1"/>
    </row>
    <row r="8" spans="1:7" x14ac:dyDescent="0.3">
      <c r="A8" s="1">
        <v>401354</v>
      </c>
      <c r="B8" s="9">
        <f t="shared" si="0"/>
        <v>7</v>
      </c>
      <c r="C8" s="1" t="s">
        <v>123</v>
      </c>
      <c r="D8" s="1"/>
      <c r="E8" s="1"/>
      <c r="F8" s="2" t="s">
        <v>124</v>
      </c>
      <c r="G8" s="1"/>
    </row>
    <row r="9" spans="1:7" x14ac:dyDescent="0.3">
      <c r="A9" s="1"/>
      <c r="B9" s="9">
        <f t="shared" si="0"/>
        <v>8</v>
      </c>
      <c r="C9" s="1" t="s">
        <v>3</v>
      </c>
      <c r="D9" s="1" t="s">
        <v>14</v>
      </c>
      <c r="E9" s="1"/>
      <c r="F9" s="2" t="s">
        <v>134</v>
      </c>
      <c r="G9" s="1"/>
    </row>
    <row r="10" spans="1:7" x14ac:dyDescent="0.3">
      <c r="A10" s="1" t="s">
        <v>106</v>
      </c>
      <c r="B10" s="9">
        <f t="shared" si="0"/>
        <v>9</v>
      </c>
      <c r="C10" s="1" t="s">
        <v>125</v>
      </c>
      <c r="D10" s="1"/>
      <c r="E10" s="1"/>
      <c r="F10" s="2" t="s">
        <v>126</v>
      </c>
      <c r="G10" s="1"/>
    </row>
    <row r="11" spans="1:7" x14ac:dyDescent="0.3">
      <c r="A11" s="1">
        <v>413007</v>
      </c>
      <c r="B11" s="9">
        <f t="shared" si="0"/>
        <v>10</v>
      </c>
      <c r="C11" s="1" t="s">
        <v>4</v>
      </c>
      <c r="D11" s="1"/>
      <c r="E11" s="1"/>
      <c r="F11" s="2" t="s">
        <v>127</v>
      </c>
      <c r="G11" s="1"/>
    </row>
    <row r="12" spans="1:7" x14ac:dyDescent="0.3">
      <c r="A12" s="1">
        <v>260014</v>
      </c>
      <c r="B12" s="9">
        <f t="shared" si="0"/>
        <v>11</v>
      </c>
      <c r="C12" s="1" t="s">
        <v>5</v>
      </c>
      <c r="D12" s="1"/>
      <c r="E12" s="1"/>
      <c r="F12" s="2" t="s">
        <v>128</v>
      </c>
      <c r="G12" s="1"/>
    </row>
    <row r="13" spans="1:7" x14ac:dyDescent="0.3">
      <c r="A13" s="1">
        <v>260006</v>
      </c>
      <c r="B13" s="9">
        <f t="shared" si="0"/>
        <v>12</v>
      </c>
      <c r="C13" s="1" t="s">
        <v>6</v>
      </c>
      <c r="D13" s="1"/>
      <c r="E13" s="1"/>
      <c r="F13" s="2" t="s">
        <v>129</v>
      </c>
      <c r="G13" s="1"/>
    </row>
    <row r="14" spans="1:7" x14ac:dyDescent="0.3">
      <c r="A14" s="1"/>
      <c r="B14" s="9">
        <f t="shared" si="0"/>
        <v>13</v>
      </c>
      <c r="C14" s="1" t="s">
        <v>16</v>
      </c>
      <c r="D14" s="1"/>
      <c r="E14" s="1"/>
      <c r="F14" s="2" t="s">
        <v>130</v>
      </c>
      <c r="G14" s="1"/>
    </row>
    <row r="15" spans="1:7" x14ac:dyDescent="0.3">
      <c r="A15" s="1">
        <v>401213</v>
      </c>
      <c r="B15" s="9">
        <f t="shared" si="0"/>
        <v>14</v>
      </c>
      <c r="C15" s="1" t="s">
        <v>119</v>
      </c>
      <c r="D15" s="1"/>
      <c r="E15" s="1"/>
      <c r="F15" s="2" t="s">
        <v>131</v>
      </c>
      <c r="G15" s="1"/>
    </row>
    <row r="16" spans="1:7" x14ac:dyDescent="0.3">
      <c r="A16" s="1">
        <v>401269</v>
      </c>
      <c r="B16" s="9">
        <f t="shared" si="0"/>
        <v>15</v>
      </c>
      <c r="C16" s="1" t="s">
        <v>117</v>
      </c>
      <c r="D16" s="1"/>
      <c r="E16" s="1"/>
      <c r="F16" s="2" t="s">
        <v>133</v>
      </c>
      <c r="G16" s="1"/>
    </row>
    <row r="17" spans="1:7" x14ac:dyDescent="0.3">
      <c r="A17" s="1"/>
      <c r="B17" s="9">
        <f t="shared" si="0"/>
        <v>16</v>
      </c>
      <c r="C17" s="1" t="s">
        <v>118</v>
      </c>
      <c r="D17" s="1"/>
      <c r="E17" s="1"/>
      <c r="F17" s="2" t="s">
        <v>132</v>
      </c>
      <c r="G17" s="1"/>
    </row>
    <row r="18" spans="1:7" x14ac:dyDescent="0.3">
      <c r="A18" s="1">
        <v>203239</v>
      </c>
      <c r="B18" s="9">
        <f t="shared" si="0"/>
        <v>17</v>
      </c>
      <c r="C18" s="1" t="s">
        <v>15</v>
      </c>
      <c r="D18" s="1" t="s">
        <v>14</v>
      </c>
      <c r="E18" s="1"/>
      <c r="F18" s="2">
        <v>600</v>
      </c>
      <c r="G18" s="1"/>
    </row>
    <row r="19" spans="1:7" x14ac:dyDescent="0.3">
      <c r="A19" s="1"/>
      <c r="B19" s="9">
        <f t="shared" si="0"/>
        <v>18</v>
      </c>
      <c r="C19" s="1" t="s">
        <v>7</v>
      </c>
      <c r="D19" s="1" t="s">
        <v>14</v>
      </c>
      <c r="E19" s="1"/>
      <c r="F19" s="2">
        <v>100</v>
      </c>
      <c r="G19" s="1"/>
    </row>
    <row r="20" spans="1:7" x14ac:dyDescent="0.3">
      <c r="A20" s="1"/>
      <c r="B20" s="9">
        <f t="shared" si="0"/>
        <v>19</v>
      </c>
      <c r="C20" s="1" t="s">
        <v>11</v>
      </c>
      <c r="D20" s="1" t="s">
        <v>12</v>
      </c>
      <c r="E20" s="1"/>
      <c r="F20" s="2" t="s">
        <v>134</v>
      </c>
      <c r="G20" s="1"/>
    </row>
    <row r="21" spans="1:7" x14ac:dyDescent="0.3">
      <c r="A21" s="1"/>
      <c r="B21" s="9">
        <f t="shared" si="0"/>
        <v>20</v>
      </c>
      <c r="C21" s="1" t="s">
        <v>13</v>
      </c>
      <c r="D21" s="1" t="s">
        <v>12</v>
      </c>
      <c r="E21" s="1"/>
      <c r="F21" s="2" t="s">
        <v>135</v>
      </c>
      <c r="G21" s="1"/>
    </row>
    <row r="22" spans="1:7" x14ac:dyDescent="0.3">
      <c r="A22" s="1"/>
      <c r="B22" s="9">
        <f t="shared" si="0"/>
        <v>21</v>
      </c>
      <c r="C22" s="1" t="s">
        <v>17</v>
      </c>
      <c r="D22" s="2" t="s">
        <v>18</v>
      </c>
      <c r="E22" s="1" t="s">
        <v>19</v>
      </c>
      <c r="F22" s="2" t="s">
        <v>136</v>
      </c>
      <c r="G22" s="1"/>
    </row>
    <row r="23" spans="1:7" x14ac:dyDescent="0.3">
      <c r="A23" s="1"/>
      <c r="B23" s="9">
        <f t="shared" si="0"/>
        <v>22</v>
      </c>
      <c r="C23" s="1" t="s">
        <v>20</v>
      </c>
      <c r="D23" s="2" t="s">
        <v>21</v>
      </c>
      <c r="E23" s="1" t="s">
        <v>19</v>
      </c>
      <c r="F23" s="2" t="s">
        <v>136</v>
      </c>
      <c r="G23" s="1"/>
    </row>
    <row r="24" spans="1:7" x14ac:dyDescent="0.3">
      <c r="A24" s="1"/>
      <c r="B24" s="9">
        <f t="shared" si="0"/>
        <v>23</v>
      </c>
      <c r="C24" s="1" t="s">
        <v>22</v>
      </c>
      <c r="D24" s="2" t="s">
        <v>23</v>
      </c>
      <c r="E24" s="1" t="s">
        <v>24</v>
      </c>
      <c r="F24" s="2" t="s">
        <v>137</v>
      </c>
      <c r="G24" s="1"/>
    </row>
    <row r="25" spans="1:7" x14ac:dyDescent="0.3">
      <c r="A25" s="1"/>
      <c r="B25" s="9">
        <f t="shared" si="0"/>
        <v>24</v>
      </c>
      <c r="C25" s="1" t="s">
        <v>25</v>
      </c>
      <c r="D25" s="2" t="s">
        <v>26</v>
      </c>
      <c r="E25" s="1" t="s">
        <v>27</v>
      </c>
      <c r="F25" s="2" t="s">
        <v>138</v>
      </c>
      <c r="G25" s="1"/>
    </row>
    <row r="26" spans="1:7" x14ac:dyDescent="0.3">
      <c r="A26" s="1"/>
      <c r="B26" s="9">
        <f t="shared" si="0"/>
        <v>25</v>
      </c>
      <c r="C26" s="1" t="s">
        <v>28</v>
      </c>
      <c r="D26" s="2" t="s">
        <v>29</v>
      </c>
      <c r="E26" s="1" t="s">
        <v>30</v>
      </c>
      <c r="F26" s="2" t="s">
        <v>139</v>
      </c>
      <c r="G26" s="1"/>
    </row>
    <row r="27" spans="1:7" x14ac:dyDescent="0.3">
      <c r="A27" s="1"/>
      <c r="B27" s="9">
        <f t="shared" si="0"/>
        <v>26</v>
      </c>
      <c r="C27" s="1" t="s">
        <v>31</v>
      </c>
      <c r="D27" s="2" t="s">
        <v>32</v>
      </c>
      <c r="E27" s="1" t="s">
        <v>30</v>
      </c>
      <c r="F27" s="2" t="s">
        <v>140</v>
      </c>
      <c r="G27" s="1"/>
    </row>
    <row r="28" spans="1:7" x14ac:dyDescent="0.3">
      <c r="A28" s="1"/>
      <c r="B28" s="9">
        <f t="shared" si="0"/>
        <v>27</v>
      </c>
      <c r="C28" s="1" t="s">
        <v>33</v>
      </c>
      <c r="D28" s="2" t="s">
        <v>34</v>
      </c>
      <c r="E28" s="1" t="s">
        <v>30</v>
      </c>
      <c r="F28" s="2" t="s">
        <v>140</v>
      </c>
      <c r="G28" s="1"/>
    </row>
    <row r="29" spans="1:7" x14ac:dyDescent="0.3">
      <c r="A29" s="1"/>
      <c r="B29" s="9">
        <f t="shared" si="0"/>
        <v>28</v>
      </c>
      <c r="C29" s="1" t="s">
        <v>35</v>
      </c>
      <c r="D29" s="2" t="s">
        <v>36</v>
      </c>
      <c r="E29" s="1" t="s">
        <v>30</v>
      </c>
      <c r="F29" s="2" t="s">
        <v>141</v>
      </c>
      <c r="G29" s="1"/>
    </row>
    <row r="30" spans="1:7" x14ac:dyDescent="0.3">
      <c r="A30" s="1"/>
      <c r="B30" s="9">
        <f t="shared" si="0"/>
        <v>29</v>
      </c>
      <c r="C30" s="1" t="s">
        <v>54</v>
      </c>
      <c r="D30" s="2">
        <v>19051</v>
      </c>
      <c r="E30" s="1" t="s">
        <v>55</v>
      </c>
      <c r="F30" s="2" t="s">
        <v>131</v>
      </c>
      <c r="G30" s="1"/>
    </row>
    <row r="31" spans="1:7" x14ac:dyDescent="0.3">
      <c r="A31" s="1"/>
      <c r="B31" s="9">
        <f t="shared" si="0"/>
        <v>30</v>
      </c>
      <c r="C31" s="1" t="s">
        <v>56</v>
      </c>
      <c r="D31" s="2">
        <v>67563</v>
      </c>
      <c r="E31" s="1" t="s">
        <v>55</v>
      </c>
      <c r="F31" s="2" t="s">
        <v>144</v>
      </c>
      <c r="G31" s="1"/>
    </row>
    <row r="32" spans="1:7" x14ac:dyDescent="0.3">
      <c r="A32" s="1"/>
      <c r="B32" s="9">
        <f t="shared" si="0"/>
        <v>31</v>
      </c>
      <c r="C32" s="1" t="s">
        <v>57</v>
      </c>
      <c r="D32" s="2" t="s">
        <v>58</v>
      </c>
      <c r="E32" s="1" t="s">
        <v>59</v>
      </c>
      <c r="F32" s="2" t="s">
        <v>145</v>
      </c>
      <c r="G32" s="1"/>
    </row>
    <row r="33" spans="1:7" x14ac:dyDescent="0.3">
      <c r="A33" s="1"/>
      <c r="B33" s="9">
        <f t="shared" si="0"/>
        <v>32</v>
      </c>
      <c r="C33" s="1" t="s">
        <v>60</v>
      </c>
      <c r="D33" s="2" t="s">
        <v>61</v>
      </c>
      <c r="E33" s="1" t="s">
        <v>62</v>
      </c>
      <c r="F33" s="2" t="s">
        <v>146</v>
      </c>
      <c r="G33" s="1"/>
    </row>
    <row r="34" spans="1:7" x14ac:dyDescent="0.3">
      <c r="A34" s="1"/>
      <c r="B34" s="9">
        <f t="shared" si="0"/>
        <v>33</v>
      </c>
      <c r="C34" s="4" t="s">
        <v>63</v>
      </c>
      <c r="D34" s="5" t="s">
        <v>64</v>
      </c>
      <c r="E34" s="4" t="s">
        <v>65</v>
      </c>
      <c r="F34" s="2" t="s">
        <v>142</v>
      </c>
      <c r="G34" s="1"/>
    </row>
    <row r="35" spans="1:7" x14ac:dyDescent="0.3">
      <c r="A35" s="1"/>
      <c r="B35" s="9">
        <f t="shared" si="0"/>
        <v>34</v>
      </c>
      <c r="C35" s="4" t="s">
        <v>66</v>
      </c>
      <c r="D35" s="5" t="s">
        <v>67</v>
      </c>
      <c r="E35" s="4" t="s">
        <v>65</v>
      </c>
      <c r="F35" s="2" t="s">
        <v>147</v>
      </c>
      <c r="G35" s="1"/>
    </row>
    <row r="36" spans="1:7" x14ac:dyDescent="0.3">
      <c r="A36" s="1"/>
      <c r="B36" s="9">
        <f t="shared" si="0"/>
        <v>35</v>
      </c>
      <c r="C36" s="6" t="s">
        <v>68</v>
      </c>
      <c r="D36" s="7">
        <v>18090010</v>
      </c>
      <c r="E36" s="6" t="s">
        <v>65</v>
      </c>
      <c r="F36" s="2" t="s">
        <v>134</v>
      </c>
      <c r="G36" s="1"/>
    </row>
    <row r="37" spans="1:7" x14ac:dyDescent="0.3">
      <c r="A37" s="1"/>
      <c r="B37" s="9">
        <f t="shared" si="0"/>
        <v>36</v>
      </c>
      <c r="C37" s="6" t="s">
        <v>69</v>
      </c>
      <c r="D37" s="7">
        <v>12574026</v>
      </c>
      <c r="E37" s="6" t="s">
        <v>65</v>
      </c>
      <c r="F37" s="2" t="s">
        <v>134</v>
      </c>
      <c r="G37" s="1"/>
    </row>
    <row r="38" spans="1:7" x14ac:dyDescent="0.3">
      <c r="A38" s="1"/>
      <c r="B38" s="9">
        <f t="shared" si="0"/>
        <v>37</v>
      </c>
      <c r="C38" s="1" t="s">
        <v>70</v>
      </c>
      <c r="D38" s="2">
        <v>18091050</v>
      </c>
      <c r="E38" s="1" t="s">
        <v>71</v>
      </c>
      <c r="F38" s="2" t="s">
        <v>143</v>
      </c>
      <c r="G38" s="1"/>
    </row>
    <row r="39" spans="1:7" x14ac:dyDescent="0.3">
      <c r="A39" s="1"/>
      <c r="B39" s="9">
        <f t="shared" si="0"/>
        <v>38</v>
      </c>
      <c r="C39" s="1" t="s">
        <v>72</v>
      </c>
      <c r="D39" s="2" t="s">
        <v>73</v>
      </c>
      <c r="E39" s="1" t="s">
        <v>71</v>
      </c>
      <c r="F39" s="2" t="s">
        <v>143</v>
      </c>
      <c r="G39" s="1"/>
    </row>
    <row r="40" spans="1:7" x14ac:dyDescent="0.3">
      <c r="A40" s="1"/>
      <c r="B40" s="9">
        <f t="shared" si="0"/>
        <v>39</v>
      </c>
      <c r="C40" s="1" t="s">
        <v>74</v>
      </c>
      <c r="D40" s="2" t="s">
        <v>75</v>
      </c>
      <c r="E40" s="1" t="s">
        <v>76</v>
      </c>
      <c r="F40" s="2" t="s">
        <v>143</v>
      </c>
      <c r="G40" s="1"/>
    </row>
    <row r="41" spans="1:7" x14ac:dyDescent="0.3">
      <c r="A41" s="1"/>
      <c r="B41" s="9">
        <f t="shared" si="0"/>
        <v>40</v>
      </c>
      <c r="C41" s="1" t="s">
        <v>77</v>
      </c>
      <c r="D41" s="2" t="s">
        <v>78</v>
      </c>
      <c r="E41" s="1" t="s">
        <v>76</v>
      </c>
      <c r="F41" s="2" t="s">
        <v>136</v>
      </c>
      <c r="G41" s="1"/>
    </row>
    <row r="42" spans="1:7" x14ac:dyDescent="0.3">
      <c r="A42" s="1"/>
      <c r="B42" s="9">
        <f t="shared" si="0"/>
        <v>41</v>
      </c>
      <c r="C42" s="1" t="s">
        <v>79</v>
      </c>
      <c r="D42" s="2" t="s">
        <v>80</v>
      </c>
      <c r="E42" s="1" t="s">
        <v>76</v>
      </c>
      <c r="F42" s="2" t="s">
        <v>143</v>
      </c>
      <c r="G42" s="1"/>
    </row>
    <row r="43" spans="1:7" x14ac:dyDescent="0.3">
      <c r="A43" s="1" t="s">
        <v>108</v>
      </c>
      <c r="B43" s="9">
        <f t="shared" si="0"/>
        <v>42</v>
      </c>
      <c r="C43" s="1" t="s">
        <v>81</v>
      </c>
      <c r="D43" s="2" t="s">
        <v>83</v>
      </c>
      <c r="E43" s="1"/>
      <c r="F43" s="2" t="s">
        <v>148</v>
      </c>
      <c r="G43" s="1"/>
    </row>
    <row r="44" spans="1:7" x14ac:dyDescent="0.3">
      <c r="A44" s="1" t="s">
        <v>108</v>
      </c>
      <c r="B44" s="9">
        <f t="shared" si="0"/>
        <v>43</v>
      </c>
      <c r="C44" s="1" t="s">
        <v>82</v>
      </c>
      <c r="D44" s="2" t="s">
        <v>83</v>
      </c>
      <c r="E44" s="1"/>
      <c r="F44" s="2" t="s">
        <v>148</v>
      </c>
      <c r="G44" s="1"/>
    </row>
    <row r="45" spans="1:7" x14ac:dyDescent="0.3">
      <c r="A45" s="1"/>
      <c r="B45" s="9">
        <f t="shared" si="0"/>
        <v>44</v>
      </c>
      <c r="C45" s="1" t="s">
        <v>84</v>
      </c>
      <c r="D45" s="1" t="s">
        <v>85</v>
      </c>
      <c r="E45" s="1" t="s">
        <v>30</v>
      </c>
      <c r="F45" s="2" t="s">
        <v>149</v>
      </c>
      <c r="G45" s="1"/>
    </row>
    <row r="46" spans="1:7" x14ac:dyDescent="0.3">
      <c r="A46" s="1"/>
      <c r="B46" s="9">
        <f t="shared" si="0"/>
        <v>45</v>
      </c>
      <c r="C46" s="1" t="s">
        <v>87</v>
      </c>
      <c r="D46" s="2" t="s">
        <v>86</v>
      </c>
      <c r="E46" s="1" t="s">
        <v>30</v>
      </c>
      <c r="F46" s="2" t="s">
        <v>150</v>
      </c>
      <c r="G46" s="1"/>
    </row>
    <row r="47" spans="1:7" x14ac:dyDescent="0.3">
      <c r="A47" s="1"/>
      <c r="B47" s="9">
        <f t="shared" si="0"/>
        <v>46</v>
      </c>
      <c r="C47" s="1" t="s">
        <v>88</v>
      </c>
      <c r="D47" s="2" t="s">
        <v>89</v>
      </c>
      <c r="E47" s="1" t="s">
        <v>30</v>
      </c>
      <c r="F47" s="2" t="s">
        <v>151</v>
      </c>
      <c r="G47" s="1"/>
    </row>
    <row r="48" spans="1:7" x14ac:dyDescent="0.3">
      <c r="A48" s="1"/>
      <c r="B48" s="9">
        <f t="shared" si="0"/>
        <v>47</v>
      </c>
      <c r="C48" s="1" t="s">
        <v>90</v>
      </c>
      <c r="D48" s="2" t="s">
        <v>91</v>
      </c>
      <c r="E48" s="1" t="s">
        <v>30</v>
      </c>
      <c r="F48" s="2" t="s">
        <v>152</v>
      </c>
      <c r="G48" s="1"/>
    </row>
    <row r="49" spans="1:7" x14ac:dyDescent="0.3">
      <c r="A49" s="1"/>
      <c r="B49" s="9"/>
      <c r="C49" s="1" t="s">
        <v>109</v>
      </c>
      <c r="D49" s="1"/>
      <c r="E49" s="1"/>
      <c r="F49" s="1"/>
      <c r="G49" s="1"/>
    </row>
    <row r="50" spans="1:7" x14ac:dyDescent="0.3">
      <c r="A50" s="1"/>
      <c r="B50" s="9">
        <v>50</v>
      </c>
      <c r="C50" s="1" t="s">
        <v>97</v>
      </c>
      <c r="D50" s="1">
        <v>10006830</v>
      </c>
      <c r="E50" s="1" t="s">
        <v>95</v>
      </c>
      <c r="F50" s="1" t="s">
        <v>153</v>
      </c>
      <c r="G50" s="1" t="s">
        <v>93</v>
      </c>
    </row>
    <row r="51" spans="1:7" x14ac:dyDescent="0.3">
      <c r="A51" s="1"/>
      <c r="B51" s="9">
        <f t="shared" si="0"/>
        <v>51</v>
      </c>
      <c r="C51" s="1" t="s">
        <v>98</v>
      </c>
      <c r="D51" s="1">
        <v>10006831</v>
      </c>
      <c r="E51" s="1" t="s">
        <v>95</v>
      </c>
      <c r="F51" s="1" t="s">
        <v>153</v>
      </c>
      <c r="G51" s="1" t="s">
        <v>93</v>
      </c>
    </row>
    <row r="52" spans="1:7" x14ac:dyDescent="0.3">
      <c r="A52" s="1"/>
      <c r="B52" s="9">
        <f t="shared" si="0"/>
        <v>52</v>
      </c>
      <c r="C52" s="1" t="s">
        <v>96</v>
      </c>
      <c r="D52" s="1">
        <v>10006832</v>
      </c>
      <c r="E52" s="1" t="s">
        <v>95</v>
      </c>
      <c r="F52" s="1" t="s">
        <v>154</v>
      </c>
      <c r="G52" s="1" t="s">
        <v>94</v>
      </c>
    </row>
    <row r="53" spans="1:7" x14ac:dyDescent="0.3">
      <c r="A53" s="1"/>
      <c r="B53" s="9">
        <f t="shared" si="0"/>
        <v>53</v>
      </c>
      <c r="C53" s="1" t="s">
        <v>99</v>
      </c>
      <c r="D53" s="1">
        <v>10006836</v>
      </c>
      <c r="E53" s="1" t="s">
        <v>95</v>
      </c>
      <c r="F53" s="1" t="s">
        <v>153</v>
      </c>
      <c r="G53" s="1" t="s">
        <v>93</v>
      </c>
    </row>
    <row r="54" spans="1:7" x14ac:dyDescent="0.3">
      <c r="A54" s="1"/>
      <c r="B54" s="9">
        <f t="shared" si="0"/>
        <v>54</v>
      </c>
      <c r="C54" s="1" t="s">
        <v>100</v>
      </c>
      <c r="D54" s="1">
        <v>10006837</v>
      </c>
      <c r="E54" s="1" t="s">
        <v>95</v>
      </c>
      <c r="F54" s="1" t="s">
        <v>153</v>
      </c>
      <c r="G54" s="1" t="s">
        <v>93</v>
      </c>
    </row>
    <row r="55" spans="1:7" x14ac:dyDescent="0.3">
      <c r="A55" s="1"/>
      <c r="B55" s="9">
        <f t="shared" si="0"/>
        <v>55</v>
      </c>
      <c r="C55" s="1" t="s">
        <v>101</v>
      </c>
      <c r="D55" s="1"/>
      <c r="E55" s="1"/>
      <c r="F55" s="1" t="s">
        <v>154</v>
      </c>
      <c r="G55" s="1"/>
    </row>
    <row r="56" spans="1:7" x14ac:dyDescent="0.3">
      <c r="A56" s="1"/>
      <c r="B56" s="9">
        <f t="shared" si="0"/>
        <v>56</v>
      </c>
      <c r="C56" s="1" t="s">
        <v>110</v>
      </c>
      <c r="D56" s="1"/>
      <c r="E56" s="1"/>
      <c r="F56" s="1" t="s">
        <v>153</v>
      </c>
      <c r="G56" s="1"/>
    </row>
    <row r="57" spans="1:7" x14ac:dyDescent="0.3">
      <c r="A57" s="1"/>
      <c r="B57" s="9">
        <f t="shared" si="0"/>
        <v>57</v>
      </c>
      <c r="C57" s="1" t="s">
        <v>111</v>
      </c>
      <c r="D57" s="1"/>
      <c r="E57" s="1"/>
      <c r="F57" s="1" t="s">
        <v>153</v>
      </c>
      <c r="G57" s="1"/>
    </row>
    <row r="58" spans="1:7" x14ac:dyDescent="0.3">
      <c r="A58" s="1"/>
      <c r="B58" s="9">
        <f t="shared" si="0"/>
        <v>58</v>
      </c>
      <c r="C58" s="1" t="s">
        <v>112</v>
      </c>
      <c r="D58" s="1"/>
      <c r="E58" s="1"/>
      <c r="F58" s="1" t="s">
        <v>154</v>
      </c>
      <c r="G58" s="1"/>
    </row>
    <row r="59" spans="1:7" x14ac:dyDescent="0.3">
      <c r="A59" s="1"/>
      <c r="B59" s="9">
        <f t="shared" si="0"/>
        <v>59</v>
      </c>
      <c r="C59" s="1" t="s">
        <v>116</v>
      </c>
      <c r="D59" s="1"/>
      <c r="E59" s="1"/>
      <c r="F59" s="1" t="s">
        <v>154</v>
      </c>
      <c r="G59" s="1"/>
    </row>
    <row r="60" spans="1:7" x14ac:dyDescent="0.3">
      <c r="A60" s="1"/>
      <c r="B60" s="9">
        <f t="shared" si="0"/>
        <v>60</v>
      </c>
      <c r="C60" s="1" t="s">
        <v>113</v>
      </c>
      <c r="D60" s="1"/>
      <c r="E60" s="1"/>
      <c r="F60" s="1" t="s">
        <v>153</v>
      </c>
      <c r="G60" s="1"/>
    </row>
    <row r="61" spans="1:7" x14ac:dyDescent="0.3">
      <c r="A61" s="1"/>
      <c r="B61" s="9">
        <f t="shared" si="0"/>
        <v>61</v>
      </c>
      <c r="C61" s="1" t="s">
        <v>114</v>
      </c>
      <c r="D61" s="1"/>
      <c r="E61" s="1"/>
      <c r="F61" s="1" t="s">
        <v>153</v>
      </c>
      <c r="G61" s="1"/>
    </row>
    <row r="62" spans="1:7" x14ac:dyDescent="0.3">
      <c r="A62" s="1"/>
      <c r="B62" s="9">
        <f t="shared" si="0"/>
        <v>62</v>
      </c>
      <c r="C62" s="1" t="s">
        <v>115</v>
      </c>
      <c r="D62" s="1"/>
      <c r="E62" s="1"/>
      <c r="F62" s="1" t="s">
        <v>154</v>
      </c>
      <c r="G62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workbookViewId="0">
      <selection activeCell="B21" sqref="B21"/>
    </sheetView>
  </sheetViews>
  <sheetFormatPr defaultColWidth="9.21875" defaultRowHeight="14.4" x14ac:dyDescent="0.3"/>
  <cols>
    <col min="1" max="1" width="21.77734375" customWidth="1"/>
    <col min="2" max="2" width="49.21875" customWidth="1"/>
    <col min="3" max="3" width="34.44140625" customWidth="1"/>
    <col min="4" max="4" width="31.77734375" customWidth="1"/>
  </cols>
  <sheetData>
    <row r="1" spans="1:4" x14ac:dyDescent="0.3">
      <c r="A1" t="s">
        <v>102</v>
      </c>
    </row>
    <row r="2" spans="1:4" x14ac:dyDescent="0.3">
      <c r="A2">
        <f>'NO COTIZAR'!A12+1</f>
        <v>34</v>
      </c>
      <c r="B2" s="3" t="s">
        <v>43</v>
      </c>
      <c r="C2" s="2" t="s">
        <v>44</v>
      </c>
      <c r="D2" s="1" t="s">
        <v>45</v>
      </c>
    </row>
    <row r="3" spans="1:4" x14ac:dyDescent="0.3">
      <c r="A3">
        <f>A2+1</f>
        <v>35</v>
      </c>
      <c r="B3" s="1" t="s">
        <v>46</v>
      </c>
      <c r="C3" s="2" t="s">
        <v>47</v>
      </c>
      <c r="D3" s="1" t="s">
        <v>45</v>
      </c>
    </row>
    <row r="4" spans="1:4" x14ac:dyDescent="0.3">
      <c r="A4">
        <f>A3+1</f>
        <v>36</v>
      </c>
      <c r="B4" s="1" t="s">
        <v>48</v>
      </c>
      <c r="C4" s="2" t="s">
        <v>49</v>
      </c>
      <c r="D4" s="1" t="s">
        <v>45</v>
      </c>
    </row>
    <row r="5" spans="1:4" x14ac:dyDescent="0.3">
      <c r="A5">
        <f>A4+1</f>
        <v>37</v>
      </c>
      <c r="B5" s="1" t="s">
        <v>50</v>
      </c>
      <c r="C5" s="2" t="s">
        <v>51</v>
      </c>
      <c r="D5" s="1" t="s">
        <v>45</v>
      </c>
    </row>
    <row r="6" spans="1:4" x14ac:dyDescent="0.3">
      <c r="A6">
        <f>A5+1</f>
        <v>38</v>
      </c>
      <c r="B6" s="3" t="s">
        <v>52</v>
      </c>
      <c r="C6" s="1"/>
      <c r="D6" s="1" t="s">
        <v>45</v>
      </c>
    </row>
    <row r="7" spans="1:4" x14ac:dyDescent="0.3">
      <c r="A7">
        <f>A6+1</f>
        <v>39</v>
      </c>
      <c r="B7" s="3" t="s">
        <v>53</v>
      </c>
      <c r="C7" s="1"/>
      <c r="D7" s="1" t="s">
        <v>45</v>
      </c>
    </row>
    <row r="8" spans="1:4" x14ac:dyDescent="0.3">
      <c r="A8">
        <f>COTIZAR!B29+1</f>
        <v>29</v>
      </c>
      <c r="B8" s="1" t="s">
        <v>37</v>
      </c>
      <c r="C8" s="2"/>
      <c r="D8" s="1" t="s">
        <v>38</v>
      </c>
    </row>
    <row r="9" spans="1:4" x14ac:dyDescent="0.3">
      <c r="A9">
        <f>A8+1</f>
        <v>30</v>
      </c>
      <c r="B9" s="1" t="s">
        <v>39</v>
      </c>
      <c r="C9" s="2"/>
      <c r="D9" s="1" t="s">
        <v>38</v>
      </c>
    </row>
    <row r="10" spans="1:4" x14ac:dyDescent="0.3">
      <c r="A10">
        <f>A9+1</f>
        <v>31</v>
      </c>
      <c r="B10" s="1" t="s">
        <v>40</v>
      </c>
      <c r="C10" s="2"/>
      <c r="D10" s="1" t="s">
        <v>38</v>
      </c>
    </row>
    <row r="11" spans="1:4" x14ac:dyDescent="0.3">
      <c r="A11">
        <f>A10+1</f>
        <v>32</v>
      </c>
      <c r="B11" s="1" t="s">
        <v>41</v>
      </c>
      <c r="C11" s="2"/>
      <c r="D11" s="1" t="s">
        <v>38</v>
      </c>
    </row>
    <row r="12" spans="1:4" x14ac:dyDescent="0.3">
      <c r="A12">
        <f>A11+1</f>
        <v>33</v>
      </c>
      <c r="B12" s="1" t="s">
        <v>42</v>
      </c>
      <c r="C12" s="2"/>
      <c r="D12" s="1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70"/>
  <sheetViews>
    <sheetView showGridLines="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 activeCell="A14" sqref="A14"/>
    </sheetView>
  </sheetViews>
  <sheetFormatPr defaultColWidth="10.77734375" defaultRowHeight="14.4" x14ac:dyDescent="0.3"/>
  <cols>
    <col min="2" max="2" width="78.21875" bestFit="1" customWidth="1"/>
    <col min="3" max="3" width="15.44140625" customWidth="1"/>
    <col min="4" max="4" width="19.21875" style="16" bestFit="1" customWidth="1"/>
    <col min="5" max="5" width="15" style="14" bestFit="1" customWidth="1"/>
    <col min="6" max="6" width="21.44140625" style="15" bestFit="1" customWidth="1"/>
    <col min="7" max="7" width="16.77734375" style="16" bestFit="1" customWidth="1"/>
    <col min="8" max="8" width="24" style="23" bestFit="1" customWidth="1"/>
    <col min="9" max="9" width="15.77734375" style="25" customWidth="1"/>
    <col min="10" max="10" width="16.44140625" style="25" customWidth="1"/>
    <col min="11" max="11" width="16.77734375" style="25" bestFit="1" customWidth="1"/>
    <col min="12" max="12" width="14.44140625" style="29" customWidth="1"/>
    <col min="13" max="14" width="14.77734375" style="30" bestFit="1" customWidth="1"/>
    <col min="15" max="15" width="16.77734375" style="30" bestFit="1" customWidth="1"/>
    <col min="16" max="16" width="14.77734375" style="39" bestFit="1" customWidth="1"/>
    <col min="17" max="18" width="12.77734375" style="40" bestFit="1" customWidth="1"/>
    <col min="19" max="19" width="16.77734375" style="40" bestFit="1" customWidth="1"/>
    <col min="20" max="20" width="15" style="47" customWidth="1"/>
    <col min="21" max="22" width="11.44140625" style="48"/>
    <col min="23" max="23" width="16.77734375" style="48" bestFit="1" customWidth="1"/>
    <col min="24" max="24" width="17.21875" style="56" customWidth="1"/>
    <col min="25" max="26" width="11.44140625" style="57"/>
    <col min="27" max="27" width="16.77734375" style="57" bestFit="1" customWidth="1"/>
    <col min="28" max="28" width="15" style="61" customWidth="1"/>
    <col min="29" max="29" width="13.77734375" style="62" bestFit="1" customWidth="1"/>
    <col min="30" max="30" width="11.44140625" style="62"/>
    <col min="31" max="31" width="16.77734375" style="62" bestFit="1" customWidth="1"/>
    <col min="32" max="32" width="16.77734375" style="13" customWidth="1"/>
    <col min="33" max="34" width="11.44140625" style="12"/>
    <col min="35" max="35" width="16.77734375" style="12" bestFit="1" customWidth="1"/>
    <col min="36" max="36" width="14" style="52" customWidth="1"/>
    <col min="37" max="37" width="12.77734375" style="63" bestFit="1" customWidth="1"/>
    <col min="38" max="38" width="11.44140625" style="63"/>
    <col min="39" max="39" width="16.77734375" style="63" bestFit="1" customWidth="1"/>
    <col min="40" max="40" width="11.44140625" style="67"/>
    <col min="41" max="41" width="12.77734375" style="68" bestFit="1" customWidth="1"/>
    <col min="42" max="42" width="11.44140625" style="68"/>
    <col min="43" max="43" width="16.77734375" style="68" bestFit="1" customWidth="1"/>
    <col min="44" max="44" width="11.44140625" style="72"/>
    <col min="45" max="45" width="12.77734375" style="73" bestFit="1" customWidth="1"/>
    <col min="46" max="46" width="11.44140625" style="73"/>
    <col min="47" max="47" width="16.77734375" style="73" bestFit="1" customWidth="1"/>
    <col min="48" max="48" width="11.44140625" style="34"/>
    <col min="49" max="49" width="14.77734375" style="35" bestFit="1" customWidth="1"/>
    <col min="50" max="50" width="11.44140625" style="35"/>
    <col min="51" max="51" width="16.77734375" style="35" bestFit="1" customWidth="1"/>
    <col min="52" max="52" width="11.44140625" style="52"/>
    <col min="53" max="53" width="13.77734375" style="63" bestFit="1" customWidth="1"/>
    <col min="54" max="54" width="11.44140625" style="63"/>
    <col min="55" max="55" width="16.77734375" style="63" bestFit="1" customWidth="1"/>
  </cols>
  <sheetData>
    <row r="1" spans="1:55" s="10" customFormat="1" x14ac:dyDescent="0.3">
      <c r="E1" s="79"/>
      <c r="F1" s="80"/>
      <c r="G1" s="79">
        <f>SUBTOTAL(9,G4:G70)</f>
        <v>1147420126.2</v>
      </c>
      <c r="I1" s="79"/>
      <c r="J1" s="79"/>
      <c r="K1" s="79">
        <f>SUBTOTAL(9,K4:K70)</f>
        <v>1326476206.1400001</v>
      </c>
      <c r="M1" s="79"/>
      <c r="N1" s="79"/>
      <c r="O1" s="79">
        <f>SUBTOTAL(9,O4:O70)</f>
        <v>264636960</v>
      </c>
      <c r="Q1" s="79"/>
      <c r="R1" s="79"/>
      <c r="S1" s="79">
        <f>SUBTOTAL(9,S4:S70)</f>
        <v>29988000</v>
      </c>
      <c r="U1" s="79"/>
      <c r="V1" s="79"/>
      <c r="W1" s="79">
        <f>SUBTOTAL(9,W4:W70)</f>
        <v>37112800</v>
      </c>
      <c r="Y1" s="79"/>
      <c r="Z1" s="79"/>
      <c r="AA1" s="79">
        <f>SUBTOTAL(9,AA4:AA70)</f>
        <v>3053540</v>
      </c>
      <c r="AC1" s="79"/>
      <c r="AD1" s="79"/>
      <c r="AE1" s="79">
        <f>SUBTOTAL(9,AE4:AE70)</f>
        <v>652704785.75999999</v>
      </c>
      <c r="AG1" s="79"/>
      <c r="AH1" s="79"/>
      <c r="AI1" s="79">
        <f>SUBTOTAL(9,AI4:AI70)</f>
        <v>17707200</v>
      </c>
      <c r="AK1" s="79"/>
      <c r="AL1" s="79"/>
      <c r="AM1" s="79">
        <f>SUBTOTAL(9,AM4:AM70)</f>
        <v>438115665</v>
      </c>
      <c r="AO1" s="79"/>
      <c r="AP1" s="79"/>
      <c r="AQ1" s="79">
        <f>SUBTOTAL(9,AQ4:AQ70)</f>
        <v>341869617.5</v>
      </c>
      <c r="AS1" s="79"/>
      <c r="AT1" s="79"/>
      <c r="AU1" s="79">
        <f>SUBTOTAL(9,AU4:AU70)</f>
        <v>762317812.5</v>
      </c>
      <c r="AW1" s="79"/>
      <c r="AX1" s="79"/>
      <c r="AY1" s="79">
        <f>SUBTOTAL(9,AY4:AY70)</f>
        <v>1813759859.28</v>
      </c>
      <c r="BA1" s="79"/>
      <c r="BB1" s="79"/>
      <c r="BC1" s="79">
        <f>SUBTOTAL(9,BC4:BC70)</f>
        <v>1628386901.8833332</v>
      </c>
    </row>
    <row r="2" spans="1:55" ht="30" customHeight="1" x14ac:dyDescent="0.3">
      <c r="A2" s="163" t="s">
        <v>160</v>
      </c>
      <c r="B2" s="163" t="s">
        <v>161</v>
      </c>
      <c r="C2" s="164" t="s">
        <v>167</v>
      </c>
      <c r="D2" s="162" t="s">
        <v>162</v>
      </c>
      <c r="E2" s="162"/>
      <c r="F2" s="162"/>
      <c r="G2" s="162"/>
      <c r="H2" s="165" t="s">
        <v>187</v>
      </c>
      <c r="I2" s="165"/>
      <c r="J2" s="165"/>
      <c r="K2" s="165"/>
      <c r="L2" s="161" t="s">
        <v>212</v>
      </c>
      <c r="M2" s="161"/>
      <c r="N2" s="161"/>
      <c r="O2" s="161"/>
      <c r="P2" s="156" t="s">
        <v>213</v>
      </c>
      <c r="Q2" s="156"/>
      <c r="R2" s="156"/>
      <c r="S2" s="156"/>
      <c r="T2" s="157" t="s">
        <v>214</v>
      </c>
      <c r="U2" s="157"/>
      <c r="V2" s="157"/>
      <c r="W2" s="157"/>
      <c r="X2" s="158" t="s">
        <v>219</v>
      </c>
      <c r="Y2" s="158"/>
      <c r="Z2" s="158"/>
      <c r="AA2" s="158"/>
      <c r="AB2" s="159" t="s">
        <v>221</v>
      </c>
      <c r="AC2" s="159"/>
      <c r="AD2" s="159"/>
      <c r="AE2" s="159"/>
      <c r="AF2" s="160" t="s">
        <v>226</v>
      </c>
      <c r="AG2" s="160"/>
      <c r="AH2" s="160"/>
      <c r="AI2" s="160"/>
      <c r="AJ2" s="155" t="s">
        <v>229</v>
      </c>
      <c r="AK2" s="155"/>
      <c r="AL2" s="155"/>
      <c r="AM2" s="155"/>
      <c r="AN2" s="152" t="s">
        <v>238</v>
      </c>
      <c r="AO2" s="152"/>
      <c r="AP2" s="152"/>
      <c r="AQ2" s="152"/>
      <c r="AR2" s="153" t="s">
        <v>244</v>
      </c>
      <c r="AS2" s="153"/>
      <c r="AT2" s="153"/>
      <c r="AU2" s="153"/>
      <c r="AV2" s="154" t="s">
        <v>248</v>
      </c>
      <c r="AW2" s="154"/>
      <c r="AX2" s="154"/>
      <c r="AY2" s="154"/>
      <c r="AZ2" s="155" t="s">
        <v>269</v>
      </c>
      <c r="BA2" s="155"/>
      <c r="BB2" s="155"/>
      <c r="BC2" s="155"/>
    </row>
    <row r="3" spans="1:55" ht="30" customHeight="1" x14ac:dyDescent="0.3">
      <c r="A3" s="163"/>
      <c r="B3" s="163"/>
      <c r="C3" s="164"/>
      <c r="D3" s="17" t="s">
        <v>163</v>
      </c>
      <c r="E3" s="18" t="s">
        <v>164</v>
      </c>
      <c r="F3" s="19" t="s">
        <v>165</v>
      </c>
      <c r="G3" s="20" t="s">
        <v>168</v>
      </c>
      <c r="H3" s="21" t="s">
        <v>163</v>
      </c>
      <c r="I3" s="22" t="s">
        <v>164</v>
      </c>
      <c r="J3" s="24" t="s">
        <v>165</v>
      </c>
      <c r="K3" s="22" t="s">
        <v>168</v>
      </c>
      <c r="L3" s="26" t="s">
        <v>163</v>
      </c>
      <c r="M3" s="27" t="s">
        <v>164</v>
      </c>
      <c r="N3" s="28" t="s">
        <v>165</v>
      </c>
      <c r="O3" s="27" t="s">
        <v>168</v>
      </c>
      <c r="P3" s="36" t="s">
        <v>163</v>
      </c>
      <c r="Q3" s="37" t="s">
        <v>164</v>
      </c>
      <c r="R3" s="38" t="s">
        <v>165</v>
      </c>
      <c r="S3" s="37" t="s">
        <v>168</v>
      </c>
      <c r="T3" s="44" t="s">
        <v>163</v>
      </c>
      <c r="U3" s="45" t="s">
        <v>164</v>
      </c>
      <c r="V3" s="46" t="s">
        <v>165</v>
      </c>
      <c r="W3" s="45" t="s">
        <v>168</v>
      </c>
      <c r="X3" s="53" t="s">
        <v>163</v>
      </c>
      <c r="Y3" s="54" t="s">
        <v>164</v>
      </c>
      <c r="Z3" s="55" t="s">
        <v>165</v>
      </c>
      <c r="AA3" s="54" t="s">
        <v>168</v>
      </c>
      <c r="AB3" s="58" t="s">
        <v>163</v>
      </c>
      <c r="AC3" s="59" t="s">
        <v>164</v>
      </c>
      <c r="AD3" s="60" t="s">
        <v>165</v>
      </c>
      <c r="AE3" s="59" t="s">
        <v>168</v>
      </c>
      <c r="AF3" s="41" t="s">
        <v>163</v>
      </c>
      <c r="AG3" s="42" t="s">
        <v>164</v>
      </c>
      <c r="AH3" s="43" t="s">
        <v>165</v>
      </c>
      <c r="AI3" s="42" t="s">
        <v>168</v>
      </c>
      <c r="AJ3" s="49" t="s">
        <v>163</v>
      </c>
      <c r="AK3" s="50" t="s">
        <v>164</v>
      </c>
      <c r="AL3" s="51" t="s">
        <v>165</v>
      </c>
      <c r="AM3" s="50" t="s">
        <v>168</v>
      </c>
      <c r="AN3" s="64" t="s">
        <v>163</v>
      </c>
      <c r="AO3" s="65" t="s">
        <v>164</v>
      </c>
      <c r="AP3" s="66" t="s">
        <v>165</v>
      </c>
      <c r="AQ3" s="65" t="s">
        <v>168</v>
      </c>
      <c r="AR3" s="69" t="s">
        <v>163</v>
      </c>
      <c r="AS3" s="70" t="s">
        <v>164</v>
      </c>
      <c r="AT3" s="71" t="s">
        <v>165</v>
      </c>
      <c r="AU3" s="70" t="s">
        <v>168</v>
      </c>
      <c r="AV3" s="31" t="s">
        <v>163</v>
      </c>
      <c r="AW3" s="32" t="s">
        <v>164</v>
      </c>
      <c r="AX3" s="33" t="s">
        <v>165</v>
      </c>
      <c r="AY3" s="32" t="s">
        <v>168</v>
      </c>
      <c r="AZ3" s="49" t="s">
        <v>163</v>
      </c>
      <c r="BA3" s="50" t="s">
        <v>164</v>
      </c>
      <c r="BB3" s="51" t="s">
        <v>165</v>
      </c>
      <c r="BC3" s="50" t="s">
        <v>168</v>
      </c>
    </row>
    <row r="4" spans="1:55" x14ac:dyDescent="0.3">
      <c r="A4" s="10">
        <v>1</v>
      </c>
      <c r="B4" s="10" t="s">
        <v>104</v>
      </c>
      <c r="C4" s="10">
        <v>4500</v>
      </c>
      <c r="D4" s="74" t="s">
        <v>166</v>
      </c>
      <c r="E4" s="14">
        <v>14280000</v>
      </c>
      <c r="F4" s="75">
        <f>E4/2000</f>
        <v>7140</v>
      </c>
      <c r="G4" s="76">
        <f>F4*C4</f>
        <v>32130000</v>
      </c>
      <c r="H4" s="23" t="s">
        <v>188</v>
      </c>
      <c r="I4" s="25">
        <v>5593000</v>
      </c>
      <c r="J4" s="25">
        <v>14565</v>
      </c>
      <c r="K4" s="25">
        <f t="shared" ref="K4:K31" si="0">J4*C4</f>
        <v>65542500</v>
      </c>
      <c r="O4" s="30">
        <f t="shared" ref="O4:O31" si="1">N4*C4</f>
        <v>0</v>
      </c>
      <c r="S4" s="40">
        <f t="shared" ref="S4:S31" si="2">R4*C4</f>
        <v>0</v>
      </c>
      <c r="W4" s="48">
        <f t="shared" ref="W4:W31" si="3">V4*C4</f>
        <v>0</v>
      </c>
      <c r="AA4" s="57">
        <f t="shared" ref="AA4:AA31" si="4">Z4*C4</f>
        <v>0</v>
      </c>
      <c r="AB4" s="61" t="s">
        <v>222</v>
      </c>
      <c r="AC4" s="62">
        <v>10000000</v>
      </c>
      <c r="AD4" s="62">
        <f>AC4/100</f>
        <v>100000</v>
      </c>
      <c r="AE4" s="62">
        <f t="shared" ref="AE4:AE31" si="5">AD4*C4</f>
        <v>450000000</v>
      </c>
      <c r="AI4" s="12">
        <f t="shared" ref="AI4:AI31" si="6">AH4*C4</f>
        <v>0</v>
      </c>
      <c r="AJ4" s="52" t="s">
        <v>231</v>
      </c>
      <c r="AK4" s="63">
        <v>1700000</v>
      </c>
      <c r="AL4" s="63">
        <f>AK4/100</f>
        <v>17000</v>
      </c>
      <c r="AM4" s="63">
        <f t="shared" ref="AM4:AM31" si="7">AL4*C4</f>
        <v>76500000</v>
      </c>
      <c r="AN4" s="67" t="s">
        <v>239</v>
      </c>
      <c r="AO4" s="68">
        <v>1739800</v>
      </c>
      <c r="AP4" s="68">
        <f>AO4/100</f>
        <v>17398</v>
      </c>
      <c r="AQ4" s="68">
        <f t="shared" ref="AQ4:AQ31" si="8">AP4*C4</f>
        <v>78291000</v>
      </c>
      <c r="AR4" s="72" t="s">
        <v>227</v>
      </c>
      <c r="AS4" s="73">
        <v>833000</v>
      </c>
      <c r="AT4" s="73">
        <f>AS4/96</f>
        <v>8677.0833333333339</v>
      </c>
      <c r="AU4" s="73">
        <f t="shared" ref="AU4:AU31" si="9">AT4*C4</f>
        <v>39046875</v>
      </c>
      <c r="AV4" s="34" t="s">
        <v>249</v>
      </c>
      <c r="AW4" s="35">
        <v>1980000</v>
      </c>
      <c r="AX4" s="35">
        <f>AW4/60</f>
        <v>33000</v>
      </c>
      <c r="AY4" s="35">
        <f t="shared" ref="AY4:AY35" si="10">AX4*C4</f>
        <v>148500000</v>
      </c>
      <c r="AZ4" s="52" t="s">
        <v>265</v>
      </c>
      <c r="BA4" s="63">
        <v>1100000</v>
      </c>
      <c r="BB4" s="63">
        <f>BA4/50</f>
        <v>22000</v>
      </c>
      <c r="BC4" s="63">
        <f t="shared" ref="BC4:BC35" si="11">BB4*C4</f>
        <v>99000000</v>
      </c>
    </row>
    <row r="5" spans="1:55" x14ac:dyDescent="0.3">
      <c r="A5" s="10">
        <v>2</v>
      </c>
      <c r="B5" s="10" t="s">
        <v>0</v>
      </c>
      <c r="C5" s="10">
        <v>4500</v>
      </c>
      <c r="D5" s="16" t="s">
        <v>169</v>
      </c>
      <c r="E5" s="14">
        <v>4600000</v>
      </c>
      <c r="F5" s="75">
        <f>E5/50</f>
        <v>92000</v>
      </c>
      <c r="G5" s="76">
        <f>F5*C5</f>
        <v>414000000</v>
      </c>
      <c r="H5" s="23" t="s">
        <v>189</v>
      </c>
      <c r="I5" s="25">
        <v>40000000</v>
      </c>
      <c r="J5" s="25">
        <f>I5/1000</f>
        <v>40000</v>
      </c>
      <c r="K5" s="25">
        <f t="shared" si="0"/>
        <v>180000000</v>
      </c>
      <c r="O5" s="30">
        <f t="shared" si="1"/>
        <v>0</v>
      </c>
      <c r="S5" s="40">
        <f t="shared" si="2"/>
        <v>0</v>
      </c>
      <c r="W5" s="48">
        <f t="shared" si="3"/>
        <v>0</v>
      </c>
      <c r="AA5" s="57">
        <f t="shared" si="4"/>
        <v>0</v>
      </c>
      <c r="AE5" s="62">
        <f t="shared" si="5"/>
        <v>0</v>
      </c>
      <c r="AI5" s="12">
        <f t="shared" si="6"/>
        <v>0</v>
      </c>
      <c r="AJ5" s="52" t="s">
        <v>232</v>
      </c>
      <c r="AK5" s="63">
        <v>6914000</v>
      </c>
      <c r="AL5" s="63">
        <f>AK5/96</f>
        <v>72020.833333333328</v>
      </c>
      <c r="AM5" s="63">
        <f t="shared" si="7"/>
        <v>324093750</v>
      </c>
      <c r="AN5" s="67" t="s">
        <v>240</v>
      </c>
      <c r="AO5" s="68">
        <v>1794100</v>
      </c>
      <c r="AP5" s="68">
        <f>AO5/96</f>
        <v>18688.541666666668</v>
      </c>
      <c r="AQ5" s="68">
        <f t="shared" si="8"/>
        <v>84098437.5</v>
      </c>
      <c r="AR5" s="72" t="s">
        <v>227</v>
      </c>
      <c r="AS5" s="73">
        <v>8964500</v>
      </c>
      <c r="AT5" s="73">
        <f>AS5/96</f>
        <v>93380.208333333328</v>
      </c>
      <c r="AU5" s="73">
        <f t="shared" si="9"/>
        <v>420210937.5</v>
      </c>
      <c r="AV5" s="34" t="s">
        <v>250</v>
      </c>
      <c r="AW5" s="35">
        <v>13475000</v>
      </c>
      <c r="AX5" s="35">
        <f>AW5/250</f>
        <v>53900</v>
      </c>
      <c r="AY5" s="35">
        <f t="shared" si="10"/>
        <v>242550000</v>
      </c>
      <c r="AZ5" s="52" t="s">
        <v>270</v>
      </c>
      <c r="BA5" s="63">
        <v>4440000</v>
      </c>
      <c r="BB5" s="63">
        <f>BA5/96</f>
        <v>46250</v>
      </c>
      <c r="BC5" s="63">
        <f t="shared" si="11"/>
        <v>208125000</v>
      </c>
    </row>
    <row r="6" spans="1:55" x14ac:dyDescent="0.3">
      <c r="A6" s="10">
        <v>3</v>
      </c>
      <c r="B6" s="10" t="s">
        <v>1</v>
      </c>
      <c r="C6" s="10">
        <v>2000</v>
      </c>
      <c r="D6" s="16" t="s">
        <v>170</v>
      </c>
      <c r="E6" s="14">
        <v>1994440</v>
      </c>
      <c r="F6" s="75">
        <f>E6/100</f>
        <v>19944.400000000001</v>
      </c>
      <c r="G6" s="76">
        <f>F6*C6</f>
        <v>39888800</v>
      </c>
      <c r="H6" s="23" t="s">
        <v>190</v>
      </c>
      <c r="I6" s="25">
        <v>1309000</v>
      </c>
      <c r="J6" s="25">
        <f>I6/100</f>
        <v>13090</v>
      </c>
      <c r="K6" s="25">
        <f t="shared" si="0"/>
        <v>26180000</v>
      </c>
      <c r="O6" s="30">
        <f t="shared" si="1"/>
        <v>0</v>
      </c>
      <c r="S6" s="40">
        <f t="shared" si="2"/>
        <v>0</v>
      </c>
      <c r="W6" s="48">
        <f t="shared" si="3"/>
        <v>0</v>
      </c>
      <c r="AA6" s="57">
        <f t="shared" si="4"/>
        <v>0</v>
      </c>
      <c r="AE6" s="62">
        <f t="shared" si="5"/>
        <v>0</v>
      </c>
      <c r="AI6" s="12">
        <f t="shared" si="6"/>
        <v>0</v>
      </c>
      <c r="AM6" s="63">
        <f t="shared" si="7"/>
        <v>0</v>
      </c>
      <c r="AQ6" s="68">
        <f t="shared" si="8"/>
        <v>0</v>
      </c>
      <c r="AR6" s="72" t="s">
        <v>230</v>
      </c>
      <c r="AS6" s="73">
        <v>238000</v>
      </c>
      <c r="AT6" s="73">
        <f>AS6/100</f>
        <v>2380</v>
      </c>
      <c r="AU6" s="73">
        <f t="shared" si="9"/>
        <v>4760000</v>
      </c>
      <c r="AV6" s="34" t="s">
        <v>251</v>
      </c>
      <c r="AW6" s="35">
        <v>631831</v>
      </c>
      <c r="AX6" s="35">
        <f>AW6/100</f>
        <v>6318.31</v>
      </c>
      <c r="AY6" s="35">
        <f t="shared" si="10"/>
        <v>12636620</v>
      </c>
      <c r="AZ6" s="52" t="s">
        <v>251</v>
      </c>
      <c r="BA6" s="63">
        <v>1239980</v>
      </c>
      <c r="BB6" s="63">
        <f>BA6/100</f>
        <v>12399.8</v>
      </c>
      <c r="BC6" s="63">
        <f t="shared" si="11"/>
        <v>24799600</v>
      </c>
    </row>
    <row r="7" spans="1:55" x14ac:dyDescent="0.3">
      <c r="A7" s="10">
        <v>4</v>
      </c>
      <c r="B7" s="10" t="s">
        <v>2</v>
      </c>
      <c r="C7" s="10">
        <v>2000</v>
      </c>
      <c r="D7" s="16" t="s">
        <v>171</v>
      </c>
      <c r="E7" s="14">
        <v>17227630</v>
      </c>
      <c r="F7" s="75">
        <f>E7/500</f>
        <v>34455.26</v>
      </c>
      <c r="G7" s="76">
        <f>F7*C7</f>
        <v>68910520</v>
      </c>
      <c r="H7" s="23" t="s">
        <v>191</v>
      </c>
      <c r="I7" s="25">
        <v>129710</v>
      </c>
      <c r="J7" s="25">
        <f>I7/10</f>
        <v>12971</v>
      </c>
      <c r="K7" s="25">
        <f t="shared" si="0"/>
        <v>25942000</v>
      </c>
      <c r="O7" s="30">
        <f t="shared" si="1"/>
        <v>0</v>
      </c>
      <c r="S7" s="40">
        <f t="shared" si="2"/>
        <v>0</v>
      </c>
      <c r="W7" s="48">
        <f t="shared" si="3"/>
        <v>0</v>
      </c>
      <c r="AA7" s="57">
        <f t="shared" si="4"/>
        <v>0</v>
      </c>
      <c r="AE7" s="62">
        <f t="shared" si="5"/>
        <v>0</v>
      </c>
      <c r="AI7" s="12">
        <f t="shared" si="6"/>
        <v>0</v>
      </c>
      <c r="AM7" s="63">
        <f t="shared" si="7"/>
        <v>0</v>
      </c>
      <c r="AN7" s="67" t="s">
        <v>241</v>
      </c>
      <c r="AO7" s="68">
        <v>2404276</v>
      </c>
      <c r="AP7" s="68">
        <f>AO7/50</f>
        <v>48085.52</v>
      </c>
      <c r="AQ7" s="68">
        <f t="shared" si="8"/>
        <v>96171040</v>
      </c>
      <c r="AR7" s="72" t="s">
        <v>245</v>
      </c>
      <c r="AS7" s="73">
        <v>238000</v>
      </c>
      <c r="AT7" s="73">
        <f>AS7/20</f>
        <v>11900</v>
      </c>
      <c r="AU7" s="73">
        <f t="shared" si="9"/>
        <v>23800000</v>
      </c>
      <c r="AV7" s="34" t="s">
        <v>252</v>
      </c>
      <c r="AW7" s="35">
        <v>385263</v>
      </c>
      <c r="AX7" s="35">
        <f>AW7/50</f>
        <v>7705.26</v>
      </c>
      <c r="AY7" s="35">
        <f t="shared" si="10"/>
        <v>15410520</v>
      </c>
      <c r="AZ7" s="52" t="s">
        <v>271</v>
      </c>
      <c r="BA7" s="63">
        <v>148750</v>
      </c>
      <c r="BB7" s="63">
        <f>BA7/10</f>
        <v>14875</v>
      </c>
      <c r="BC7" s="63">
        <f t="shared" si="11"/>
        <v>29750000</v>
      </c>
    </row>
    <row r="8" spans="1:55" x14ac:dyDescent="0.3">
      <c r="A8" s="10">
        <v>5</v>
      </c>
      <c r="B8" s="10" t="s">
        <v>121</v>
      </c>
      <c r="C8" s="10">
        <v>11520</v>
      </c>
      <c r="D8" s="16" t="s">
        <v>172</v>
      </c>
      <c r="E8" s="14">
        <v>523600</v>
      </c>
      <c r="F8" s="75">
        <f>E8/960</f>
        <v>545.41666666666663</v>
      </c>
      <c r="G8" s="76">
        <f>F8*C8</f>
        <v>6283200</v>
      </c>
      <c r="H8" s="23" t="s">
        <v>192</v>
      </c>
      <c r="I8" s="25">
        <v>255850</v>
      </c>
      <c r="J8" s="25">
        <f>I8/960</f>
        <v>266.51041666666669</v>
      </c>
      <c r="K8" s="25">
        <f t="shared" si="0"/>
        <v>3070200</v>
      </c>
      <c r="O8" s="30">
        <f t="shared" si="1"/>
        <v>0</v>
      </c>
      <c r="S8" s="40">
        <f t="shared" si="2"/>
        <v>0</v>
      </c>
      <c r="T8" s="47" t="s">
        <v>215</v>
      </c>
      <c r="U8" s="48">
        <v>428400</v>
      </c>
      <c r="V8" s="48">
        <f>U8/960</f>
        <v>446.25</v>
      </c>
      <c r="W8" s="48">
        <f t="shared" si="3"/>
        <v>5140800</v>
      </c>
      <c r="AA8" s="57">
        <f t="shared" si="4"/>
        <v>0</v>
      </c>
      <c r="AB8" s="61" t="s">
        <v>225</v>
      </c>
      <c r="AC8" s="62">
        <v>245022</v>
      </c>
      <c r="AD8" s="62">
        <f>AC8/960</f>
        <v>255.23124999999999</v>
      </c>
      <c r="AE8" s="62">
        <f t="shared" si="5"/>
        <v>2940264</v>
      </c>
      <c r="AI8" s="12">
        <f t="shared" si="6"/>
        <v>0</v>
      </c>
      <c r="AJ8" s="52" t="s">
        <v>233</v>
      </c>
      <c r="AK8" s="63">
        <v>447440</v>
      </c>
      <c r="AL8" s="63">
        <f>AK8/960</f>
        <v>466.08333333333331</v>
      </c>
      <c r="AM8" s="63">
        <f t="shared" si="7"/>
        <v>5369280</v>
      </c>
      <c r="AQ8" s="68">
        <f t="shared" si="8"/>
        <v>0</v>
      </c>
      <c r="AU8" s="73">
        <f t="shared" si="9"/>
        <v>0</v>
      </c>
      <c r="AV8" s="34" t="s">
        <v>253</v>
      </c>
      <c r="AW8" s="35">
        <v>275664</v>
      </c>
      <c r="AX8" s="35">
        <f>AW8/960</f>
        <v>287.14999999999998</v>
      </c>
      <c r="AY8" s="35">
        <f t="shared" si="10"/>
        <v>3307967.9999999995</v>
      </c>
      <c r="AZ8" s="52" t="s">
        <v>272</v>
      </c>
      <c r="BA8" s="63">
        <v>511700</v>
      </c>
      <c r="BB8" s="63">
        <f>BA8/96</f>
        <v>5330.208333333333</v>
      </c>
      <c r="BC8" s="63">
        <f t="shared" si="11"/>
        <v>61404000</v>
      </c>
    </row>
    <row r="9" spans="1:55" x14ac:dyDescent="0.3">
      <c r="A9" s="10">
        <v>6</v>
      </c>
      <c r="B9" s="10" t="s">
        <v>122</v>
      </c>
      <c r="C9" s="10">
        <v>11520</v>
      </c>
      <c r="D9" s="16" t="s">
        <v>172</v>
      </c>
      <c r="E9" s="14">
        <v>521220</v>
      </c>
      <c r="F9" s="75">
        <f>E9/960</f>
        <v>542.9375</v>
      </c>
      <c r="G9" s="76">
        <f>F9*11520</f>
        <v>6254640</v>
      </c>
      <c r="H9" s="23" t="s">
        <v>192</v>
      </c>
      <c r="I9" s="25">
        <v>255850</v>
      </c>
      <c r="J9" s="25">
        <f>I9/960</f>
        <v>266.51041666666669</v>
      </c>
      <c r="K9" s="25">
        <f t="shared" si="0"/>
        <v>3070200</v>
      </c>
      <c r="O9" s="30">
        <f t="shared" si="1"/>
        <v>0</v>
      </c>
      <c r="S9" s="40">
        <f t="shared" si="2"/>
        <v>0</v>
      </c>
      <c r="W9" s="48">
        <f t="shared" si="3"/>
        <v>0</v>
      </c>
      <c r="AA9" s="57">
        <f t="shared" si="4"/>
        <v>0</v>
      </c>
      <c r="AB9" s="61" t="s">
        <v>225</v>
      </c>
      <c r="AC9" s="62">
        <v>243077.73</v>
      </c>
      <c r="AD9" s="62">
        <f>AC9/960</f>
        <v>253.20596875000001</v>
      </c>
      <c r="AE9" s="62">
        <f t="shared" si="5"/>
        <v>2916932.7600000002</v>
      </c>
      <c r="AF9" s="13" t="s">
        <v>227</v>
      </c>
      <c r="AG9" s="12">
        <v>61880</v>
      </c>
      <c r="AH9" s="12">
        <f>AG9/96</f>
        <v>644.58333333333337</v>
      </c>
      <c r="AI9" s="12">
        <f t="shared" si="6"/>
        <v>7425600</v>
      </c>
      <c r="AJ9" s="52" t="s">
        <v>233</v>
      </c>
      <c r="AK9" s="63">
        <v>472430</v>
      </c>
      <c r="AL9" s="63">
        <f>AK9/960</f>
        <v>492.11458333333331</v>
      </c>
      <c r="AM9" s="63">
        <f t="shared" si="7"/>
        <v>5669160</v>
      </c>
      <c r="AQ9" s="68">
        <f t="shared" si="8"/>
        <v>0</v>
      </c>
      <c r="AU9" s="73">
        <f t="shared" si="9"/>
        <v>0</v>
      </c>
      <c r="AV9" s="34" t="s">
        <v>253</v>
      </c>
      <c r="AW9" s="35">
        <v>275664</v>
      </c>
      <c r="AX9" s="35">
        <f>AW9/960</f>
        <v>287.14999999999998</v>
      </c>
      <c r="AY9" s="35">
        <f t="shared" si="10"/>
        <v>3307967.9999999995</v>
      </c>
      <c r="AZ9" s="52" t="s">
        <v>272</v>
      </c>
      <c r="BA9" s="63">
        <v>500157</v>
      </c>
      <c r="BB9" s="63">
        <f>BA9/96</f>
        <v>5209.96875</v>
      </c>
      <c r="BC9" s="63">
        <f t="shared" si="11"/>
        <v>60018840</v>
      </c>
    </row>
    <row r="10" spans="1:55" x14ac:dyDescent="0.3">
      <c r="A10" s="10">
        <v>7</v>
      </c>
      <c r="B10" s="10" t="s">
        <v>123</v>
      </c>
      <c r="C10" s="10">
        <v>11520</v>
      </c>
      <c r="F10" s="75"/>
      <c r="H10" s="23" t="s">
        <v>192</v>
      </c>
      <c r="I10" s="25">
        <v>320110</v>
      </c>
      <c r="J10" s="25">
        <f>I10/960</f>
        <v>333.44791666666669</v>
      </c>
      <c r="K10" s="25">
        <f t="shared" si="0"/>
        <v>3841320</v>
      </c>
      <c r="O10" s="30">
        <f t="shared" si="1"/>
        <v>0</v>
      </c>
      <c r="S10" s="40">
        <f t="shared" si="2"/>
        <v>0</v>
      </c>
      <c r="T10" s="47" t="s">
        <v>215</v>
      </c>
      <c r="U10" s="48">
        <v>428400</v>
      </c>
      <c r="V10" s="48">
        <f>U10/960</f>
        <v>446.25</v>
      </c>
      <c r="W10" s="48">
        <f t="shared" si="3"/>
        <v>5140800</v>
      </c>
      <c r="AA10" s="57">
        <f t="shared" si="4"/>
        <v>0</v>
      </c>
      <c r="AB10" s="61" t="s">
        <v>225</v>
      </c>
      <c r="AC10" s="62">
        <v>291692</v>
      </c>
      <c r="AD10" s="62">
        <f>AC10/960</f>
        <v>303.84583333333336</v>
      </c>
      <c r="AE10" s="62">
        <f t="shared" si="5"/>
        <v>3500304.0000000005</v>
      </c>
      <c r="AF10" s="13" t="s">
        <v>227</v>
      </c>
      <c r="AG10" s="12">
        <v>61880</v>
      </c>
      <c r="AH10" s="12">
        <f>AG10/96</f>
        <v>644.58333333333337</v>
      </c>
      <c r="AI10" s="12">
        <f t="shared" si="6"/>
        <v>7425600</v>
      </c>
      <c r="AJ10" s="52" t="s">
        <v>234</v>
      </c>
      <c r="AK10" s="63">
        <v>753270</v>
      </c>
      <c r="AL10" s="63">
        <f>AK10/576</f>
        <v>1307.7604166666667</v>
      </c>
      <c r="AM10" s="63">
        <f t="shared" si="7"/>
        <v>15065400</v>
      </c>
      <c r="AQ10" s="68">
        <f t="shared" si="8"/>
        <v>0</v>
      </c>
      <c r="AU10" s="73">
        <f t="shared" si="9"/>
        <v>0</v>
      </c>
      <c r="AV10" s="34" t="s">
        <v>254</v>
      </c>
      <c r="AW10" s="35">
        <v>275664</v>
      </c>
      <c r="AX10" s="35">
        <f>AW10/1000</f>
        <v>275.66399999999999</v>
      </c>
      <c r="AY10" s="35">
        <f t="shared" si="10"/>
        <v>3175649.2799999998</v>
      </c>
      <c r="AZ10" s="52" t="s">
        <v>273</v>
      </c>
      <c r="BA10" s="63">
        <v>214200</v>
      </c>
      <c r="BB10" s="63">
        <f>BA10/1000</f>
        <v>214.2</v>
      </c>
      <c r="BC10" s="63">
        <f t="shared" si="11"/>
        <v>2467584</v>
      </c>
    </row>
    <row r="11" spans="1:55" x14ac:dyDescent="0.3">
      <c r="A11" s="10">
        <v>8</v>
      </c>
      <c r="B11" s="10" t="s">
        <v>3</v>
      </c>
      <c r="C11" s="10">
        <v>5000</v>
      </c>
      <c r="D11" s="16" t="s">
        <v>173</v>
      </c>
      <c r="E11" s="14">
        <v>9964000</v>
      </c>
      <c r="F11" s="75">
        <f>E11/1000</f>
        <v>9964</v>
      </c>
      <c r="G11" s="76">
        <f>F11*C11</f>
        <v>49820000</v>
      </c>
      <c r="H11" s="23" t="s">
        <v>193</v>
      </c>
      <c r="I11" s="25">
        <v>7072000</v>
      </c>
      <c r="J11" s="25">
        <f>I11/2000</f>
        <v>3536</v>
      </c>
      <c r="K11" s="25">
        <f t="shared" si="0"/>
        <v>17680000</v>
      </c>
      <c r="O11" s="30">
        <f t="shared" si="1"/>
        <v>0</v>
      </c>
      <c r="S11" s="40">
        <f t="shared" si="2"/>
        <v>0</v>
      </c>
      <c r="W11" s="48">
        <f t="shared" si="3"/>
        <v>0</v>
      </c>
      <c r="AA11" s="57">
        <f t="shared" si="4"/>
        <v>0</v>
      </c>
      <c r="AE11" s="62">
        <f t="shared" si="5"/>
        <v>0</v>
      </c>
      <c r="AI11" s="12">
        <f t="shared" si="6"/>
        <v>0</v>
      </c>
      <c r="AM11" s="63">
        <f t="shared" si="7"/>
        <v>0</v>
      </c>
      <c r="AN11" s="67" t="s">
        <v>242</v>
      </c>
      <c r="AO11" s="68">
        <v>1657500</v>
      </c>
      <c r="AP11" s="68">
        <f>AO11/100</f>
        <v>16575</v>
      </c>
      <c r="AQ11" s="68">
        <f t="shared" si="8"/>
        <v>82875000</v>
      </c>
      <c r="AU11" s="73">
        <f t="shared" si="9"/>
        <v>0</v>
      </c>
      <c r="AV11" s="34" t="s">
        <v>255</v>
      </c>
      <c r="AW11" s="35">
        <v>6298646</v>
      </c>
      <c r="AX11" s="35">
        <f>AW11/200</f>
        <v>31493.23</v>
      </c>
      <c r="AY11" s="35">
        <f t="shared" si="10"/>
        <v>157466150</v>
      </c>
      <c r="AZ11" s="52" t="s">
        <v>274</v>
      </c>
      <c r="BA11" s="63">
        <v>11759600</v>
      </c>
      <c r="BB11" s="63">
        <f>BA11/2500</f>
        <v>4703.84</v>
      </c>
      <c r="BC11" s="63">
        <f t="shared" si="11"/>
        <v>23519200</v>
      </c>
    </row>
    <row r="12" spans="1:55" x14ac:dyDescent="0.3">
      <c r="A12" s="10">
        <v>9</v>
      </c>
      <c r="B12" s="10" t="s">
        <v>4</v>
      </c>
      <c r="C12" s="10">
        <v>20000</v>
      </c>
      <c r="F12" s="75"/>
      <c r="H12" s="23" t="s">
        <v>194</v>
      </c>
      <c r="I12" s="25">
        <v>83300</v>
      </c>
      <c r="J12" s="25">
        <f>I12/500</f>
        <v>166.6</v>
      </c>
      <c r="K12" s="25">
        <f t="shared" si="0"/>
        <v>3332000</v>
      </c>
      <c r="O12" s="30">
        <f t="shared" si="1"/>
        <v>0</v>
      </c>
      <c r="S12" s="40">
        <f t="shared" si="2"/>
        <v>0</v>
      </c>
      <c r="T12" s="47" t="s">
        <v>216</v>
      </c>
      <c r="U12" s="48">
        <v>595000</v>
      </c>
      <c r="V12" s="48">
        <f>U12/500</f>
        <v>1190</v>
      </c>
      <c r="W12" s="48">
        <f t="shared" si="3"/>
        <v>23800000</v>
      </c>
      <c r="X12" s="56" t="s">
        <v>220</v>
      </c>
      <c r="Y12" s="57">
        <v>27370</v>
      </c>
      <c r="Z12" s="57">
        <f>Y12/500</f>
        <v>54.74</v>
      </c>
      <c r="AA12" s="57">
        <f t="shared" si="4"/>
        <v>1094800</v>
      </c>
      <c r="AB12" s="61" t="s">
        <v>223</v>
      </c>
      <c r="AC12" s="62">
        <v>37049</v>
      </c>
      <c r="AD12" s="62">
        <f>AC12/500</f>
        <v>74.097999999999999</v>
      </c>
      <c r="AE12" s="62">
        <f t="shared" si="5"/>
        <v>1481960</v>
      </c>
      <c r="AF12" s="13" t="s">
        <v>228</v>
      </c>
      <c r="AG12" s="12">
        <v>71400</v>
      </c>
      <c r="AH12" s="12">
        <f>AG12/500</f>
        <v>142.80000000000001</v>
      </c>
      <c r="AI12" s="12">
        <f t="shared" si="6"/>
        <v>2856000</v>
      </c>
      <c r="AJ12" s="52" t="s">
        <v>235</v>
      </c>
      <c r="AK12" s="63">
        <v>92855</v>
      </c>
      <c r="AL12" s="63">
        <f>AK12/500</f>
        <v>185.71</v>
      </c>
      <c r="AM12" s="63">
        <f t="shared" si="7"/>
        <v>3714200</v>
      </c>
      <c r="AQ12" s="68">
        <f t="shared" si="8"/>
        <v>0</v>
      </c>
      <c r="AU12" s="73">
        <f t="shared" si="9"/>
        <v>0</v>
      </c>
      <c r="AV12" s="34" t="s">
        <v>235</v>
      </c>
      <c r="AW12" s="35">
        <v>43030</v>
      </c>
      <c r="AX12" s="35">
        <f>AW12/500</f>
        <v>86.06</v>
      </c>
      <c r="AY12" s="35">
        <f t="shared" si="10"/>
        <v>1721200</v>
      </c>
      <c r="AZ12" s="52" t="s">
        <v>235</v>
      </c>
      <c r="BA12" s="63">
        <v>97580</v>
      </c>
      <c r="BB12" s="63">
        <f>BA12/500</f>
        <v>195.16</v>
      </c>
      <c r="BC12" s="63">
        <f t="shared" si="11"/>
        <v>3903200</v>
      </c>
    </row>
    <row r="13" spans="1:55" x14ac:dyDescent="0.3">
      <c r="A13" s="10">
        <v>10</v>
      </c>
      <c r="B13" s="10" t="s">
        <v>16</v>
      </c>
      <c r="C13" s="10">
        <v>9</v>
      </c>
      <c r="D13" s="16" t="s">
        <v>174</v>
      </c>
      <c r="E13" s="14">
        <v>251090</v>
      </c>
      <c r="F13" s="75">
        <f>E13/500</f>
        <v>502.18</v>
      </c>
      <c r="G13" s="76">
        <f>F13*9000</f>
        <v>4519620</v>
      </c>
      <c r="H13" s="23" t="s">
        <v>195</v>
      </c>
      <c r="I13" s="25">
        <v>139230</v>
      </c>
      <c r="J13" s="25">
        <f>I13/500</f>
        <v>278.45999999999998</v>
      </c>
      <c r="K13" s="25">
        <f t="shared" si="0"/>
        <v>2506.14</v>
      </c>
      <c r="O13" s="30">
        <f t="shared" si="1"/>
        <v>0</v>
      </c>
      <c r="S13" s="40">
        <f t="shared" si="2"/>
        <v>0</v>
      </c>
      <c r="W13" s="48">
        <f t="shared" si="3"/>
        <v>0</v>
      </c>
      <c r="AA13" s="57">
        <f t="shared" si="4"/>
        <v>0</v>
      </c>
      <c r="AE13" s="62">
        <f t="shared" si="5"/>
        <v>0</v>
      </c>
      <c r="AI13" s="12">
        <f t="shared" si="6"/>
        <v>0</v>
      </c>
      <c r="AM13" s="63">
        <f t="shared" si="7"/>
        <v>0</v>
      </c>
      <c r="AQ13" s="68">
        <f t="shared" si="8"/>
        <v>0</v>
      </c>
      <c r="AU13" s="73">
        <f t="shared" si="9"/>
        <v>0</v>
      </c>
      <c r="AY13" s="35">
        <f t="shared" si="10"/>
        <v>0</v>
      </c>
      <c r="AZ13" s="52" t="s">
        <v>217</v>
      </c>
      <c r="BA13" s="63">
        <v>285600</v>
      </c>
      <c r="BB13" s="63">
        <f>BA13/500</f>
        <v>571.20000000000005</v>
      </c>
      <c r="BC13" s="63">
        <f t="shared" si="11"/>
        <v>5140.8</v>
      </c>
    </row>
    <row r="14" spans="1:55" x14ac:dyDescent="0.3">
      <c r="A14" s="10">
        <v>11</v>
      </c>
      <c r="B14" s="10" t="s">
        <v>119</v>
      </c>
      <c r="C14" s="10">
        <v>500</v>
      </c>
      <c r="D14" s="77" t="s">
        <v>174</v>
      </c>
      <c r="E14" s="14">
        <v>4067000</v>
      </c>
      <c r="F14" s="75">
        <f>E14/500</f>
        <v>8134</v>
      </c>
      <c r="G14" s="76">
        <f>F14*C14</f>
        <v>4067000</v>
      </c>
      <c r="H14" s="23" t="s">
        <v>195</v>
      </c>
      <c r="I14" s="25">
        <v>1200000</v>
      </c>
      <c r="J14" s="25">
        <f>I14/500</f>
        <v>2400</v>
      </c>
      <c r="K14" s="25">
        <f t="shared" si="0"/>
        <v>1200000</v>
      </c>
      <c r="O14" s="30">
        <f t="shared" si="1"/>
        <v>0</v>
      </c>
      <c r="S14" s="40">
        <f t="shared" si="2"/>
        <v>0</v>
      </c>
      <c r="T14" s="47" t="s">
        <v>217</v>
      </c>
      <c r="U14" s="48">
        <v>913000</v>
      </c>
      <c r="V14" s="48">
        <f>U14/500</f>
        <v>1826</v>
      </c>
      <c r="W14" s="48">
        <f t="shared" si="3"/>
        <v>913000</v>
      </c>
      <c r="AA14" s="57">
        <f t="shared" si="4"/>
        <v>0</v>
      </c>
      <c r="AE14" s="62">
        <f t="shared" si="5"/>
        <v>0</v>
      </c>
      <c r="AI14" s="12">
        <f t="shared" si="6"/>
        <v>0</v>
      </c>
      <c r="AM14" s="63">
        <f t="shared" si="7"/>
        <v>0</v>
      </c>
      <c r="AQ14" s="68">
        <f t="shared" si="8"/>
        <v>0</v>
      </c>
      <c r="AU14" s="73">
        <f t="shared" si="9"/>
        <v>0</v>
      </c>
      <c r="AY14" s="35">
        <f t="shared" si="10"/>
        <v>0</v>
      </c>
      <c r="AZ14" s="52" t="s">
        <v>275</v>
      </c>
      <c r="BA14" s="63">
        <v>1300000</v>
      </c>
      <c r="BB14" s="63">
        <f>BA14/500</f>
        <v>2600</v>
      </c>
      <c r="BC14" s="63">
        <f t="shared" si="11"/>
        <v>1300000</v>
      </c>
    </row>
    <row r="15" spans="1:55" x14ac:dyDescent="0.3">
      <c r="A15" s="10">
        <v>12</v>
      </c>
      <c r="B15" s="10" t="s">
        <v>117</v>
      </c>
      <c r="C15" s="10">
        <v>20</v>
      </c>
      <c r="D15" s="77" t="s">
        <v>175</v>
      </c>
      <c r="E15" s="14">
        <v>258000</v>
      </c>
      <c r="F15" s="75">
        <f>E15/20</f>
        <v>12900</v>
      </c>
      <c r="G15" s="76">
        <f>F15*C15</f>
        <v>258000</v>
      </c>
      <c r="H15" s="23" t="s">
        <v>196</v>
      </c>
      <c r="I15" s="25">
        <v>514080</v>
      </c>
      <c r="J15" s="25">
        <f>I15/20</f>
        <v>25704</v>
      </c>
      <c r="K15" s="25">
        <f t="shared" si="0"/>
        <v>514080</v>
      </c>
      <c r="O15" s="30">
        <f t="shared" si="1"/>
        <v>0</v>
      </c>
      <c r="S15" s="40">
        <f t="shared" si="2"/>
        <v>0</v>
      </c>
      <c r="W15" s="48">
        <f t="shared" si="3"/>
        <v>0</v>
      </c>
      <c r="AA15" s="57">
        <f t="shared" si="4"/>
        <v>0</v>
      </c>
      <c r="AE15" s="62">
        <f t="shared" si="5"/>
        <v>0</v>
      </c>
      <c r="AI15" s="12">
        <f t="shared" si="6"/>
        <v>0</v>
      </c>
      <c r="AM15" s="63">
        <f t="shared" si="7"/>
        <v>0</v>
      </c>
      <c r="AQ15" s="68">
        <f t="shared" si="8"/>
        <v>0</v>
      </c>
      <c r="AU15" s="73">
        <f t="shared" si="9"/>
        <v>0</v>
      </c>
      <c r="AV15" s="34" t="s">
        <v>256</v>
      </c>
      <c r="AW15" s="35">
        <v>160650</v>
      </c>
      <c r="AX15" s="35">
        <f>AW15/10</f>
        <v>16065</v>
      </c>
      <c r="AY15" s="35">
        <f t="shared" si="10"/>
        <v>321300</v>
      </c>
      <c r="BC15" s="63">
        <f t="shared" si="11"/>
        <v>0</v>
      </c>
    </row>
    <row r="16" spans="1:55" x14ac:dyDescent="0.3">
      <c r="A16" s="10">
        <v>13</v>
      </c>
      <c r="B16" s="10" t="s">
        <v>118</v>
      </c>
      <c r="C16" s="10">
        <v>20</v>
      </c>
      <c r="D16" s="16" t="s">
        <v>176</v>
      </c>
      <c r="E16" s="14">
        <v>446000</v>
      </c>
      <c r="F16" s="75">
        <f>E16/10</f>
        <v>44600</v>
      </c>
      <c r="G16" s="76">
        <f>F16*20</f>
        <v>892000</v>
      </c>
      <c r="H16" s="23" t="s">
        <v>197</v>
      </c>
      <c r="I16" s="25">
        <v>1186430</v>
      </c>
      <c r="J16" s="25">
        <f>I16/5</f>
        <v>237286</v>
      </c>
      <c r="K16" s="25">
        <f t="shared" si="0"/>
        <v>4745720</v>
      </c>
      <c r="O16" s="30">
        <f t="shared" si="1"/>
        <v>0</v>
      </c>
      <c r="S16" s="40">
        <f t="shared" si="2"/>
        <v>0</v>
      </c>
      <c r="W16" s="48">
        <f t="shared" si="3"/>
        <v>0</v>
      </c>
      <c r="AA16" s="57">
        <f t="shared" si="4"/>
        <v>0</v>
      </c>
      <c r="AE16" s="62">
        <f t="shared" si="5"/>
        <v>0</v>
      </c>
      <c r="AI16" s="12">
        <f t="shared" si="6"/>
        <v>0</v>
      </c>
      <c r="AM16" s="63">
        <f t="shared" si="7"/>
        <v>0</v>
      </c>
      <c r="AQ16" s="68">
        <f t="shared" si="8"/>
        <v>0</v>
      </c>
      <c r="AU16" s="73">
        <f t="shared" si="9"/>
        <v>0</v>
      </c>
      <c r="AV16" s="34" t="s">
        <v>257</v>
      </c>
      <c r="AW16" s="35">
        <v>631831</v>
      </c>
      <c r="AX16" s="35">
        <f>AW16/10</f>
        <v>63183.1</v>
      </c>
      <c r="AY16" s="35">
        <f t="shared" si="10"/>
        <v>1263662</v>
      </c>
      <c r="AZ16" s="52" t="s">
        <v>276</v>
      </c>
      <c r="BA16" s="63">
        <v>380800</v>
      </c>
      <c r="BB16" s="63">
        <f>BA16/1</f>
        <v>380800</v>
      </c>
      <c r="BC16" s="63">
        <f t="shared" si="11"/>
        <v>7616000</v>
      </c>
    </row>
    <row r="17" spans="1:55" x14ac:dyDescent="0.3">
      <c r="A17" s="10">
        <v>14</v>
      </c>
      <c r="B17" s="10" t="s">
        <v>7</v>
      </c>
      <c r="C17" s="10">
        <v>100</v>
      </c>
      <c r="D17" s="16" t="s">
        <v>177</v>
      </c>
      <c r="E17" s="14">
        <v>218960</v>
      </c>
      <c r="F17" s="75">
        <f>E17/5</f>
        <v>43792</v>
      </c>
      <c r="G17" s="76">
        <f>F17*C17</f>
        <v>4379200</v>
      </c>
      <c r="H17" s="23" t="s">
        <v>198</v>
      </c>
      <c r="I17" s="25">
        <v>14280</v>
      </c>
      <c r="J17" s="25">
        <f>I17/1</f>
        <v>14280</v>
      </c>
      <c r="K17" s="25">
        <f t="shared" si="0"/>
        <v>1428000</v>
      </c>
      <c r="O17" s="30">
        <f t="shared" si="1"/>
        <v>0</v>
      </c>
      <c r="S17" s="40">
        <f t="shared" si="2"/>
        <v>0</v>
      </c>
      <c r="T17" s="47" t="s">
        <v>218</v>
      </c>
      <c r="U17" s="48">
        <v>21182</v>
      </c>
      <c r="V17" s="48">
        <f>U17/1</f>
        <v>21182</v>
      </c>
      <c r="W17" s="48">
        <f t="shared" si="3"/>
        <v>2118200</v>
      </c>
      <c r="X17" s="56" t="s">
        <v>218</v>
      </c>
      <c r="Y17" s="57">
        <v>19587.400000000001</v>
      </c>
      <c r="Z17" s="57">
        <f>Y17/1</f>
        <v>19587.400000000001</v>
      </c>
      <c r="AA17" s="57">
        <f t="shared" si="4"/>
        <v>1958740.0000000002</v>
      </c>
      <c r="AB17" s="61" t="s">
        <v>218</v>
      </c>
      <c r="AC17" s="62">
        <v>38080</v>
      </c>
      <c r="AD17" s="62">
        <f>AC17/1</f>
        <v>38080</v>
      </c>
      <c r="AE17" s="62">
        <f t="shared" si="5"/>
        <v>3808000</v>
      </c>
      <c r="AI17" s="12">
        <f t="shared" si="6"/>
        <v>0</v>
      </c>
      <c r="AJ17" s="52" t="s">
        <v>236</v>
      </c>
      <c r="AK17" s="63">
        <v>105910</v>
      </c>
      <c r="AL17" s="63">
        <f>AK17/8</f>
        <v>13238.75</v>
      </c>
      <c r="AM17" s="63">
        <f t="shared" si="7"/>
        <v>1323875</v>
      </c>
      <c r="AQ17" s="68">
        <f t="shared" si="8"/>
        <v>0</v>
      </c>
      <c r="AU17" s="73">
        <f t="shared" si="9"/>
        <v>0</v>
      </c>
      <c r="AV17" s="34" t="s">
        <v>258</v>
      </c>
      <c r="AW17" s="35">
        <v>126366</v>
      </c>
      <c r="AX17" s="35">
        <f>AW17/5</f>
        <v>25273.200000000001</v>
      </c>
      <c r="AY17" s="35">
        <f t="shared" si="10"/>
        <v>2527320</v>
      </c>
      <c r="AZ17" s="52" t="s">
        <v>246</v>
      </c>
      <c r="BA17" s="63">
        <v>14994</v>
      </c>
      <c r="BB17" s="63">
        <f>BA17/1</f>
        <v>14994</v>
      </c>
      <c r="BC17" s="63">
        <f t="shared" si="11"/>
        <v>1499400</v>
      </c>
    </row>
    <row r="18" spans="1:55" x14ac:dyDescent="0.3">
      <c r="A18" s="10">
        <v>15</v>
      </c>
      <c r="B18" s="10" t="s">
        <v>11</v>
      </c>
      <c r="C18" s="10">
        <v>5000</v>
      </c>
      <c r="F18" s="75"/>
      <c r="K18" s="25">
        <f t="shared" si="0"/>
        <v>0</v>
      </c>
      <c r="O18" s="30">
        <f t="shared" si="1"/>
        <v>0</v>
      </c>
      <c r="S18" s="40">
        <f t="shared" si="2"/>
        <v>0</v>
      </c>
      <c r="W18" s="48">
        <f t="shared" si="3"/>
        <v>0</v>
      </c>
      <c r="AA18" s="57">
        <f t="shared" si="4"/>
        <v>0</v>
      </c>
      <c r="AE18" s="62">
        <f t="shared" si="5"/>
        <v>0</v>
      </c>
      <c r="AI18" s="12">
        <f t="shared" si="6"/>
        <v>0</v>
      </c>
      <c r="AM18" s="63">
        <f t="shared" si="7"/>
        <v>0</v>
      </c>
      <c r="AQ18" s="68">
        <f t="shared" si="8"/>
        <v>0</v>
      </c>
      <c r="AU18" s="73">
        <f t="shared" si="9"/>
        <v>0</v>
      </c>
      <c r="AV18" s="34" t="s">
        <v>259</v>
      </c>
      <c r="AW18" s="35">
        <v>4643808</v>
      </c>
      <c r="AX18" s="35">
        <f>AW18/200</f>
        <v>23219.040000000001</v>
      </c>
      <c r="AY18" s="35">
        <f t="shared" si="10"/>
        <v>116095200</v>
      </c>
      <c r="AZ18" s="52" t="s">
        <v>277</v>
      </c>
      <c r="BA18" s="63">
        <v>9424800</v>
      </c>
      <c r="BB18" s="63">
        <f>BA18/2500</f>
        <v>3769.92</v>
      </c>
      <c r="BC18" s="63">
        <f t="shared" si="11"/>
        <v>18849600</v>
      </c>
    </row>
    <row r="19" spans="1:55" x14ac:dyDescent="0.3">
      <c r="A19" s="10">
        <v>16</v>
      </c>
      <c r="B19" s="10" t="s">
        <v>13</v>
      </c>
      <c r="C19" s="10">
        <v>72</v>
      </c>
      <c r="D19" s="16" t="s">
        <v>178</v>
      </c>
      <c r="E19" s="14">
        <v>1606500</v>
      </c>
      <c r="F19" s="75">
        <f>E19/6.25</f>
        <v>257040</v>
      </c>
      <c r="G19" s="76">
        <f>F19*C19</f>
        <v>18506880</v>
      </c>
      <c r="H19" s="23" t="s">
        <v>199</v>
      </c>
      <c r="I19" s="25">
        <v>312970</v>
      </c>
      <c r="J19" s="25">
        <f>I19/20</f>
        <v>15648.5</v>
      </c>
      <c r="K19" s="25">
        <f t="shared" si="0"/>
        <v>1126692</v>
      </c>
      <c r="O19" s="30">
        <f t="shared" si="1"/>
        <v>0</v>
      </c>
      <c r="S19" s="40">
        <f t="shared" si="2"/>
        <v>0</v>
      </c>
      <c r="W19" s="48">
        <f t="shared" si="3"/>
        <v>0</v>
      </c>
      <c r="AA19" s="57">
        <f t="shared" si="4"/>
        <v>0</v>
      </c>
      <c r="AE19" s="62">
        <f t="shared" si="5"/>
        <v>0</v>
      </c>
      <c r="AI19" s="12">
        <f t="shared" si="6"/>
        <v>0</v>
      </c>
      <c r="AM19" s="63">
        <f t="shared" si="7"/>
        <v>0</v>
      </c>
      <c r="AQ19" s="68">
        <f t="shared" si="8"/>
        <v>0</v>
      </c>
      <c r="AU19" s="73">
        <f t="shared" si="9"/>
        <v>0</v>
      </c>
      <c r="AV19" s="34" t="s">
        <v>260</v>
      </c>
      <c r="AW19" s="35">
        <v>897974</v>
      </c>
      <c r="AX19" s="35">
        <f>AW19/2</f>
        <v>448987</v>
      </c>
      <c r="AY19" s="35">
        <f t="shared" si="10"/>
        <v>32327064</v>
      </c>
      <c r="AZ19" s="52" t="s">
        <v>260</v>
      </c>
      <c r="BA19" s="63">
        <v>497420</v>
      </c>
      <c r="BC19" s="63">
        <f t="shared" si="11"/>
        <v>0</v>
      </c>
    </row>
    <row r="20" spans="1:55" x14ac:dyDescent="0.3">
      <c r="A20" s="10">
        <v>17</v>
      </c>
      <c r="B20" s="10" t="s">
        <v>17</v>
      </c>
      <c r="C20" s="10">
        <v>1</v>
      </c>
      <c r="F20" s="75"/>
      <c r="K20" s="25">
        <f t="shared" si="0"/>
        <v>0</v>
      </c>
      <c r="O20" s="30">
        <f t="shared" si="1"/>
        <v>0</v>
      </c>
      <c r="S20" s="40">
        <f t="shared" si="2"/>
        <v>0</v>
      </c>
      <c r="W20" s="48">
        <f t="shared" si="3"/>
        <v>0</v>
      </c>
      <c r="AA20" s="57">
        <f t="shared" si="4"/>
        <v>0</v>
      </c>
      <c r="AE20" s="62">
        <f t="shared" si="5"/>
        <v>0</v>
      </c>
      <c r="AI20" s="12">
        <f t="shared" si="6"/>
        <v>0</v>
      </c>
      <c r="AM20" s="63">
        <f t="shared" si="7"/>
        <v>0</v>
      </c>
      <c r="AQ20" s="68">
        <f t="shared" si="8"/>
        <v>0</v>
      </c>
      <c r="AU20" s="73">
        <f t="shared" si="9"/>
        <v>0</v>
      </c>
      <c r="AY20" s="35">
        <f t="shared" si="10"/>
        <v>0</v>
      </c>
      <c r="BC20" s="63">
        <f t="shared" si="11"/>
        <v>0</v>
      </c>
    </row>
    <row r="21" spans="1:55" x14ac:dyDescent="0.3">
      <c r="A21" s="10">
        <v>18</v>
      </c>
      <c r="B21" s="10" t="s">
        <v>20</v>
      </c>
      <c r="C21" s="10">
        <v>1</v>
      </c>
      <c r="F21" s="75"/>
      <c r="K21" s="25">
        <f t="shared" si="0"/>
        <v>0</v>
      </c>
      <c r="O21" s="30">
        <f t="shared" si="1"/>
        <v>0</v>
      </c>
      <c r="S21" s="40">
        <f t="shared" si="2"/>
        <v>0</v>
      </c>
      <c r="W21" s="48">
        <f t="shared" si="3"/>
        <v>0</v>
      </c>
      <c r="AA21" s="57">
        <f t="shared" si="4"/>
        <v>0</v>
      </c>
      <c r="AE21" s="62">
        <f t="shared" si="5"/>
        <v>0</v>
      </c>
      <c r="AI21" s="12">
        <f t="shared" si="6"/>
        <v>0</v>
      </c>
      <c r="AM21" s="63">
        <f t="shared" si="7"/>
        <v>0</v>
      </c>
      <c r="AQ21" s="68">
        <f t="shared" si="8"/>
        <v>0</v>
      </c>
      <c r="AU21" s="73">
        <f t="shared" si="9"/>
        <v>0</v>
      </c>
      <c r="AY21" s="35">
        <f t="shared" si="10"/>
        <v>0</v>
      </c>
      <c r="BC21" s="63">
        <f t="shared" si="11"/>
        <v>0</v>
      </c>
    </row>
    <row r="22" spans="1:55" x14ac:dyDescent="0.3">
      <c r="A22" s="10">
        <v>19</v>
      </c>
      <c r="B22" s="10" t="s">
        <v>22</v>
      </c>
      <c r="C22" s="10">
        <v>60</v>
      </c>
      <c r="F22" s="75"/>
      <c r="K22" s="25">
        <f t="shared" si="0"/>
        <v>0</v>
      </c>
      <c r="O22" s="30">
        <f t="shared" si="1"/>
        <v>0</v>
      </c>
      <c r="S22" s="40">
        <f t="shared" si="2"/>
        <v>0</v>
      </c>
      <c r="W22" s="48">
        <f t="shared" si="3"/>
        <v>0</v>
      </c>
      <c r="AA22" s="57">
        <f t="shared" si="4"/>
        <v>0</v>
      </c>
      <c r="AB22" s="61" t="s">
        <v>302</v>
      </c>
      <c r="AC22" s="62">
        <v>8057325</v>
      </c>
      <c r="AD22" s="62">
        <f>AC22/60</f>
        <v>134288.75</v>
      </c>
      <c r="AE22" s="62">
        <f t="shared" si="5"/>
        <v>8057325</v>
      </c>
      <c r="AI22" s="12">
        <f t="shared" si="6"/>
        <v>0</v>
      </c>
      <c r="AM22" s="63">
        <f t="shared" si="7"/>
        <v>0</v>
      </c>
      <c r="AQ22" s="68">
        <f t="shared" si="8"/>
        <v>0</v>
      </c>
      <c r="AU22" s="73">
        <f t="shared" si="9"/>
        <v>0</v>
      </c>
      <c r="AY22" s="35">
        <f t="shared" si="10"/>
        <v>0</v>
      </c>
      <c r="BC22" s="63">
        <f t="shared" si="11"/>
        <v>0</v>
      </c>
    </row>
    <row r="23" spans="1:55" x14ac:dyDescent="0.3">
      <c r="A23" s="10">
        <v>20</v>
      </c>
      <c r="B23" s="10" t="s">
        <v>25</v>
      </c>
      <c r="C23" s="10">
        <v>60</v>
      </c>
      <c r="F23" s="75"/>
      <c r="H23" s="23" t="s">
        <v>200</v>
      </c>
      <c r="I23" s="25">
        <v>4195940</v>
      </c>
      <c r="J23" s="25">
        <f>I23/50</f>
        <v>83918.8</v>
      </c>
      <c r="K23" s="25">
        <f t="shared" si="0"/>
        <v>5035128</v>
      </c>
      <c r="O23" s="30">
        <f t="shared" si="1"/>
        <v>0</v>
      </c>
      <c r="S23" s="40">
        <f t="shared" si="2"/>
        <v>0</v>
      </c>
      <c r="W23" s="48">
        <f t="shared" si="3"/>
        <v>0</v>
      </c>
      <c r="AA23" s="57">
        <f t="shared" si="4"/>
        <v>0</v>
      </c>
      <c r="AE23" s="62">
        <f t="shared" si="5"/>
        <v>0</v>
      </c>
      <c r="AI23" s="12">
        <f t="shared" si="6"/>
        <v>0</v>
      </c>
      <c r="AM23" s="63">
        <f t="shared" si="7"/>
        <v>0</v>
      </c>
      <c r="AQ23" s="68">
        <f t="shared" si="8"/>
        <v>0</v>
      </c>
      <c r="AU23" s="73">
        <f t="shared" si="9"/>
        <v>0</v>
      </c>
      <c r="AV23" s="34" t="s">
        <v>261</v>
      </c>
      <c r="AW23" s="35">
        <v>346590</v>
      </c>
      <c r="AY23" s="35">
        <f t="shared" si="10"/>
        <v>0</v>
      </c>
      <c r="BC23" s="63">
        <f t="shared" si="11"/>
        <v>0</v>
      </c>
    </row>
    <row r="24" spans="1:55" x14ac:dyDescent="0.3">
      <c r="A24" s="10">
        <v>21</v>
      </c>
      <c r="B24" s="10" t="s">
        <v>28</v>
      </c>
      <c r="C24" s="10">
        <v>1000</v>
      </c>
      <c r="D24" s="16" t="s">
        <v>179</v>
      </c>
      <c r="E24" s="14">
        <v>1889720</v>
      </c>
      <c r="F24" s="75">
        <f>E24/200</f>
        <v>9448.6</v>
      </c>
      <c r="G24" s="76">
        <f>F24*1000</f>
        <v>9448600</v>
      </c>
      <c r="K24" s="25">
        <f t="shared" si="0"/>
        <v>0</v>
      </c>
      <c r="O24" s="30">
        <f t="shared" si="1"/>
        <v>0</v>
      </c>
      <c r="S24" s="40">
        <f t="shared" si="2"/>
        <v>0</v>
      </c>
      <c r="W24" s="48">
        <f t="shared" si="3"/>
        <v>0</v>
      </c>
      <c r="AA24" s="57">
        <f t="shared" si="4"/>
        <v>0</v>
      </c>
      <c r="AE24" s="62">
        <f t="shared" si="5"/>
        <v>0</v>
      </c>
      <c r="AI24" s="12">
        <f t="shared" si="6"/>
        <v>0</v>
      </c>
      <c r="AM24" s="63">
        <f t="shared" si="7"/>
        <v>0</v>
      </c>
      <c r="AQ24" s="68">
        <f t="shared" si="8"/>
        <v>0</v>
      </c>
      <c r="AU24" s="73">
        <f t="shared" si="9"/>
        <v>0</v>
      </c>
      <c r="AV24" s="34" t="s">
        <v>255</v>
      </c>
      <c r="AW24" s="35">
        <v>513128</v>
      </c>
      <c r="AX24" s="35">
        <f>AW24/200</f>
        <v>2565.64</v>
      </c>
      <c r="AY24" s="35">
        <f t="shared" si="10"/>
        <v>2565640</v>
      </c>
      <c r="AZ24" s="52" t="s">
        <v>278</v>
      </c>
      <c r="BA24" s="63">
        <v>3220711</v>
      </c>
      <c r="BB24" s="63">
        <f>BA24/500</f>
        <v>6441.4219999999996</v>
      </c>
      <c r="BC24" s="63">
        <f t="shared" si="11"/>
        <v>6441422</v>
      </c>
    </row>
    <row r="25" spans="1:55" x14ac:dyDescent="0.3">
      <c r="A25" s="10">
        <v>22</v>
      </c>
      <c r="B25" s="10" t="s">
        <v>31</v>
      </c>
      <c r="C25" s="10">
        <v>48</v>
      </c>
      <c r="D25" s="16" t="s">
        <v>180</v>
      </c>
      <c r="E25" s="14">
        <v>1990870</v>
      </c>
      <c r="F25" s="75">
        <f>E25/50</f>
        <v>39817.4</v>
      </c>
      <c r="G25" s="76">
        <f>F25*C25</f>
        <v>1911235.2000000002</v>
      </c>
      <c r="K25" s="25">
        <f t="shared" si="0"/>
        <v>0</v>
      </c>
      <c r="O25" s="30">
        <f t="shared" si="1"/>
        <v>0</v>
      </c>
      <c r="S25" s="40">
        <f t="shared" si="2"/>
        <v>0</v>
      </c>
      <c r="W25" s="48">
        <f t="shared" si="3"/>
        <v>0</v>
      </c>
      <c r="AA25" s="57">
        <f t="shared" si="4"/>
        <v>0</v>
      </c>
      <c r="AE25" s="62">
        <f t="shared" si="5"/>
        <v>0</v>
      </c>
      <c r="AI25" s="12">
        <f t="shared" si="6"/>
        <v>0</v>
      </c>
      <c r="AM25" s="63">
        <f t="shared" si="7"/>
        <v>0</v>
      </c>
      <c r="AQ25" s="68">
        <f t="shared" si="8"/>
        <v>0</v>
      </c>
      <c r="AU25" s="73">
        <f t="shared" si="9"/>
        <v>0</v>
      </c>
      <c r="AY25" s="35">
        <f t="shared" si="10"/>
        <v>0</v>
      </c>
      <c r="AZ25" s="52" t="s">
        <v>279</v>
      </c>
      <c r="BA25" s="63">
        <v>4372250</v>
      </c>
      <c r="BB25" s="63">
        <f>BA25/24</f>
        <v>182177.08333333334</v>
      </c>
      <c r="BC25" s="63">
        <f t="shared" si="11"/>
        <v>8744500</v>
      </c>
    </row>
    <row r="26" spans="1:55" x14ac:dyDescent="0.3">
      <c r="A26" s="10">
        <v>23</v>
      </c>
      <c r="B26" s="10" t="s">
        <v>33</v>
      </c>
      <c r="C26" s="10">
        <v>48</v>
      </c>
      <c r="F26" s="75"/>
      <c r="K26" s="25">
        <f t="shared" si="0"/>
        <v>0</v>
      </c>
      <c r="O26" s="30">
        <f t="shared" si="1"/>
        <v>0</v>
      </c>
      <c r="S26" s="40">
        <f t="shared" si="2"/>
        <v>0</v>
      </c>
      <c r="W26" s="48">
        <f t="shared" si="3"/>
        <v>0</v>
      </c>
      <c r="AA26" s="57">
        <f t="shared" si="4"/>
        <v>0</v>
      </c>
      <c r="AE26" s="62">
        <f t="shared" si="5"/>
        <v>0</v>
      </c>
      <c r="AI26" s="12">
        <f t="shared" si="6"/>
        <v>0</v>
      </c>
      <c r="AM26" s="63">
        <f t="shared" si="7"/>
        <v>0</v>
      </c>
      <c r="AQ26" s="68">
        <f t="shared" si="8"/>
        <v>0</v>
      </c>
      <c r="AU26" s="73">
        <f t="shared" si="9"/>
        <v>0</v>
      </c>
      <c r="AY26" s="35">
        <f t="shared" si="10"/>
        <v>0</v>
      </c>
      <c r="AZ26" s="52" t="s">
        <v>279</v>
      </c>
      <c r="BA26" s="63">
        <v>7197120</v>
      </c>
      <c r="BB26" s="63">
        <f>BA26/24</f>
        <v>299880</v>
      </c>
      <c r="BC26" s="63">
        <f t="shared" si="11"/>
        <v>14394240</v>
      </c>
    </row>
    <row r="27" spans="1:55" x14ac:dyDescent="0.3">
      <c r="A27" s="10">
        <v>24</v>
      </c>
      <c r="B27" s="10" t="s">
        <v>35</v>
      </c>
      <c r="C27" s="10">
        <v>5000</v>
      </c>
      <c r="F27" s="75"/>
      <c r="H27" s="23" t="s">
        <v>201</v>
      </c>
      <c r="I27" s="25">
        <v>700910</v>
      </c>
      <c r="J27" s="25">
        <f>I27/30</f>
        <v>23363.666666666668</v>
      </c>
      <c r="K27" s="25">
        <f t="shared" si="0"/>
        <v>116818333.33333334</v>
      </c>
      <c r="O27" s="30">
        <f t="shared" si="1"/>
        <v>0</v>
      </c>
      <c r="S27" s="40">
        <f t="shared" si="2"/>
        <v>0</v>
      </c>
      <c r="W27" s="48">
        <f t="shared" si="3"/>
        <v>0</v>
      </c>
      <c r="AA27" s="57">
        <f t="shared" si="4"/>
        <v>0</v>
      </c>
      <c r="AE27" s="62">
        <f t="shared" si="5"/>
        <v>0</v>
      </c>
      <c r="AI27" s="12">
        <f t="shared" si="6"/>
        <v>0</v>
      </c>
      <c r="AM27" s="63">
        <f t="shared" si="7"/>
        <v>0</v>
      </c>
      <c r="AQ27" s="68">
        <f t="shared" si="8"/>
        <v>0</v>
      </c>
      <c r="AU27" s="73">
        <f t="shared" si="9"/>
        <v>0</v>
      </c>
      <c r="AV27" s="34" t="s">
        <v>262</v>
      </c>
      <c r="AW27" s="35">
        <v>2234106</v>
      </c>
      <c r="AY27" s="35">
        <f t="shared" si="10"/>
        <v>0</v>
      </c>
      <c r="AZ27" s="52" t="s">
        <v>280</v>
      </c>
      <c r="BA27" s="63">
        <v>401839</v>
      </c>
      <c r="BB27" s="63">
        <f>BA27/5000</f>
        <v>80.367800000000003</v>
      </c>
      <c r="BC27" s="63">
        <f t="shared" si="11"/>
        <v>401839</v>
      </c>
    </row>
    <row r="28" spans="1:55" x14ac:dyDescent="0.3">
      <c r="A28" s="10">
        <v>25</v>
      </c>
      <c r="B28" s="10" t="s">
        <v>54</v>
      </c>
      <c r="C28" s="10">
        <v>500</v>
      </c>
      <c r="F28" s="75"/>
      <c r="K28" s="25">
        <f t="shared" si="0"/>
        <v>0</v>
      </c>
      <c r="O28" s="30">
        <f t="shared" si="1"/>
        <v>0</v>
      </c>
      <c r="S28" s="40">
        <f t="shared" si="2"/>
        <v>0</v>
      </c>
      <c r="W28" s="48">
        <f t="shared" si="3"/>
        <v>0</v>
      </c>
      <c r="AA28" s="57">
        <f t="shared" si="4"/>
        <v>0</v>
      </c>
      <c r="AE28" s="62">
        <f t="shared" si="5"/>
        <v>0</v>
      </c>
      <c r="AI28" s="12">
        <f t="shared" si="6"/>
        <v>0</v>
      </c>
      <c r="AM28" s="63">
        <f t="shared" si="7"/>
        <v>0</v>
      </c>
      <c r="AQ28" s="68">
        <f t="shared" si="8"/>
        <v>0</v>
      </c>
      <c r="AU28" s="73">
        <f t="shared" si="9"/>
        <v>0</v>
      </c>
      <c r="AV28" s="34" t="s">
        <v>217</v>
      </c>
      <c r="AW28" s="35">
        <v>737622</v>
      </c>
      <c r="AX28" s="35">
        <f>AW28/500</f>
        <v>1475.2439999999999</v>
      </c>
      <c r="AY28" s="35">
        <f t="shared" si="10"/>
        <v>737622</v>
      </c>
      <c r="BC28" s="63">
        <f t="shared" si="11"/>
        <v>0</v>
      </c>
    </row>
    <row r="29" spans="1:55" x14ac:dyDescent="0.3">
      <c r="A29" s="10">
        <v>26</v>
      </c>
      <c r="B29" s="10" t="s">
        <v>56</v>
      </c>
      <c r="C29" s="10">
        <v>480</v>
      </c>
      <c r="F29" s="75"/>
      <c r="H29" s="23" t="s">
        <v>202</v>
      </c>
      <c r="I29" s="25">
        <v>1535100</v>
      </c>
      <c r="J29" s="25">
        <f>I29/96</f>
        <v>15990.625</v>
      </c>
      <c r="K29" s="25">
        <f t="shared" si="0"/>
        <v>7675500</v>
      </c>
      <c r="O29" s="30">
        <f t="shared" si="1"/>
        <v>0</v>
      </c>
      <c r="S29" s="40">
        <f t="shared" si="2"/>
        <v>0</v>
      </c>
      <c r="W29" s="48">
        <f t="shared" si="3"/>
        <v>0</v>
      </c>
      <c r="AA29" s="57">
        <f t="shared" si="4"/>
        <v>0</v>
      </c>
      <c r="AE29" s="62">
        <f t="shared" si="5"/>
        <v>0</v>
      </c>
      <c r="AI29" s="12">
        <f t="shared" si="6"/>
        <v>0</v>
      </c>
      <c r="AM29" s="63">
        <f t="shared" si="7"/>
        <v>0</v>
      </c>
      <c r="AQ29" s="68">
        <f t="shared" si="8"/>
        <v>0</v>
      </c>
      <c r="AU29" s="73">
        <f t="shared" si="9"/>
        <v>0</v>
      </c>
      <c r="AV29" s="34" t="s">
        <v>263</v>
      </c>
      <c r="AW29" s="35">
        <v>3149323</v>
      </c>
      <c r="AX29" s="35">
        <f>AW29/48</f>
        <v>65610.895833333328</v>
      </c>
      <c r="AY29" s="35">
        <f t="shared" si="10"/>
        <v>31493229.999999996</v>
      </c>
      <c r="BC29" s="63">
        <f t="shared" si="11"/>
        <v>0</v>
      </c>
    </row>
    <row r="30" spans="1:55" x14ac:dyDescent="0.3">
      <c r="A30" s="10">
        <v>27</v>
      </c>
      <c r="B30" s="10" t="s">
        <v>57</v>
      </c>
      <c r="C30" s="10">
        <v>20</v>
      </c>
      <c r="F30" s="75"/>
      <c r="K30" s="25">
        <f t="shared" si="0"/>
        <v>0</v>
      </c>
      <c r="O30" s="30">
        <f t="shared" si="1"/>
        <v>0</v>
      </c>
      <c r="S30" s="40">
        <f t="shared" si="2"/>
        <v>0</v>
      </c>
      <c r="W30" s="48">
        <f t="shared" si="3"/>
        <v>0</v>
      </c>
      <c r="AA30" s="57">
        <f t="shared" si="4"/>
        <v>0</v>
      </c>
      <c r="AE30" s="62">
        <f t="shared" si="5"/>
        <v>0</v>
      </c>
      <c r="AI30" s="12">
        <f t="shared" si="6"/>
        <v>0</v>
      </c>
      <c r="AJ30" s="52" t="s">
        <v>237</v>
      </c>
      <c r="AK30" s="63">
        <v>3190000</v>
      </c>
      <c r="AL30" s="63">
        <f>AK30/10</f>
        <v>319000</v>
      </c>
      <c r="AM30" s="63">
        <f t="shared" si="7"/>
        <v>6380000</v>
      </c>
      <c r="AQ30" s="68">
        <f t="shared" si="8"/>
        <v>0</v>
      </c>
      <c r="AU30" s="73">
        <f t="shared" si="9"/>
        <v>0</v>
      </c>
      <c r="AY30" s="35">
        <f t="shared" si="10"/>
        <v>0</v>
      </c>
      <c r="BC30" s="63">
        <f t="shared" si="11"/>
        <v>0</v>
      </c>
    </row>
    <row r="31" spans="1:55" x14ac:dyDescent="0.3">
      <c r="A31" s="10">
        <v>28</v>
      </c>
      <c r="B31" s="10" t="s">
        <v>60</v>
      </c>
      <c r="C31" s="10">
        <v>500</v>
      </c>
      <c r="D31" s="16" t="s">
        <v>181</v>
      </c>
      <c r="E31" s="14">
        <v>1079330</v>
      </c>
      <c r="F31" s="75">
        <f>E31/5000</f>
        <v>215.86600000000001</v>
      </c>
      <c r="G31" s="76">
        <f>F31*C31</f>
        <v>107933</v>
      </c>
      <c r="K31" s="25">
        <f t="shared" si="0"/>
        <v>0</v>
      </c>
      <c r="O31" s="30">
        <f t="shared" si="1"/>
        <v>0</v>
      </c>
      <c r="S31" s="40">
        <f t="shared" si="2"/>
        <v>0</v>
      </c>
      <c r="W31" s="48">
        <f t="shared" si="3"/>
        <v>0</v>
      </c>
      <c r="AA31" s="57">
        <f t="shared" si="4"/>
        <v>0</v>
      </c>
      <c r="AE31" s="62">
        <f t="shared" si="5"/>
        <v>0</v>
      </c>
      <c r="AI31" s="12">
        <f t="shared" si="6"/>
        <v>0</v>
      </c>
      <c r="AM31" s="63">
        <f t="shared" si="7"/>
        <v>0</v>
      </c>
      <c r="AQ31" s="68">
        <f t="shared" si="8"/>
        <v>0</v>
      </c>
      <c r="AU31" s="73">
        <f t="shared" si="9"/>
        <v>0</v>
      </c>
      <c r="AV31" s="34" t="s">
        <v>264</v>
      </c>
      <c r="AW31" s="35">
        <v>160650</v>
      </c>
      <c r="AX31" s="35">
        <f>AW31/1</f>
        <v>160650</v>
      </c>
      <c r="AY31" s="35">
        <f t="shared" si="10"/>
        <v>80325000</v>
      </c>
      <c r="AZ31" s="52" t="s">
        <v>281</v>
      </c>
      <c r="BA31" s="63">
        <v>380800</v>
      </c>
      <c r="BC31" s="63">
        <f t="shared" si="11"/>
        <v>0</v>
      </c>
    </row>
    <row r="32" spans="1:55" x14ac:dyDescent="0.3">
      <c r="A32" s="10">
        <v>29</v>
      </c>
      <c r="B32" s="10" t="s">
        <v>63</v>
      </c>
      <c r="C32" s="10">
        <v>500</v>
      </c>
      <c r="D32" s="16" t="s">
        <v>182</v>
      </c>
      <c r="E32" s="14">
        <v>2071790</v>
      </c>
      <c r="F32" s="75">
        <f>E32/500</f>
        <v>4143.58</v>
      </c>
      <c r="G32" s="76">
        <f>F32*C32</f>
        <v>2071790</v>
      </c>
      <c r="K32" s="25">
        <f t="shared" ref="K32:K63" si="12">J32*C32</f>
        <v>0</v>
      </c>
      <c r="O32" s="30">
        <f t="shared" ref="O32:O63" si="13">N32*C32</f>
        <v>0</v>
      </c>
      <c r="S32" s="40">
        <f t="shared" ref="S32:S63" si="14">R32*C32</f>
        <v>0</v>
      </c>
      <c r="W32" s="48">
        <f t="shared" ref="W32:W63" si="15">V32*C32</f>
        <v>0</v>
      </c>
      <c r="AA32" s="57">
        <f t="shared" ref="AA32:AA63" si="16">Z32*C32</f>
        <v>0</v>
      </c>
      <c r="AE32" s="62">
        <f t="shared" ref="AE32:AE63" si="17">AD32*C32</f>
        <v>0</v>
      </c>
      <c r="AI32" s="12">
        <f t="shared" ref="AI32:AI63" si="18">AH32*C32</f>
        <v>0</v>
      </c>
      <c r="AM32" s="63">
        <f t="shared" ref="AM32:AM63" si="19">AL32*C32</f>
        <v>0</v>
      </c>
      <c r="AQ32" s="68">
        <f t="shared" ref="AQ32:AQ63" si="20">AP32*C32</f>
        <v>0</v>
      </c>
      <c r="AU32" s="73">
        <f t="shared" ref="AU32:AU63" si="21">AT32*C32</f>
        <v>0</v>
      </c>
      <c r="AY32" s="35">
        <f t="shared" si="10"/>
        <v>0</v>
      </c>
      <c r="BC32" s="63">
        <f t="shared" si="11"/>
        <v>0</v>
      </c>
    </row>
    <row r="33" spans="1:55" ht="31.5" customHeight="1" x14ac:dyDescent="0.3">
      <c r="A33" s="10">
        <v>30</v>
      </c>
      <c r="B33" s="10" t="s">
        <v>66</v>
      </c>
      <c r="C33" s="10">
        <v>480</v>
      </c>
      <c r="D33" s="78" t="s">
        <v>183</v>
      </c>
      <c r="E33" s="14">
        <v>1356600</v>
      </c>
      <c r="F33" s="75">
        <f>E33/1000</f>
        <v>1356.6</v>
      </c>
      <c r="G33" s="76">
        <f>F33*C33</f>
        <v>651168</v>
      </c>
      <c r="K33" s="25">
        <f t="shared" si="12"/>
        <v>0</v>
      </c>
      <c r="O33" s="30">
        <f t="shared" si="13"/>
        <v>0</v>
      </c>
      <c r="S33" s="40">
        <f t="shared" si="14"/>
        <v>0</v>
      </c>
      <c r="W33" s="48">
        <f t="shared" si="15"/>
        <v>0</v>
      </c>
      <c r="AA33" s="57">
        <f t="shared" si="16"/>
        <v>0</v>
      </c>
      <c r="AE33" s="62">
        <f t="shared" si="17"/>
        <v>0</v>
      </c>
      <c r="AI33" s="12">
        <f t="shared" si="18"/>
        <v>0</v>
      </c>
      <c r="AM33" s="63">
        <f t="shared" si="19"/>
        <v>0</v>
      </c>
      <c r="AQ33" s="68">
        <f t="shared" si="20"/>
        <v>0</v>
      </c>
      <c r="AU33" s="73">
        <f t="shared" si="21"/>
        <v>0</v>
      </c>
      <c r="AY33" s="35">
        <f t="shared" si="10"/>
        <v>0</v>
      </c>
      <c r="BC33" s="63">
        <f t="shared" si="11"/>
        <v>0</v>
      </c>
    </row>
    <row r="34" spans="1:55" x14ac:dyDescent="0.3">
      <c r="A34" s="10">
        <v>31</v>
      </c>
      <c r="B34" s="10" t="s">
        <v>68</v>
      </c>
      <c r="C34" s="10">
        <v>5000</v>
      </c>
      <c r="D34" s="16" t="s">
        <v>184</v>
      </c>
      <c r="E34" s="14">
        <v>5307400</v>
      </c>
      <c r="F34" s="75">
        <f>E34/100</f>
        <v>53074</v>
      </c>
      <c r="G34" s="76">
        <f>F34*5000</f>
        <v>265370000</v>
      </c>
      <c r="H34" s="23" t="s">
        <v>203</v>
      </c>
      <c r="I34" s="25">
        <v>2144380</v>
      </c>
      <c r="J34" s="25">
        <f>I34/200</f>
        <v>10721.9</v>
      </c>
      <c r="K34" s="25">
        <f t="shared" si="12"/>
        <v>53609500</v>
      </c>
      <c r="O34" s="30">
        <f t="shared" si="13"/>
        <v>0</v>
      </c>
      <c r="S34" s="40">
        <f t="shared" si="14"/>
        <v>0</v>
      </c>
      <c r="W34" s="48">
        <f t="shared" si="15"/>
        <v>0</v>
      </c>
      <c r="AA34" s="57">
        <f t="shared" si="16"/>
        <v>0</v>
      </c>
      <c r="AE34" s="62">
        <f t="shared" si="17"/>
        <v>0</v>
      </c>
      <c r="AI34" s="12">
        <f t="shared" si="18"/>
        <v>0</v>
      </c>
      <c r="AM34" s="63">
        <f t="shared" si="19"/>
        <v>0</v>
      </c>
      <c r="AQ34" s="68">
        <f t="shared" si="20"/>
        <v>0</v>
      </c>
      <c r="AU34" s="73">
        <f t="shared" si="21"/>
        <v>0</v>
      </c>
      <c r="AV34" s="34" t="s">
        <v>265</v>
      </c>
      <c r="AW34" s="35">
        <v>916300</v>
      </c>
      <c r="AX34" s="35">
        <f>AW34/50</f>
        <v>18326</v>
      </c>
      <c r="AY34" s="35">
        <f t="shared" si="10"/>
        <v>91630000</v>
      </c>
      <c r="AZ34" s="52" t="s">
        <v>274</v>
      </c>
      <c r="BA34" s="63">
        <v>9424800</v>
      </c>
      <c r="BB34" s="63">
        <f>BA34/2500</f>
        <v>3769.92</v>
      </c>
      <c r="BC34" s="63">
        <f t="shared" si="11"/>
        <v>18849600</v>
      </c>
    </row>
    <row r="35" spans="1:55" x14ac:dyDescent="0.3">
      <c r="A35" s="10">
        <v>32</v>
      </c>
      <c r="B35" s="10" t="s">
        <v>69</v>
      </c>
      <c r="C35" s="10">
        <v>5000</v>
      </c>
      <c r="D35" s="16" t="s">
        <v>184</v>
      </c>
      <c r="E35" s="14">
        <v>3931760</v>
      </c>
      <c r="F35" s="75">
        <f>E35/100</f>
        <v>39317.599999999999</v>
      </c>
      <c r="G35" s="76">
        <f>F35*C35</f>
        <v>196588000</v>
      </c>
      <c r="H35" s="23" t="s">
        <v>203</v>
      </c>
      <c r="I35" s="25">
        <v>2144380</v>
      </c>
      <c r="J35" s="25">
        <f>I35/200</f>
        <v>10721.9</v>
      </c>
      <c r="K35" s="25">
        <f t="shared" si="12"/>
        <v>53609500</v>
      </c>
      <c r="O35" s="30">
        <f t="shared" si="13"/>
        <v>0</v>
      </c>
      <c r="S35" s="40">
        <f t="shared" si="14"/>
        <v>0</v>
      </c>
      <c r="W35" s="48">
        <f t="shared" si="15"/>
        <v>0</v>
      </c>
      <c r="AA35" s="57">
        <f t="shared" si="16"/>
        <v>0</v>
      </c>
      <c r="AE35" s="62">
        <f t="shared" si="17"/>
        <v>0</v>
      </c>
      <c r="AI35" s="12">
        <f t="shared" si="18"/>
        <v>0</v>
      </c>
      <c r="AM35" s="63">
        <f t="shared" si="19"/>
        <v>0</v>
      </c>
      <c r="AQ35" s="68">
        <f t="shared" si="20"/>
        <v>0</v>
      </c>
      <c r="AU35" s="73">
        <f t="shared" si="21"/>
        <v>0</v>
      </c>
      <c r="AV35" s="34" t="s">
        <v>242</v>
      </c>
      <c r="AW35" s="35">
        <v>4707949</v>
      </c>
      <c r="AX35" s="35">
        <f>AW35/100</f>
        <v>47079.49</v>
      </c>
      <c r="AY35" s="35">
        <f t="shared" si="10"/>
        <v>235397450</v>
      </c>
      <c r="AZ35" s="52" t="s">
        <v>282</v>
      </c>
      <c r="BA35" s="63">
        <v>3583440</v>
      </c>
      <c r="BB35" s="63">
        <f>BA35/150</f>
        <v>23889.599999999999</v>
      </c>
      <c r="BC35" s="63">
        <f t="shared" si="11"/>
        <v>119448000</v>
      </c>
    </row>
    <row r="36" spans="1:55" x14ac:dyDescent="0.3">
      <c r="A36" s="10">
        <v>33</v>
      </c>
      <c r="B36" s="10" t="s">
        <v>70</v>
      </c>
      <c r="C36" s="10">
        <v>50</v>
      </c>
      <c r="D36" s="16" t="s">
        <v>180</v>
      </c>
      <c r="E36" s="14">
        <v>3481940</v>
      </c>
      <c r="F36" s="75">
        <f>E36/50</f>
        <v>69638.8</v>
      </c>
      <c r="G36" s="76">
        <f>F36*C36</f>
        <v>3481940</v>
      </c>
      <c r="H36" s="23" t="s">
        <v>204</v>
      </c>
      <c r="I36" s="25">
        <v>681870</v>
      </c>
      <c r="J36" s="25">
        <f>I36/25</f>
        <v>27274.799999999999</v>
      </c>
      <c r="K36" s="25">
        <f t="shared" si="12"/>
        <v>1363740</v>
      </c>
      <c r="O36" s="30">
        <f t="shared" si="13"/>
        <v>0</v>
      </c>
      <c r="S36" s="40">
        <f t="shared" si="14"/>
        <v>0</v>
      </c>
      <c r="W36" s="48">
        <f t="shared" si="15"/>
        <v>0</v>
      </c>
      <c r="AA36" s="57">
        <f t="shared" si="16"/>
        <v>0</v>
      </c>
      <c r="AE36" s="62">
        <f t="shared" si="17"/>
        <v>0</v>
      </c>
      <c r="AI36" s="12">
        <f t="shared" si="18"/>
        <v>0</v>
      </c>
      <c r="AM36" s="63">
        <f t="shared" si="19"/>
        <v>0</v>
      </c>
      <c r="AQ36" s="68">
        <f t="shared" si="20"/>
        <v>0</v>
      </c>
      <c r="AU36" s="73">
        <f t="shared" si="21"/>
        <v>0</v>
      </c>
      <c r="AY36" s="35">
        <f t="shared" ref="AY36:AY64" si="22">AX36*C36</f>
        <v>0</v>
      </c>
      <c r="AZ36" s="52" t="s">
        <v>283</v>
      </c>
      <c r="BA36" s="63">
        <v>895860</v>
      </c>
      <c r="BB36" s="63">
        <f>BA36/30</f>
        <v>29862</v>
      </c>
      <c r="BC36" s="63">
        <f t="shared" ref="BC36:BC64" si="23">BB36*C36</f>
        <v>1493100</v>
      </c>
    </row>
    <row r="37" spans="1:55" x14ac:dyDescent="0.3">
      <c r="A37" s="10">
        <v>34</v>
      </c>
      <c r="B37" s="10" t="s">
        <v>72</v>
      </c>
      <c r="C37" s="10">
        <v>50</v>
      </c>
      <c r="D37" s="16" t="s">
        <v>180</v>
      </c>
      <c r="E37" s="14">
        <v>5426400</v>
      </c>
      <c r="F37" s="75">
        <f>E37/50</f>
        <v>108528</v>
      </c>
      <c r="G37" s="76">
        <f>F37*C37</f>
        <v>5426400</v>
      </c>
      <c r="K37" s="25">
        <f t="shared" si="12"/>
        <v>0</v>
      </c>
      <c r="O37" s="30">
        <f t="shared" si="13"/>
        <v>0</v>
      </c>
      <c r="S37" s="40">
        <f t="shared" si="14"/>
        <v>0</v>
      </c>
      <c r="W37" s="48">
        <f t="shared" si="15"/>
        <v>0</v>
      </c>
      <c r="AA37" s="57">
        <f t="shared" si="16"/>
        <v>0</v>
      </c>
      <c r="AE37" s="62">
        <f t="shared" si="17"/>
        <v>0</v>
      </c>
      <c r="AI37" s="12">
        <f t="shared" si="18"/>
        <v>0</v>
      </c>
      <c r="AM37" s="63">
        <f t="shared" si="19"/>
        <v>0</v>
      </c>
      <c r="AQ37" s="68">
        <f t="shared" si="20"/>
        <v>0</v>
      </c>
      <c r="AU37" s="73">
        <f t="shared" si="21"/>
        <v>0</v>
      </c>
      <c r="AY37" s="35">
        <f t="shared" si="22"/>
        <v>0</v>
      </c>
      <c r="AZ37" s="52" t="s">
        <v>283</v>
      </c>
      <c r="BA37" s="63">
        <v>1126799</v>
      </c>
      <c r="BB37" s="63">
        <f>BA37/30</f>
        <v>37559.966666666667</v>
      </c>
      <c r="BC37" s="63">
        <f t="shared" si="23"/>
        <v>1877998.3333333333</v>
      </c>
    </row>
    <row r="38" spans="1:55" x14ac:dyDescent="0.3">
      <c r="A38" s="10">
        <v>35</v>
      </c>
      <c r="B38" s="10" t="s">
        <v>74</v>
      </c>
      <c r="C38" s="10">
        <v>50</v>
      </c>
      <c r="F38" s="75"/>
      <c r="H38" s="23" t="s">
        <v>205</v>
      </c>
      <c r="I38" s="25">
        <v>2522800</v>
      </c>
      <c r="J38" s="25">
        <f>I38/96</f>
        <v>26279.166666666668</v>
      </c>
      <c r="K38" s="25">
        <f t="shared" si="12"/>
        <v>1313958.3333333335</v>
      </c>
      <c r="O38" s="30">
        <f t="shared" si="13"/>
        <v>0</v>
      </c>
      <c r="S38" s="40">
        <f t="shared" si="14"/>
        <v>0</v>
      </c>
      <c r="W38" s="48">
        <f t="shared" si="15"/>
        <v>0</v>
      </c>
      <c r="AA38" s="57">
        <f t="shared" si="16"/>
        <v>0</v>
      </c>
      <c r="AE38" s="62">
        <f t="shared" si="17"/>
        <v>0</v>
      </c>
      <c r="AI38" s="12">
        <f t="shared" si="18"/>
        <v>0</v>
      </c>
      <c r="AM38" s="63">
        <f t="shared" si="19"/>
        <v>0</v>
      </c>
      <c r="AQ38" s="68">
        <f t="shared" si="20"/>
        <v>0</v>
      </c>
      <c r="AU38" s="73">
        <f t="shared" si="21"/>
        <v>0</v>
      </c>
      <c r="AY38" s="35">
        <f t="shared" si="22"/>
        <v>0</v>
      </c>
      <c r="BC38" s="63">
        <f t="shared" si="23"/>
        <v>0</v>
      </c>
    </row>
    <row r="39" spans="1:55" x14ac:dyDescent="0.3">
      <c r="A39" s="10">
        <v>36</v>
      </c>
      <c r="B39" s="10" t="s">
        <v>77</v>
      </c>
      <c r="C39" s="10">
        <v>96</v>
      </c>
      <c r="F39" s="75"/>
      <c r="H39" s="23" t="s">
        <v>206</v>
      </c>
      <c r="I39" s="25">
        <v>1790950</v>
      </c>
      <c r="J39" s="25">
        <f>I39/10</f>
        <v>179095</v>
      </c>
      <c r="K39" s="25">
        <f t="shared" si="12"/>
        <v>17193120</v>
      </c>
      <c r="O39" s="30">
        <f t="shared" si="13"/>
        <v>0</v>
      </c>
      <c r="S39" s="40">
        <f t="shared" si="14"/>
        <v>0</v>
      </c>
      <c r="W39" s="48">
        <f t="shared" si="15"/>
        <v>0</v>
      </c>
      <c r="AA39" s="57">
        <f t="shared" si="16"/>
        <v>0</v>
      </c>
      <c r="AE39" s="62">
        <f t="shared" si="17"/>
        <v>0</v>
      </c>
      <c r="AI39" s="12">
        <f t="shared" si="18"/>
        <v>0</v>
      </c>
      <c r="AM39" s="63">
        <f t="shared" si="19"/>
        <v>0</v>
      </c>
      <c r="AQ39" s="68">
        <f t="shared" si="20"/>
        <v>0</v>
      </c>
      <c r="AU39" s="73">
        <f t="shared" si="21"/>
        <v>0</v>
      </c>
      <c r="AY39" s="35">
        <f t="shared" si="22"/>
        <v>0</v>
      </c>
      <c r="BC39" s="63">
        <f t="shared" si="23"/>
        <v>0</v>
      </c>
    </row>
    <row r="40" spans="1:55" x14ac:dyDescent="0.3">
      <c r="A40" s="10">
        <v>37</v>
      </c>
      <c r="B40" s="10" t="s">
        <v>79</v>
      </c>
      <c r="C40" s="10">
        <v>50</v>
      </c>
      <c r="F40" s="75"/>
      <c r="H40" s="23" t="s">
        <v>207</v>
      </c>
      <c r="I40" s="25">
        <v>1666000</v>
      </c>
      <c r="J40" s="25">
        <f>I40/96</f>
        <v>17354.166666666668</v>
      </c>
      <c r="K40" s="25">
        <f t="shared" si="12"/>
        <v>867708.33333333337</v>
      </c>
      <c r="O40" s="30">
        <f t="shared" si="13"/>
        <v>0</v>
      </c>
      <c r="S40" s="40">
        <f t="shared" si="14"/>
        <v>0</v>
      </c>
      <c r="W40" s="48">
        <f t="shared" si="15"/>
        <v>0</v>
      </c>
      <c r="AA40" s="57">
        <f t="shared" si="16"/>
        <v>0</v>
      </c>
      <c r="AE40" s="62">
        <f t="shared" si="17"/>
        <v>0</v>
      </c>
      <c r="AI40" s="12">
        <f t="shared" si="18"/>
        <v>0</v>
      </c>
      <c r="AM40" s="63">
        <f t="shared" si="19"/>
        <v>0</v>
      </c>
      <c r="AQ40" s="68">
        <f t="shared" si="20"/>
        <v>0</v>
      </c>
      <c r="AU40" s="73">
        <f t="shared" si="21"/>
        <v>0</v>
      </c>
      <c r="AY40" s="35">
        <f t="shared" si="22"/>
        <v>0</v>
      </c>
      <c r="BC40" s="63">
        <f t="shared" si="23"/>
        <v>0</v>
      </c>
    </row>
    <row r="41" spans="1:55" x14ac:dyDescent="0.3">
      <c r="A41" s="10">
        <v>38</v>
      </c>
      <c r="B41" s="10" t="s">
        <v>81</v>
      </c>
      <c r="C41" s="10">
        <v>4500</v>
      </c>
      <c r="F41" s="75"/>
      <c r="K41" s="25">
        <f t="shared" si="12"/>
        <v>0</v>
      </c>
      <c r="O41" s="30">
        <f t="shared" si="13"/>
        <v>0</v>
      </c>
      <c r="S41" s="40">
        <f t="shared" si="14"/>
        <v>0</v>
      </c>
      <c r="W41" s="48">
        <f t="shared" si="15"/>
        <v>0</v>
      </c>
      <c r="AA41" s="57">
        <f t="shared" si="16"/>
        <v>0</v>
      </c>
      <c r="AE41" s="62">
        <f t="shared" si="17"/>
        <v>0</v>
      </c>
      <c r="AI41" s="12">
        <f t="shared" si="18"/>
        <v>0</v>
      </c>
      <c r="AM41" s="63">
        <f t="shared" si="19"/>
        <v>0</v>
      </c>
      <c r="AQ41" s="68">
        <f t="shared" si="20"/>
        <v>0</v>
      </c>
      <c r="AR41" s="72" t="s">
        <v>247</v>
      </c>
      <c r="AS41" s="73">
        <v>650000</v>
      </c>
      <c r="AT41" s="73">
        <f>AS41/25</f>
        <v>26000</v>
      </c>
      <c r="AU41" s="73">
        <f t="shared" si="21"/>
        <v>117000000</v>
      </c>
      <c r="AY41" s="35">
        <f t="shared" si="22"/>
        <v>0</v>
      </c>
      <c r="AZ41" s="52" t="s">
        <v>284</v>
      </c>
      <c r="BA41" s="63">
        <v>1947792</v>
      </c>
      <c r="BB41" s="63">
        <f>BA41/20</f>
        <v>97389.6</v>
      </c>
      <c r="BC41" s="63">
        <f t="shared" si="23"/>
        <v>438253200</v>
      </c>
    </row>
    <row r="42" spans="1:55" x14ac:dyDescent="0.3">
      <c r="A42" s="10">
        <v>39</v>
      </c>
      <c r="B42" s="10" t="s">
        <v>82</v>
      </c>
      <c r="C42" s="10">
        <v>4500</v>
      </c>
      <c r="F42" s="75"/>
      <c r="K42" s="25">
        <f t="shared" si="12"/>
        <v>0</v>
      </c>
      <c r="O42" s="30">
        <f t="shared" si="13"/>
        <v>0</v>
      </c>
      <c r="S42" s="40">
        <f t="shared" si="14"/>
        <v>0</v>
      </c>
      <c r="W42" s="48">
        <f t="shared" si="15"/>
        <v>0</v>
      </c>
      <c r="AA42" s="57">
        <f t="shared" si="16"/>
        <v>0</v>
      </c>
      <c r="AB42" s="61" t="s">
        <v>224</v>
      </c>
      <c r="AC42" s="62">
        <v>1000000</v>
      </c>
      <c r="AD42" s="62">
        <f>AC42/25</f>
        <v>40000</v>
      </c>
      <c r="AE42" s="62">
        <f t="shared" si="17"/>
        <v>180000000</v>
      </c>
      <c r="AI42" s="12">
        <f t="shared" si="18"/>
        <v>0</v>
      </c>
      <c r="AM42" s="63">
        <f t="shared" si="19"/>
        <v>0</v>
      </c>
      <c r="AQ42" s="68">
        <f t="shared" si="20"/>
        <v>0</v>
      </c>
      <c r="AR42" s="72" t="s">
        <v>247</v>
      </c>
      <c r="AS42" s="73">
        <v>875000</v>
      </c>
      <c r="AT42" s="73">
        <f>AS42/25</f>
        <v>35000</v>
      </c>
      <c r="AU42" s="73">
        <f t="shared" si="21"/>
        <v>157500000</v>
      </c>
      <c r="AY42" s="35">
        <f t="shared" si="22"/>
        <v>0</v>
      </c>
      <c r="AZ42" s="52" t="s">
        <v>284</v>
      </c>
      <c r="BA42" s="63">
        <v>1947792</v>
      </c>
      <c r="BB42" s="63">
        <f>BA42/20</f>
        <v>97389.6</v>
      </c>
      <c r="BC42" s="63">
        <f t="shared" si="23"/>
        <v>438253200</v>
      </c>
    </row>
    <row r="43" spans="1:55" x14ac:dyDescent="0.3">
      <c r="A43" s="10">
        <v>40</v>
      </c>
      <c r="B43" s="10" t="s">
        <v>84</v>
      </c>
      <c r="C43" s="10">
        <v>72</v>
      </c>
      <c r="F43" s="75"/>
      <c r="K43" s="25">
        <f t="shared" si="12"/>
        <v>0</v>
      </c>
      <c r="O43" s="30">
        <f t="shared" si="13"/>
        <v>0</v>
      </c>
      <c r="S43" s="40">
        <f t="shared" si="14"/>
        <v>0</v>
      </c>
      <c r="W43" s="48">
        <f t="shared" si="15"/>
        <v>0</v>
      </c>
      <c r="AA43" s="57">
        <f t="shared" si="16"/>
        <v>0</v>
      </c>
      <c r="AE43" s="62">
        <f t="shared" si="17"/>
        <v>0</v>
      </c>
      <c r="AI43" s="12">
        <f t="shared" si="18"/>
        <v>0</v>
      </c>
      <c r="AM43" s="63">
        <f t="shared" si="19"/>
        <v>0</v>
      </c>
      <c r="AQ43" s="68">
        <f t="shared" si="20"/>
        <v>0</v>
      </c>
      <c r="AU43" s="73">
        <f t="shared" si="21"/>
        <v>0</v>
      </c>
      <c r="AY43" s="35">
        <f t="shared" si="22"/>
        <v>0</v>
      </c>
      <c r="AZ43" s="52" t="s">
        <v>285</v>
      </c>
      <c r="BA43" s="63">
        <v>5033485</v>
      </c>
      <c r="BB43" s="63">
        <f>BA43/96</f>
        <v>52432.135416666664</v>
      </c>
      <c r="BC43" s="63">
        <f t="shared" si="23"/>
        <v>3775113.75</v>
      </c>
    </row>
    <row r="44" spans="1:55" x14ac:dyDescent="0.3">
      <c r="A44" s="10">
        <v>41</v>
      </c>
      <c r="B44" s="10" t="s">
        <v>87</v>
      </c>
      <c r="C44" s="10">
        <v>100</v>
      </c>
      <c r="F44" s="75"/>
      <c r="K44" s="25">
        <f t="shared" si="12"/>
        <v>0</v>
      </c>
      <c r="O44" s="30">
        <f t="shared" si="13"/>
        <v>0</v>
      </c>
      <c r="S44" s="40">
        <f t="shared" si="14"/>
        <v>0</v>
      </c>
      <c r="W44" s="48">
        <f t="shared" si="15"/>
        <v>0</v>
      </c>
      <c r="AA44" s="57">
        <f t="shared" si="16"/>
        <v>0</v>
      </c>
      <c r="AE44" s="62">
        <f t="shared" si="17"/>
        <v>0</v>
      </c>
      <c r="AI44" s="12">
        <f t="shared" si="18"/>
        <v>0</v>
      </c>
      <c r="AM44" s="63">
        <f t="shared" si="19"/>
        <v>0</v>
      </c>
      <c r="AQ44" s="68">
        <f t="shared" si="20"/>
        <v>0</v>
      </c>
      <c r="AU44" s="73">
        <f t="shared" si="21"/>
        <v>0</v>
      </c>
      <c r="AY44" s="35">
        <f t="shared" si="22"/>
        <v>0</v>
      </c>
      <c r="AZ44" s="52" t="s">
        <v>286</v>
      </c>
      <c r="BA44" s="63">
        <v>661235</v>
      </c>
      <c r="BB44" s="63">
        <f>BA44/50</f>
        <v>13224.7</v>
      </c>
      <c r="BC44" s="63">
        <f t="shared" si="23"/>
        <v>1322470</v>
      </c>
    </row>
    <row r="45" spans="1:55" x14ac:dyDescent="0.3">
      <c r="A45" s="10">
        <v>42</v>
      </c>
      <c r="B45" s="10" t="s">
        <v>88</v>
      </c>
      <c r="C45" s="10">
        <v>4</v>
      </c>
      <c r="F45" s="75"/>
      <c r="K45" s="25">
        <f t="shared" si="12"/>
        <v>0</v>
      </c>
      <c r="O45" s="30">
        <f t="shared" si="13"/>
        <v>0</v>
      </c>
      <c r="S45" s="40">
        <f t="shared" si="14"/>
        <v>0</v>
      </c>
      <c r="W45" s="48">
        <f t="shared" si="15"/>
        <v>0</v>
      </c>
      <c r="AA45" s="57">
        <f t="shared" si="16"/>
        <v>0</v>
      </c>
      <c r="AE45" s="62">
        <f t="shared" si="17"/>
        <v>0</v>
      </c>
      <c r="AI45" s="12">
        <f t="shared" si="18"/>
        <v>0</v>
      </c>
      <c r="AM45" s="63">
        <f t="shared" si="19"/>
        <v>0</v>
      </c>
      <c r="AQ45" s="68">
        <f t="shared" si="20"/>
        <v>0</v>
      </c>
      <c r="AU45" s="73">
        <f t="shared" si="21"/>
        <v>0</v>
      </c>
      <c r="AY45" s="35">
        <f t="shared" si="22"/>
        <v>0</v>
      </c>
      <c r="AZ45" s="52" t="s">
        <v>287</v>
      </c>
      <c r="BA45" s="63">
        <v>283386</v>
      </c>
      <c r="BC45" s="63">
        <f t="shared" si="23"/>
        <v>0</v>
      </c>
    </row>
    <row r="46" spans="1:55" x14ac:dyDescent="0.3">
      <c r="A46" s="10">
        <v>43</v>
      </c>
      <c r="B46" s="10" t="s">
        <v>90</v>
      </c>
      <c r="C46" s="10">
        <v>40000</v>
      </c>
      <c r="F46" s="75"/>
      <c r="K46" s="25">
        <f t="shared" si="12"/>
        <v>0</v>
      </c>
      <c r="O46" s="30">
        <f t="shared" si="13"/>
        <v>0</v>
      </c>
      <c r="S46" s="40">
        <f t="shared" si="14"/>
        <v>0</v>
      </c>
      <c r="W46" s="48">
        <f t="shared" si="15"/>
        <v>0</v>
      </c>
      <c r="AA46" s="57">
        <f t="shared" si="16"/>
        <v>0</v>
      </c>
      <c r="AE46" s="62">
        <f t="shared" si="17"/>
        <v>0</v>
      </c>
      <c r="AI46" s="12">
        <f t="shared" si="18"/>
        <v>0</v>
      </c>
      <c r="AM46" s="63">
        <f t="shared" si="19"/>
        <v>0</v>
      </c>
      <c r="AQ46" s="68">
        <f t="shared" si="20"/>
        <v>0</v>
      </c>
      <c r="AU46" s="73">
        <f t="shared" si="21"/>
        <v>0</v>
      </c>
      <c r="AV46" s="34" t="s">
        <v>266</v>
      </c>
      <c r="AW46" s="35">
        <v>3148704</v>
      </c>
      <c r="AX46" s="35">
        <f>AW46/200</f>
        <v>15743.52</v>
      </c>
      <c r="AY46" s="35">
        <f t="shared" si="22"/>
        <v>629740800</v>
      </c>
      <c r="AZ46" s="52" t="s">
        <v>288</v>
      </c>
      <c r="BA46" s="63">
        <v>431827</v>
      </c>
      <c r="BB46" s="63">
        <f>BA46/20000</f>
        <v>21.591349999999998</v>
      </c>
      <c r="BC46" s="63">
        <f t="shared" si="23"/>
        <v>863653.99999999988</v>
      </c>
    </row>
    <row r="47" spans="1:55" x14ac:dyDescent="0.3">
      <c r="A47" s="10">
        <v>44</v>
      </c>
      <c r="B47" s="10" t="s">
        <v>97</v>
      </c>
      <c r="C47" s="10">
        <v>100</v>
      </c>
      <c r="D47" s="16" t="s">
        <v>185</v>
      </c>
      <c r="E47" s="14">
        <v>4300</v>
      </c>
      <c r="F47" s="75">
        <f>E47/200</f>
        <v>21.5</v>
      </c>
      <c r="G47" s="76">
        <f>F47*C47</f>
        <v>2150</v>
      </c>
      <c r="K47" s="25">
        <f t="shared" si="12"/>
        <v>0</v>
      </c>
      <c r="O47" s="30">
        <f t="shared" si="13"/>
        <v>0</v>
      </c>
      <c r="S47" s="40">
        <f t="shared" si="14"/>
        <v>0</v>
      </c>
      <c r="W47" s="48">
        <f t="shared" si="15"/>
        <v>0</v>
      </c>
      <c r="AA47" s="57">
        <f t="shared" si="16"/>
        <v>0</v>
      </c>
      <c r="AE47" s="62">
        <f t="shared" si="17"/>
        <v>0</v>
      </c>
      <c r="AI47" s="12">
        <f t="shared" si="18"/>
        <v>0</v>
      </c>
      <c r="AM47" s="63">
        <f t="shared" si="19"/>
        <v>0</v>
      </c>
      <c r="AN47" s="67" t="s">
        <v>243</v>
      </c>
      <c r="AO47" s="68">
        <v>121800</v>
      </c>
      <c r="AP47" s="68">
        <f t="shared" ref="AP47:AP54" si="24">AO47/1000</f>
        <v>121.8</v>
      </c>
      <c r="AQ47" s="68">
        <f t="shared" si="20"/>
        <v>12180</v>
      </c>
      <c r="AU47" s="73">
        <f t="shared" si="21"/>
        <v>0</v>
      </c>
      <c r="AY47" s="35">
        <f t="shared" si="22"/>
        <v>0</v>
      </c>
      <c r="AZ47" s="52" t="s">
        <v>289</v>
      </c>
      <c r="BA47" s="63">
        <v>1844500</v>
      </c>
      <c r="BB47" s="63">
        <f>BA47/100</f>
        <v>18445</v>
      </c>
      <c r="BC47" s="63">
        <f t="shared" si="23"/>
        <v>1844500</v>
      </c>
    </row>
    <row r="48" spans="1:55" x14ac:dyDescent="0.3">
      <c r="A48" s="10">
        <v>45</v>
      </c>
      <c r="B48" s="10" t="s">
        <v>98</v>
      </c>
      <c r="C48" s="10">
        <v>100</v>
      </c>
      <c r="D48" s="16" t="s">
        <v>185</v>
      </c>
      <c r="E48" s="14">
        <v>4300</v>
      </c>
      <c r="F48" s="75">
        <f>E48/200</f>
        <v>21.5</v>
      </c>
      <c r="G48" s="76">
        <f>F48*C48</f>
        <v>2150</v>
      </c>
      <c r="K48" s="25">
        <f t="shared" si="12"/>
        <v>0</v>
      </c>
      <c r="O48" s="30">
        <f t="shared" si="13"/>
        <v>0</v>
      </c>
      <c r="S48" s="40">
        <f t="shared" si="14"/>
        <v>0</v>
      </c>
      <c r="W48" s="48">
        <f t="shared" si="15"/>
        <v>0</v>
      </c>
      <c r="AA48" s="57">
        <f t="shared" si="16"/>
        <v>0</v>
      </c>
      <c r="AE48" s="62">
        <f t="shared" si="17"/>
        <v>0</v>
      </c>
      <c r="AI48" s="12">
        <f t="shared" si="18"/>
        <v>0</v>
      </c>
      <c r="AM48" s="63">
        <f t="shared" si="19"/>
        <v>0</v>
      </c>
      <c r="AN48" s="67" t="s">
        <v>243</v>
      </c>
      <c r="AO48" s="68">
        <v>121800</v>
      </c>
      <c r="AP48" s="68">
        <f t="shared" si="24"/>
        <v>121.8</v>
      </c>
      <c r="AQ48" s="68">
        <f t="shared" si="20"/>
        <v>12180</v>
      </c>
      <c r="AU48" s="73">
        <f t="shared" si="21"/>
        <v>0</v>
      </c>
      <c r="AY48" s="35">
        <f t="shared" si="22"/>
        <v>0</v>
      </c>
      <c r="AZ48" s="52" t="s">
        <v>289</v>
      </c>
      <c r="BA48" s="63">
        <v>1844500</v>
      </c>
      <c r="BB48" s="63">
        <f>BA48/100</f>
        <v>18445</v>
      </c>
      <c r="BC48" s="63">
        <f t="shared" si="23"/>
        <v>1844500</v>
      </c>
    </row>
    <row r="49" spans="1:55" x14ac:dyDescent="0.3">
      <c r="A49" s="10">
        <v>46</v>
      </c>
      <c r="B49" s="10" t="s">
        <v>96</v>
      </c>
      <c r="C49" s="10">
        <v>50</v>
      </c>
      <c r="D49" s="16" t="s">
        <v>186</v>
      </c>
      <c r="E49" s="14">
        <v>3109000</v>
      </c>
      <c r="F49" s="75">
        <f>E49/50</f>
        <v>62180</v>
      </c>
      <c r="G49" s="76">
        <f>F49*C49</f>
        <v>3109000</v>
      </c>
      <c r="K49" s="25">
        <f t="shared" si="12"/>
        <v>0</v>
      </c>
      <c r="O49" s="30">
        <f t="shared" si="13"/>
        <v>0</v>
      </c>
      <c r="S49" s="40">
        <f t="shared" si="14"/>
        <v>0</v>
      </c>
      <c r="W49" s="48">
        <f t="shared" si="15"/>
        <v>0</v>
      </c>
      <c r="AA49" s="57">
        <f t="shared" si="16"/>
        <v>0</v>
      </c>
      <c r="AE49" s="62">
        <f t="shared" si="17"/>
        <v>0</v>
      </c>
      <c r="AI49" s="12">
        <f t="shared" si="18"/>
        <v>0</v>
      </c>
      <c r="AM49" s="63">
        <f t="shared" si="19"/>
        <v>0</v>
      </c>
      <c r="AN49" s="67" t="s">
        <v>243</v>
      </c>
      <c r="AO49" s="68">
        <v>1346800</v>
      </c>
      <c r="AP49" s="68">
        <f t="shared" si="24"/>
        <v>1346.8</v>
      </c>
      <c r="AQ49" s="68">
        <f t="shared" si="20"/>
        <v>67340</v>
      </c>
      <c r="AU49" s="73">
        <f t="shared" si="21"/>
        <v>0</v>
      </c>
      <c r="AY49" s="35">
        <f t="shared" si="22"/>
        <v>0</v>
      </c>
      <c r="AZ49" s="52" t="s">
        <v>267</v>
      </c>
      <c r="BA49" s="63">
        <v>3451000</v>
      </c>
      <c r="BB49" s="63">
        <f>BA49/50</f>
        <v>69020</v>
      </c>
      <c r="BC49" s="63">
        <f t="shared" si="23"/>
        <v>3451000</v>
      </c>
    </row>
    <row r="50" spans="1:55" x14ac:dyDescent="0.3">
      <c r="A50" s="10">
        <v>47</v>
      </c>
      <c r="B50" s="10" t="s">
        <v>99</v>
      </c>
      <c r="C50" s="10">
        <v>100</v>
      </c>
      <c r="D50" s="16" t="s">
        <v>185</v>
      </c>
      <c r="E50" s="14">
        <v>4300</v>
      </c>
      <c r="F50" s="75">
        <f>E50/200</f>
        <v>21.5</v>
      </c>
      <c r="G50" s="76">
        <f>F50*C50</f>
        <v>2150</v>
      </c>
      <c r="H50" s="23" t="s">
        <v>208</v>
      </c>
      <c r="I50" s="25">
        <v>245140</v>
      </c>
      <c r="K50" s="25">
        <f t="shared" si="12"/>
        <v>0</v>
      </c>
      <c r="O50" s="30">
        <f t="shared" si="13"/>
        <v>0</v>
      </c>
      <c r="S50" s="40">
        <f t="shared" si="14"/>
        <v>0</v>
      </c>
      <c r="W50" s="48">
        <f t="shared" si="15"/>
        <v>0</v>
      </c>
      <c r="AA50" s="57">
        <f t="shared" si="16"/>
        <v>0</v>
      </c>
      <c r="AE50" s="62">
        <f t="shared" si="17"/>
        <v>0</v>
      </c>
      <c r="AI50" s="12">
        <f t="shared" si="18"/>
        <v>0</v>
      </c>
      <c r="AM50" s="63">
        <f t="shared" si="19"/>
        <v>0</v>
      </c>
      <c r="AN50" s="67" t="s">
        <v>243</v>
      </c>
      <c r="AO50" s="68">
        <v>121800</v>
      </c>
      <c r="AP50" s="68">
        <f t="shared" si="24"/>
        <v>121.8</v>
      </c>
      <c r="AQ50" s="68">
        <f t="shared" si="20"/>
        <v>12180</v>
      </c>
      <c r="AU50" s="73">
        <f t="shared" si="21"/>
        <v>0</v>
      </c>
      <c r="AV50" s="34" t="s">
        <v>268</v>
      </c>
      <c r="AW50" s="35">
        <v>314874</v>
      </c>
      <c r="AX50" s="35">
        <f>AW50/50</f>
        <v>6297.48</v>
      </c>
      <c r="AY50" s="35">
        <f t="shared" si="22"/>
        <v>629748</v>
      </c>
      <c r="AZ50" s="52" t="s">
        <v>290</v>
      </c>
      <c r="BA50" s="63">
        <v>1844500</v>
      </c>
      <c r="BB50" s="63">
        <f>BA50/100</f>
        <v>18445</v>
      </c>
      <c r="BC50" s="63">
        <f t="shared" si="23"/>
        <v>1844500</v>
      </c>
    </row>
    <row r="51" spans="1:55" x14ac:dyDescent="0.3">
      <c r="A51" s="10">
        <v>48</v>
      </c>
      <c r="B51" s="10" t="s">
        <v>100</v>
      </c>
      <c r="C51" s="10">
        <v>100</v>
      </c>
      <c r="D51" s="16" t="s">
        <v>185</v>
      </c>
      <c r="E51" s="14">
        <v>4300</v>
      </c>
      <c r="F51" s="75">
        <f>E51/200</f>
        <v>21.5</v>
      </c>
      <c r="G51" s="76">
        <f>F51*C51</f>
        <v>2150</v>
      </c>
      <c r="H51" s="23" t="s">
        <v>208</v>
      </c>
      <c r="I51" s="25">
        <v>253470</v>
      </c>
      <c r="K51" s="25">
        <f t="shared" si="12"/>
        <v>0</v>
      </c>
      <c r="O51" s="30">
        <f t="shared" si="13"/>
        <v>0</v>
      </c>
      <c r="S51" s="40">
        <f t="shared" si="14"/>
        <v>0</v>
      </c>
      <c r="W51" s="48">
        <f t="shared" si="15"/>
        <v>0</v>
      </c>
      <c r="AA51" s="57">
        <f t="shared" si="16"/>
        <v>0</v>
      </c>
      <c r="AE51" s="62">
        <f t="shared" si="17"/>
        <v>0</v>
      </c>
      <c r="AI51" s="12">
        <f t="shared" si="18"/>
        <v>0</v>
      </c>
      <c r="AM51" s="63">
        <f t="shared" si="19"/>
        <v>0</v>
      </c>
      <c r="AN51" s="67" t="s">
        <v>243</v>
      </c>
      <c r="AO51" s="68">
        <v>121800</v>
      </c>
      <c r="AP51" s="68">
        <f t="shared" si="24"/>
        <v>121.8</v>
      </c>
      <c r="AQ51" s="68">
        <f t="shared" si="20"/>
        <v>12180</v>
      </c>
      <c r="AU51" s="73">
        <f t="shared" si="21"/>
        <v>0</v>
      </c>
      <c r="AV51" s="34" t="s">
        <v>268</v>
      </c>
      <c r="AW51" s="35">
        <v>314874</v>
      </c>
      <c r="AX51" s="35">
        <f>AW51/50</f>
        <v>6297.48</v>
      </c>
      <c r="AY51" s="35">
        <f t="shared" si="22"/>
        <v>629748</v>
      </c>
      <c r="AZ51" s="52" t="s">
        <v>290</v>
      </c>
      <c r="BA51" s="63">
        <v>1844500</v>
      </c>
      <c r="BB51" s="63">
        <f>BA51/100</f>
        <v>18445</v>
      </c>
      <c r="BC51" s="63">
        <f t="shared" si="23"/>
        <v>1844500</v>
      </c>
    </row>
    <row r="52" spans="1:55" x14ac:dyDescent="0.3">
      <c r="A52" s="10">
        <v>49</v>
      </c>
      <c r="B52" s="10" t="s">
        <v>101</v>
      </c>
      <c r="C52" s="10">
        <v>50</v>
      </c>
      <c r="F52" s="75"/>
      <c r="H52" s="23" t="s">
        <v>208</v>
      </c>
      <c r="I52" s="25">
        <v>253470</v>
      </c>
      <c r="K52" s="25">
        <f t="shared" si="12"/>
        <v>0</v>
      </c>
      <c r="O52" s="30">
        <f t="shared" si="13"/>
        <v>0</v>
      </c>
      <c r="S52" s="40">
        <f t="shared" si="14"/>
        <v>0</v>
      </c>
      <c r="W52" s="48">
        <f t="shared" si="15"/>
        <v>0</v>
      </c>
      <c r="AA52" s="57">
        <f t="shared" si="16"/>
        <v>0</v>
      </c>
      <c r="AE52" s="62">
        <f t="shared" si="17"/>
        <v>0</v>
      </c>
      <c r="AI52" s="12">
        <f t="shared" si="18"/>
        <v>0</v>
      </c>
      <c r="AM52" s="63">
        <f t="shared" si="19"/>
        <v>0</v>
      </c>
      <c r="AN52" s="67" t="s">
        <v>243</v>
      </c>
      <c r="AO52" s="68">
        <v>1346800</v>
      </c>
      <c r="AP52" s="68">
        <f t="shared" si="24"/>
        <v>1346.8</v>
      </c>
      <c r="AQ52" s="68">
        <f t="shared" si="20"/>
        <v>67340</v>
      </c>
      <c r="AU52" s="73">
        <f t="shared" si="21"/>
        <v>0</v>
      </c>
      <c r="AY52" s="35">
        <f t="shared" si="22"/>
        <v>0</v>
      </c>
      <c r="AZ52" s="52" t="s">
        <v>268</v>
      </c>
      <c r="BA52" s="63">
        <v>3451000</v>
      </c>
      <c r="BB52" s="63">
        <f>BA52/50</f>
        <v>69020</v>
      </c>
      <c r="BC52" s="63">
        <f t="shared" si="23"/>
        <v>3451000</v>
      </c>
    </row>
    <row r="53" spans="1:55" x14ac:dyDescent="0.3">
      <c r="A53" s="10">
        <v>50</v>
      </c>
      <c r="B53" s="10" t="s">
        <v>110</v>
      </c>
      <c r="C53" s="10">
        <v>100</v>
      </c>
      <c r="D53" s="16" t="s">
        <v>185</v>
      </c>
      <c r="E53" s="14">
        <v>4300</v>
      </c>
      <c r="F53" s="75">
        <f t="shared" ref="F53:F54" si="25">E53/200</f>
        <v>21.5</v>
      </c>
      <c r="G53" s="76">
        <f t="shared" ref="G53:G59" si="26">F53*C53</f>
        <v>2150</v>
      </c>
      <c r="H53" s="23" t="s">
        <v>209</v>
      </c>
      <c r="I53" s="25">
        <v>278460</v>
      </c>
      <c r="J53" s="25">
        <f>I53/1</f>
        <v>278460</v>
      </c>
      <c r="K53" s="25">
        <f t="shared" si="12"/>
        <v>27846000</v>
      </c>
      <c r="O53" s="30">
        <f t="shared" si="13"/>
        <v>0</v>
      </c>
      <c r="S53" s="40">
        <f t="shared" si="14"/>
        <v>0</v>
      </c>
      <c r="W53" s="48">
        <f t="shared" si="15"/>
        <v>0</v>
      </c>
      <c r="AA53" s="57">
        <f t="shared" si="16"/>
        <v>0</v>
      </c>
      <c r="AE53" s="62">
        <f t="shared" si="17"/>
        <v>0</v>
      </c>
      <c r="AI53" s="12">
        <f t="shared" si="18"/>
        <v>0</v>
      </c>
      <c r="AM53" s="63">
        <f t="shared" si="19"/>
        <v>0</v>
      </c>
      <c r="AN53" s="67" t="s">
        <v>243</v>
      </c>
      <c r="AO53" s="68">
        <v>121800</v>
      </c>
      <c r="AP53" s="68">
        <f t="shared" si="24"/>
        <v>121.8</v>
      </c>
      <c r="AQ53" s="68">
        <f t="shared" si="20"/>
        <v>12180</v>
      </c>
      <c r="AU53" s="73">
        <f t="shared" si="21"/>
        <v>0</v>
      </c>
      <c r="AY53" s="35">
        <f t="shared" si="22"/>
        <v>0</v>
      </c>
      <c r="AZ53" s="52" t="s">
        <v>290</v>
      </c>
      <c r="BA53" s="63">
        <v>1844500</v>
      </c>
      <c r="BB53" s="63">
        <f>BA53/100</f>
        <v>18445</v>
      </c>
      <c r="BC53" s="63">
        <f t="shared" si="23"/>
        <v>1844500</v>
      </c>
    </row>
    <row r="54" spans="1:55" x14ac:dyDescent="0.3">
      <c r="A54" s="10">
        <v>51</v>
      </c>
      <c r="B54" s="10" t="s">
        <v>111</v>
      </c>
      <c r="C54" s="10">
        <v>100</v>
      </c>
      <c r="D54" s="16" t="s">
        <v>185</v>
      </c>
      <c r="E54" s="14">
        <v>4300</v>
      </c>
      <c r="F54" s="75">
        <f t="shared" si="25"/>
        <v>21.5</v>
      </c>
      <c r="G54" s="76">
        <f t="shared" si="26"/>
        <v>2150</v>
      </c>
      <c r="H54" s="23" t="s">
        <v>210</v>
      </c>
      <c r="I54" s="25">
        <v>327250</v>
      </c>
      <c r="J54" s="25">
        <f>I54/1</f>
        <v>327250</v>
      </c>
      <c r="K54" s="25">
        <f t="shared" si="12"/>
        <v>32725000</v>
      </c>
      <c r="O54" s="30">
        <f t="shared" si="13"/>
        <v>0</v>
      </c>
      <c r="S54" s="40">
        <f t="shared" si="14"/>
        <v>0</v>
      </c>
      <c r="W54" s="48">
        <f t="shared" si="15"/>
        <v>0</v>
      </c>
      <c r="AA54" s="57">
        <f t="shared" si="16"/>
        <v>0</v>
      </c>
      <c r="AE54" s="62">
        <f t="shared" si="17"/>
        <v>0</v>
      </c>
      <c r="AI54" s="12">
        <f t="shared" si="18"/>
        <v>0</v>
      </c>
      <c r="AM54" s="63">
        <f t="shared" si="19"/>
        <v>0</v>
      </c>
      <c r="AN54" s="67" t="s">
        <v>243</v>
      </c>
      <c r="AO54" s="68">
        <v>121800</v>
      </c>
      <c r="AP54" s="68">
        <f t="shared" si="24"/>
        <v>121.8</v>
      </c>
      <c r="AQ54" s="68">
        <f t="shared" si="20"/>
        <v>12180</v>
      </c>
      <c r="AU54" s="73">
        <f t="shared" si="21"/>
        <v>0</v>
      </c>
      <c r="AY54" s="35">
        <f t="shared" si="22"/>
        <v>0</v>
      </c>
      <c r="AZ54" s="52" t="s">
        <v>290</v>
      </c>
      <c r="BA54" s="63">
        <v>1844500</v>
      </c>
      <c r="BB54" s="63">
        <f>BA54/100</f>
        <v>18445</v>
      </c>
      <c r="BC54" s="63">
        <f t="shared" si="23"/>
        <v>1844500</v>
      </c>
    </row>
    <row r="55" spans="1:55" x14ac:dyDescent="0.3">
      <c r="A55" s="10">
        <v>52</v>
      </c>
      <c r="B55" s="10" t="s">
        <v>112</v>
      </c>
      <c r="C55" s="10">
        <v>50</v>
      </c>
      <c r="D55" s="16" t="s">
        <v>186</v>
      </c>
      <c r="E55" s="14">
        <v>3109000</v>
      </c>
      <c r="F55" s="75">
        <f>E55/50</f>
        <v>62180</v>
      </c>
      <c r="G55" s="76">
        <f t="shared" si="26"/>
        <v>3109000</v>
      </c>
      <c r="H55" s="23" t="s">
        <v>211</v>
      </c>
      <c r="I55" s="25">
        <v>4063850</v>
      </c>
      <c r="J55" s="25">
        <f>I55/1</f>
        <v>4063850</v>
      </c>
      <c r="K55" s="25">
        <f t="shared" si="12"/>
        <v>203192500</v>
      </c>
      <c r="O55" s="30">
        <f t="shared" si="13"/>
        <v>0</v>
      </c>
      <c r="S55" s="40">
        <f t="shared" si="14"/>
        <v>0</v>
      </c>
      <c r="W55" s="48">
        <f t="shared" si="15"/>
        <v>0</v>
      </c>
      <c r="AA55" s="57">
        <f t="shared" si="16"/>
        <v>0</v>
      </c>
      <c r="AE55" s="62">
        <f t="shared" si="17"/>
        <v>0</v>
      </c>
      <c r="AI55" s="12">
        <f t="shared" si="18"/>
        <v>0</v>
      </c>
      <c r="AM55" s="63">
        <f t="shared" si="19"/>
        <v>0</v>
      </c>
      <c r="AN55" s="67" t="s">
        <v>243</v>
      </c>
      <c r="AO55" s="68">
        <v>1346800</v>
      </c>
      <c r="AP55" s="68">
        <f t="shared" ref="AP55:AP56" si="27">AO55/1000</f>
        <v>1346.8</v>
      </c>
      <c r="AQ55" s="68">
        <f t="shared" si="20"/>
        <v>67340</v>
      </c>
      <c r="AU55" s="73">
        <f t="shared" si="21"/>
        <v>0</v>
      </c>
      <c r="AY55" s="35">
        <f t="shared" si="22"/>
        <v>0</v>
      </c>
      <c r="AZ55" s="52" t="s">
        <v>268</v>
      </c>
      <c r="BA55" s="63">
        <v>3451000</v>
      </c>
      <c r="BB55" s="63">
        <f>BA55/50</f>
        <v>69020</v>
      </c>
      <c r="BC55" s="63">
        <f t="shared" si="23"/>
        <v>3451000</v>
      </c>
    </row>
    <row r="56" spans="1:55" x14ac:dyDescent="0.3">
      <c r="A56" s="10">
        <v>53</v>
      </c>
      <c r="B56" s="10" t="s">
        <v>116</v>
      </c>
      <c r="C56" s="10">
        <v>50</v>
      </c>
      <c r="D56" s="16" t="s">
        <v>186</v>
      </c>
      <c r="E56" s="14">
        <v>3109000</v>
      </c>
      <c r="F56" s="75">
        <f>E56/50</f>
        <v>62180</v>
      </c>
      <c r="G56" s="76">
        <f t="shared" si="26"/>
        <v>3109000</v>
      </c>
      <c r="H56" s="23" t="s">
        <v>211</v>
      </c>
      <c r="I56" s="25">
        <v>4063850</v>
      </c>
      <c r="J56" s="25">
        <f>I56/1</f>
        <v>4063850</v>
      </c>
      <c r="K56" s="25">
        <f t="shared" si="12"/>
        <v>203192500</v>
      </c>
      <c r="O56" s="30">
        <f t="shared" si="13"/>
        <v>0</v>
      </c>
      <c r="S56" s="40">
        <f t="shared" si="14"/>
        <v>0</v>
      </c>
      <c r="W56" s="48">
        <f t="shared" si="15"/>
        <v>0</v>
      </c>
      <c r="AA56" s="57">
        <f t="shared" si="16"/>
        <v>0</v>
      </c>
      <c r="AE56" s="62">
        <f t="shared" si="17"/>
        <v>0</v>
      </c>
      <c r="AI56" s="12">
        <f t="shared" si="18"/>
        <v>0</v>
      </c>
      <c r="AM56" s="63">
        <f t="shared" si="19"/>
        <v>0</v>
      </c>
      <c r="AN56" s="67" t="s">
        <v>243</v>
      </c>
      <c r="AO56" s="68">
        <v>1346800</v>
      </c>
      <c r="AP56" s="68">
        <f t="shared" si="27"/>
        <v>1346.8</v>
      </c>
      <c r="AQ56" s="68">
        <f t="shared" si="20"/>
        <v>67340</v>
      </c>
      <c r="AU56" s="73">
        <f t="shared" si="21"/>
        <v>0</v>
      </c>
      <c r="AY56" s="35">
        <f t="shared" si="22"/>
        <v>0</v>
      </c>
      <c r="AZ56" s="52" t="s">
        <v>268</v>
      </c>
      <c r="BA56" s="63">
        <v>3451000</v>
      </c>
      <c r="BB56" s="63">
        <f>BA56/50</f>
        <v>69020</v>
      </c>
      <c r="BC56" s="63">
        <f t="shared" si="23"/>
        <v>3451000</v>
      </c>
    </row>
    <row r="57" spans="1:55" x14ac:dyDescent="0.3">
      <c r="A57" s="10">
        <v>54</v>
      </c>
      <c r="B57" s="10" t="s">
        <v>113</v>
      </c>
      <c r="C57" s="10">
        <v>100</v>
      </c>
      <c r="D57" s="14" t="s">
        <v>185</v>
      </c>
      <c r="E57" s="14">
        <v>4300</v>
      </c>
      <c r="F57" s="75">
        <f t="shared" ref="F57:F58" si="28">E57/200</f>
        <v>21.5</v>
      </c>
      <c r="G57" s="76">
        <f t="shared" si="26"/>
        <v>2150</v>
      </c>
      <c r="H57" s="23" t="s">
        <v>209</v>
      </c>
      <c r="I57" s="25">
        <v>327250</v>
      </c>
      <c r="J57" s="25">
        <f>I57/1</f>
        <v>327250</v>
      </c>
      <c r="K57" s="25">
        <f t="shared" si="12"/>
        <v>32725000</v>
      </c>
      <c r="O57" s="30">
        <f t="shared" si="13"/>
        <v>0</v>
      </c>
      <c r="S57" s="40">
        <f t="shared" si="14"/>
        <v>0</v>
      </c>
      <c r="W57" s="48">
        <f t="shared" si="15"/>
        <v>0</v>
      </c>
      <c r="AA57" s="57">
        <f t="shared" si="16"/>
        <v>0</v>
      </c>
      <c r="AE57" s="62">
        <f t="shared" si="17"/>
        <v>0</v>
      </c>
      <c r="AI57" s="12">
        <f t="shared" si="18"/>
        <v>0</v>
      </c>
      <c r="AM57" s="63">
        <f t="shared" si="19"/>
        <v>0</v>
      </c>
      <c r="AN57" s="67" t="s">
        <v>243</v>
      </c>
      <c r="AO57" s="68">
        <v>121800</v>
      </c>
      <c r="AP57" s="68">
        <f>AO57/1000</f>
        <v>121.8</v>
      </c>
      <c r="AQ57" s="68">
        <f t="shared" si="20"/>
        <v>12180</v>
      </c>
      <c r="AU57" s="73">
        <f t="shared" si="21"/>
        <v>0</v>
      </c>
      <c r="AY57" s="35">
        <f t="shared" si="22"/>
        <v>0</v>
      </c>
      <c r="AZ57" s="52" t="s">
        <v>290</v>
      </c>
      <c r="BA57" s="63">
        <v>1844500</v>
      </c>
      <c r="BB57" s="63">
        <f>BA57/100</f>
        <v>18445</v>
      </c>
      <c r="BC57" s="63">
        <f t="shared" si="23"/>
        <v>1844500</v>
      </c>
    </row>
    <row r="58" spans="1:55" x14ac:dyDescent="0.3">
      <c r="A58" s="10">
        <v>55</v>
      </c>
      <c r="B58" s="10" t="s">
        <v>114</v>
      </c>
      <c r="C58" s="10">
        <v>100</v>
      </c>
      <c r="D58" s="14" t="s">
        <v>185</v>
      </c>
      <c r="E58" s="14">
        <v>4300</v>
      </c>
      <c r="F58" s="75">
        <f t="shared" si="28"/>
        <v>21.5</v>
      </c>
      <c r="G58" s="76">
        <f t="shared" si="26"/>
        <v>2150</v>
      </c>
      <c r="H58" s="23" t="s">
        <v>209</v>
      </c>
      <c r="I58" s="25">
        <v>278460</v>
      </c>
      <c r="J58" s="25">
        <f t="shared" ref="J58:J59" si="29">I58/1</f>
        <v>278460</v>
      </c>
      <c r="K58" s="25">
        <f t="shared" si="12"/>
        <v>27846000</v>
      </c>
      <c r="O58" s="30">
        <f t="shared" si="13"/>
        <v>0</v>
      </c>
      <c r="S58" s="40">
        <f t="shared" si="14"/>
        <v>0</v>
      </c>
      <c r="W58" s="48">
        <f t="shared" si="15"/>
        <v>0</v>
      </c>
      <c r="AA58" s="57">
        <f t="shared" si="16"/>
        <v>0</v>
      </c>
      <c r="AE58" s="62">
        <f t="shared" si="17"/>
        <v>0</v>
      </c>
      <c r="AI58" s="12">
        <f t="shared" si="18"/>
        <v>0</v>
      </c>
      <c r="AM58" s="63">
        <f t="shared" si="19"/>
        <v>0</v>
      </c>
      <c r="AN58" s="67" t="s">
        <v>243</v>
      </c>
      <c r="AO58" s="68">
        <v>121800</v>
      </c>
      <c r="AP58" s="68">
        <f>AO58/1000</f>
        <v>121.8</v>
      </c>
      <c r="AQ58" s="68">
        <f t="shared" si="20"/>
        <v>12180</v>
      </c>
      <c r="AU58" s="73">
        <f t="shared" si="21"/>
        <v>0</v>
      </c>
      <c r="AY58" s="35">
        <f t="shared" si="22"/>
        <v>0</v>
      </c>
      <c r="AZ58" s="52" t="s">
        <v>290</v>
      </c>
      <c r="BA58" s="63">
        <v>1844500</v>
      </c>
      <c r="BB58" s="63">
        <f>BA58/100</f>
        <v>18445</v>
      </c>
      <c r="BC58" s="63">
        <f t="shared" si="23"/>
        <v>1844500</v>
      </c>
    </row>
    <row r="59" spans="1:55" x14ac:dyDescent="0.3">
      <c r="A59" s="10">
        <v>56</v>
      </c>
      <c r="B59" s="10" t="s">
        <v>115</v>
      </c>
      <c r="C59" s="10">
        <v>50</v>
      </c>
      <c r="D59" s="14" t="s">
        <v>186</v>
      </c>
      <c r="E59" s="14">
        <v>3109000</v>
      </c>
      <c r="F59" s="75">
        <f>E59/50</f>
        <v>62180</v>
      </c>
      <c r="G59" s="76">
        <f t="shared" si="26"/>
        <v>3109000</v>
      </c>
      <c r="H59" s="23" t="s">
        <v>211</v>
      </c>
      <c r="I59" s="25">
        <v>4075750</v>
      </c>
      <c r="J59" s="25">
        <f t="shared" si="29"/>
        <v>4075750</v>
      </c>
      <c r="K59" s="25">
        <f t="shared" si="12"/>
        <v>203787500</v>
      </c>
      <c r="O59" s="30">
        <f t="shared" si="13"/>
        <v>0</v>
      </c>
      <c r="S59" s="40">
        <f t="shared" si="14"/>
        <v>0</v>
      </c>
      <c r="W59" s="48">
        <f t="shared" si="15"/>
        <v>0</v>
      </c>
      <c r="AA59" s="57">
        <f t="shared" si="16"/>
        <v>0</v>
      </c>
      <c r="AE59" s="62">
        <f t="shared" si="17"/>
        <v>0</v>
      </c>
      <c r="AI59" s="12">
        <f t="shared" si="18"/>
        <v>0</v>
      </c>
      <c r="AM59" s="63">
        <f t="shared" si="19"/>
        <v>0</v>
      </c>
      <c r="AN59" s="67" t="s">
        <v>243</v>
      </c>
      <c r="AO59" s="68">
        <v>1346800</v>
      </c>
      <c r="AP59" s="68">
        <f t="shared" ref="AP59" si="30">AO59/1000</f>
        <v>1346.8</v>
      </c>
      <c r="AQ59" s="68">
        <f t="shared" si="20"/>
        <v>67340</v>
      </c>
      <c r="AU59" s="73">
        <f t="shared" si="21"/>
        <v>0</v>
      </c>
      <c r="AY59" s="35">
        <f t="shared" si="22"/>
        <v>0</v>
      </c>
      <c r="AZ59" s="52" t="s">
        <v>268</v>
      </c>
      <c r="BA59" s="63">
        <v>3451000</v>
      </c>
      <c r="BB59" s="63">
        <f>BA59/50</f>
        <v>69020</v>
      </c>
      <c r="BC59" s="63">
        <f t="shared" si="23"/>
        <v>3451000</v>
      </c>
    </row>
    <row r="60" spans="1:55" x14ac:dyDescent="0.3">
      <c r="A60" s="10">
        <v>57</v>
      </c>
      <c r="B60" s="11" t="s">
        <v>43</v>
      </c>
      <c r="C60" s="11">
        <v>4</v>
      </c>
      <c r="F60" s="75"/>
      <c r="K60" s="25">
        <f t="shared" si="12"/>
        <v>0</v>
      </c>
      <c r="L60" s="29">
        <v>1</v>
      </c>
      <c r="M60" s="30">
        <v>471240</v>
      </c>
      <c r="N60" s="30">
        <f>M60/L60</f>
        <v>471240</v>
      </c>
      <c r="O60" s="30">
        <f t="shared" si="13"/>
        <v>1884960</v>
      </c>
      <c r="P60" s="40"/>
      <c r="S60" s="40">
        <f t="shared" si="14"/>
        <v>0</v>
      </c>
      <c r="W60" s="48">
        <f t="shared" si="15"/>
        <v>0</v>
      </c>
      <c r="AA60" s="57">
        <f t="shared" si="16"/>
        <v>0</v>
      </c>
      <c r="AE60" s="62">
        <f t="shared" si="17"/>
        <v>0</v>
      </c>
      <c r="AI60" s="12">
        <f t="shared" si="18"/>
        <v>0</v>
      </c>
      <c r="AM60" s="63">
        <f t="shared" si="19"/>
        <v>0</v>
      </c>
      <c r="AQ60" s="68">
        <f t="shared" si="20"/>
        <v>0</v>
      </c>
      <c r="AU60" s="73">
        <f t="shared" si="21"/>
        <v>0</v>
      </c>
      <c r="AY60" s="35">
        <f t="shared" si="22"/>
        <v>0</v>
      </c>
      <c r="BC60" s="63">
        <f t="shared" si="23"/>
        <v>0</v>
      </c>
    </row>
    <row r="61" spans="1:55" x14ac:dyDescent="0.3">
      <c r="A61" s="10">
        <v>58</v>
      </c>
      <c r="B61" s="10" t="s">
        <v>46</v>
      </c>
      <c r="C61" s="10">
        <v>5</v>
      </c>
      <c r="F61" s="75"/>
      <c r="K61" s="25">
        <f t="shared" si="12"/>
        <v>0</v>
      </c>
      <c r="L61" s="29">
        <v>1</v>
      </c>
      <c r="M61" s="30">
        <v>3094000</v>
      </c>
      <c r="N61" s="30">
        <f t="shared" ref="N61:N65" si="31">M61/L61</f>
        <v>3094000</v>
      </c>
      <c r="O61" s="30">
        <f t="shared" si="13"/>
        <v>15470000</v>
      </c>
      <c r="P61" s="40"/>
      <c r="S61" s="40">
        <f t="shared" si="14"/>
        <v>0</v>
      </c>
      <c r="W61" s="48">
        <f t="shared" si="15"/>
        <v>0</v>
      </c>
      <c r="AA61" s="57">
        <f t="shared" si="16"/>
        <v>0</v>
      </c>
      <c r="AE61" s="62">
        <f t="shared" si="17"/>
        <v>0</v>
      </c>
      <c r="AI61" s="12">
        <f t="shared" si="18"/>
        <v>0</v>
      </c>
      <c r="AM61" s="63">
        <f t="shared" si="19"/>
        <v>0</v>
      </c>
      <c r="AQ61" s="68">
        <f t="shared" si="20"/>
        <v>0</v>
      </c>
      <c r="AU61" s="73">
        <f t="shared" si="21"/>
        <v>0</v>
      </c>
      <c r="AY61" s="35">
        <f t="shared" si="22"/>
        <v>0</v>
      </c>
      <c r="BC61" s="63">
        <f t="shared" si="23"/>
        <v>0</v>
      </c>
    </row>
    <row r="62" spans="1:55" x14ac:dyDescent="0.3">
      <c r="A62" s="10">
        <v>59</v>
      </c>
      <c r="B62" s="10" t="s">
        <v>48</v>
      </c>
      <c r="C62" s="10">
        <v>2</v>
      </c>
      <c r="F62" s="75"/>
      <c r="K62" s="25">
        <f t="shared" si="12"/>
        <v>0</v>
      </c>
      <c r="L62" s="29">
        <v>1</v>
      </c>
      <c r="M62" s="30">
        <v>3094000</v>
      </c>
      <c r="N62" s="30">
        <f t="shared" si="31"/>
        <v>3094000</v>
      </c>
      <c r="O62" s="30">
        <f t="shared" si="13"/>
        <v>6188000</v>
      </c>
      <c r="P62" s="40"/>
      <c r="S62" s="40">
        <f t="shared" si="14"/>
        <v>0</v>
      </c>
      <c r="W62" s="48">
        <f t="shared" si="15"/>
        <v>0</v>
      </c>
      <c r="AA62" s="57">
        <f t="shared" si="16"/>
        <v>0</v>
      </c>
      <c r="AE62" s="62">
        <f t="shared" si="17"/>
        <v>0</v>
      </c>
      <c r="AI62" s="12">
        <f t="shared" si="18"/>
        <v>0</v>
      </c>
      <c r="AM62" s="63">
        <f t="shared" si="19"/>
        <v>0</v>
      </c>
      <c r="AQ62" s="68">
        <f t="shared" si="20"/>
        <v>0</v>
      </c>
      <c r="AU62" s="73">
        <f t="shared" si="21"/>
        <v>0</v>
      </c>
      <c r="AY62" s="35">
        <f t="shared" si="22"/>
        <v>0</v>
      </c>
      <c r="BC62" s="63">
        <f t="shared" si="23"/>
        <v>0</v>
      </c>
    </row>
    <row r="63" spans="1:55" x14ac:dyDescent="0.3">
      <c r="A63" s="10">
        <v>60</v>
      </c>
      <c r="B63" s="10" t="s">
        <v>50</v>
      </c>
      <c r="C63" s="10">
        <v>2</v>
      </c>
      <c r="F63" s="75"/>
      <c r="K63" s="25">
        <f t="shared" si="12"/>
        <v>0</v>
      </c>
      <c r="L63" s="29">
        <v>1</v>
      </c>
      <c r="M63" s="30">
        <v>3094000</v>
      </c>
      <c r="N63" s="30">
        <f t="shared" si="31"/>
        <v>3094000</v>
      </c>
      <c r="O63" s="30">
        <f t="shared" si="13"/>
        <v>6188000</v>
      </c>
      <c r="P63" s="40"/>
      <c r="S63" s="40">
        <f t="shared" si="14"/>
        <v>0</v>
      </c>
      <c r="W63" s="48">
        <f t="shared" si="15"/>
        <v>0</v>
      </c>
      <c r="AA63" s="57">
        <f t="shared" si="16"/>
        <v>0</v>
      </c>
      <c r="AE63" s="62">
        <f t="shared" si="17"/>
        <v>0</v>
      </c>
      <c r="AI63" s="12">
        <f t="shared" si="18"/>
        <v>0</v>
      </c>
      <c r="AM63" s="63">
        <f t="shared" si="19"/>
        <v>0</v>
      </c>
      <c r="AQ63" s="68">
        <f t="shared" si="20"/>
        <v>0</v>
      </c>
      <c r="AU63" s="73">
        <f t="shared" si="21"/>
        <v>0</v>
      </c>
      <c r="AY63" s="35">
        <f t="shared" si="22"/>
        <v>0</v>
      </c>
      <c r="BC63" s="63">
        <f t="shared" si="23"/>
        <v>0</v>
      </c>
    </row>
    <row r="64" spans="1:55" x14ac:dyDescent="0.3">
      <c r="A64" s="10">
        <v>61</v>
      </c>
      <c r="B64" s="11" t="s">
        <v>52</v>
      </c>
      <c r="C64" s="11">
        <v>2</v>
      </c>
      <c r="F64" s="75"/>
      <c r="K64" s="25">
        <f t="shared" ref="K64:K70" si="32">J64*C64</f>
        <v>0</v>
      </c>
      <c r="L64" s="29">
        <v>1</v>
      </c>
      <c r="M64" s="30">
        <v>114240000</v>
      </c>
      <c r="N64" s="30">
        <f t="shared" si="31"/>
        <v>114240000</v>
      </c>
      <c r="O64" s="30">
        <f t="shared" ref="O64:O70" si="33">N64*C64</f>
        <v>228480000</v>
      </c>
      <c r="P64" s="40"/>
      <c r="S64" s="40">
        <f t="shared" ref="S64:S70" si="34">R64*C64</f>
        <v>0</v>
      </c>
      <c r="W64" s="48">
        <f t="shared" ref="W64:W70" si="35">V64*C64</f>
        <v>0</v>
      </c>
      <c r="AA64" s="57">
        <f t="shared" ref="AA64:AA70" si="36">Z64*C64</f>
        <v>0</v>
      </c>
      <c r="AE64" s="62">
        <f t="shared" ref="AE64:AE70" si="37">AD64*C64</f>
        <v>0</v>
      </c>
      <c r="AI64" s="12">
        <f t="shared" ref="AI64:AI70" si="38">AH64*C64</f>
        <v>0</v>
      </c>
      <c r="AM64" s="63">
        <f t="shared" ref="AM64:AM70" si="39">AL64*C64</f>
        <v>0</v>
      </c>
      <c r="AQ64" s="68">
        <f t="shared" ref="AQ64:AQ70" si="40">AP64*C64</f>
        <v>0</v>
      </c>
      <c r="AU64" s="73">
        <f t="shared" ref="AU64:AU70" si="41">AT64*C64</f>
        <v>0</v>
      </c>
      <c r="AY64" s="35">
        <f t="shared" si="22"/>
        <v>0</v>
      </c>
      <c r="BC64" s="63">
        <f t="shared" si="23"/>
        <v>0</v>
      </c>
    </row>
    <row r="65" spans="1:55" x14ac:dyDescent="0.3">
      <c r="A65" s="10">
        <v>62</v>
      </c>
      <c r="B65" s="11" t="s">
        <v>53</v>
      </c>
      <c r="C65" s="11">
        <v>15</v>
      </c>
      <c r="F65" s="75"/>
      <c r="K65" s="25">
        <f t="shared" si="32"/>
        <v>0</v>
      </c>
      <c r="L65" s="29">
        <v>1</v>
      </c>
      <c r="M65" s="30">
        <v>428400</v>
      </c>
      <c r="N65" s="30">
        <f t="shared" si="31"/>
        <v>428400</v>
      </c>
      <c r="O65" s="30">
        <f t="shared" si="33"/>
        <v>6426000</v>
      </c>
      <c r="P65" s="40"/>
      <c r="S65" s="40">
        <f t="shared" si="34"/>
        <v>0</v>
      </c>
      <c r="W65" s="48">
        <f t="shared" si="35"/>
        <v>0</v>
      </c>
      <c r="AA65" s="57">
        <f t="shared" si="36"/>
        <v>0</v>
      </c>
      <c r="AE65" s="62">
        <f t="shared" si="37"/>
        <v>0</v>
      </c>
      <c r="AI65" s="12">
        <f t="shared" si="38"/>
        <v>0</v>
      </c>
      <c r="AM65" s="63">
        <f t="shared" si="39"/>
        <v>0</v>
      </c>
      <c r="AQ65" s="68">
        <f t="shared" si="40"/>
        <v>0</v>
      </c>
      <c r="AU65" s="73">
        <f t="shared" si="41"/>
        <v>0</v>
      </c>
      <c r="AY65" s="35">
        <f t="shared" ref="AY65:AY70" si="42">AX65*C65</f>
        <v>0</v>
      </c>
      <c r="BC65" s="63">
        <f t="shared" ref="BC65:BC70" si="43">BB65*C65</f>
        <v>0</v>
      </c>
    </row>
    <row r="66" spans="1:55" x14ac:dyDescent="0.3">
      <c r="A66" s="10">
        <v>63</v>
      </c>
      <c r="B66" s="10" t="s">
        <v>37</v>
      </c>
      <c r="C66" s="10">
        <v>2</v>
      </c>
      <c r="F66" s="75"/>
      <c r="K66" s="25">
        <f t="shared" si="32"/>
        <v>0</v>
      </c>
      <c r="L66" s="29">
        <v>2</v>
      </c>
      <c r="O66" s="30">
        <f t="shared" si="33"/>
        <v>0</v>
      </c>
      <c r="P66" s="39">
        <v>1</v>
      </c>
      <c r="Q66" s="40">
        <v>2975000</v>
      </c>
      <c r="R66" s="40">
        <f>Q66/P66</f>
        <v>2975000</v>
      </c>
      <c r="S66" s="40">
        <f t="shared" si="34"/>
        <v>5950000</v>
      </c>
      <c r="W66" s="48">
        <f t="shared" si="35"/>
        <v>0</v>
      </c>
      <c r="AA66" s="57">
        <f t="shared" si="36"/>
        <v>0</v>
      </c>
      <c r="AE66" s="62">
        <f t="shared" si="37"/>
        <v>0</v>
      </c>
      <c r="AI66" s="12">
        <f t="shared" si="38"/>
        <v>0</v>
      </c>
      <c r="AM66" s="63">
        <f t="shared" si="39"/>
        <v>0</v>
      </c>
      <c r="AQ66" s="68">
        <f t="shared" si="40"/>
        <v>0</v>
      </c>
      <c r="AU66" s="73">
        <f t="shared" si="41"/>
        <v>0</v>
      </c>
      <c r="AY66" s="35">
        <f t="shared" si="42"/>
        <v>0</v>
      </c>
      <c r="BC66" s="63">
        <f t="shared" si="43"/>
        <v>0</v>
      </c>
    </row>
    <row r="67" spans="1:55" x14ac:dyDescent="0.3">
      <c r="A67" s="10">
        <v>64</v>
      </c>
      <c r="B67" s="10" t="s">
        <v>39</v>
      </c>
      <c r="C67" s="10">
        <v>2</v>
      </c>
      <c r="F67" s="75"/>
      <c r="K67" s="25">
        <f t="shared" si="32"/>
        <v>0</v>
      </c>
      <c r="L67" s="29">
        <v>2</v>
      </c>
      <c r="O67" s="30">
        <f t="shared" si="33"/>
        <v>0</v>
      </c>
      <c r="P67" s="39">
        <v>1</v>
      </c>
      <c r="Q67" s="40">
        <v>2975000</v>
      </c>
      <c r="R67" s="40">
        <f t="shared" ref="R67:R70" si="44">Q67/P67</f>
        <v>2975000</v>
      </c>
      <c r="S67" s="40">
        <f t="shared" si="34"/>
        <v>5950000</v>
      </c>
      <c r="W67" s="48">
        <f t="shared" si="35"/>
        <v>0</v>
      </c>
      <c r="AA67" s="57">
        <f t="shared" si="36"/>
        <v>0</v>
      </c>
      <c r="AE67" s="62">
        <f t="shared" si="37"/>
        <v>0</v>
      </c>
      <c r="AI67" s="12">
        <f t="shared" si="38"/>
        <v>0</v>
      </c>
      <c r="AM67" s="63">
        <f t="shared" si="39"/>
        <v>0</v>
      </c>
      <c r="AQ67" s="68">
        <f t="shared" si="40"/>
        <v>0</v>
      </c>
      <c r="AU67" s="73">
        <f t="shared" si="41"/>
        <v>0</v>
      </c>
      <c r="AY67" s="35">
        <f t="shared" si="42"/>
        <v>0</v>
      </c>
      <c r="BC67" s="63">
        <f t="shared" si="43"/>
        <v>0</v>
      </c>
    </row>
    <row r="68" spans="1:55" x14ac:dyDescent="0.3">
      <c r="A68" s="10">
        <v>65</v>
      </c>
      <c r="B68" s="10" t="s">
        <v>40</v>
      </c>
      <c r="C68" s="10">
        <v>4</v>
      </c>
      <c r="F68" s="75"/>
      <c r="K68" s="25">
        <f t="shared" si="32"/>
        <v>0</v>
      </c>
      <c r="L68" s="29">
        <v>4</v>
      </c>
      <c r="O68" s="30">
        <f t="shared" si="33"/>
        <v>0</v>
      </c>
      <c r="P68" s="39">
        <v>1</v>
      </c>
      <c r="Q68" s="40">
        <v>1785000</v>
      </c>
      <c r="R68" s="40">
        <f t="shared" si="44"/>
        <v>1785000</v>
      </c>
      <c r="S68" s="40">
        <f t="shared" si="34"/>
        <v>7140000</v>
      </c>
      <c r="W68" s="48">
        <f t="shared" si="35"/>
        <v>0</v>
      </c>
      <c r="AA68" s="57">
        <f t="shared" si="36"/>
        <v>0</v>
      </c>
      <c r="AE68" s="62">
        <f t="shared" si="37"/>
        <v>0</v>
      </c>
      <c r="AI68" s="12">
        <f t="shared" si="38"/>
        <v>0</v>
      </c>
      <c r="AM68" s="63">
        <f t="shared" si="39"/>
        <v>0</v>
      </c>
      <c r="AQ68" s="68">
        <f t="shared" si="40"/>
        <v>0</v>
      </c>
      <c r="AU68" s="73">
        <f t="shared" si="41"/>
        <v>0</v>
      </c>
      <c r="AY68" s="35">
        <f t="shared" si="42"/>
        <v>0</v>
      </c>
      <c r="BC68" s="63">
        <f t="shared" si="43"/>
        <v>0</v>
      </c>
    </row>
    <row r="69" spans="1:55" x14ac:dyDescent="0.3">
      <c r="A69" s="10">
        <v>66</v>
      </c>
      <c r="B69" s="10" t="s">
        <v>41</v>
      </c>
      <c r="C69" s="10">
        <v>4</v>
      </c>
      <c r="F69" s="75"/>
      <c r="K69" s="25">
        <f t="shared" si="32"/>
        <v>0</v>
      </c>
      <c r="L69" s="29">
        <v>4</v>
      </c>
      <c r="O69" s="30">
        <f t="shared" si="33"/>
        <v>0</v>
      </c>
      <c r="P69" s="39">
        <v>1</v>
      </c>
      <c r="Q69" s="40">
        <v>1785000</v>
      </c>
      <c r="R69" s="40">
        <f t="shared" si="44"/>
        <v>1785000</v>
      </c>
      <c r="S69" s="40">
        <f t="shared" si="34"/>
        <v>7140000</v>
      </c>
      <c r="W69" s="48">
        <f t="shared" si="35"/>
        <v>0</v>
      </c>
      <c r="AA69" s="57">
        <f t="shared" si="36"/>
        <v>0</v>
      </c>
      <c r="AE69" s="62">
        <f t="shared" si="37"/>
        <v>0</v>
      </c>
      <c r="AI69" s="12">
        <f t="shared" si="38"/>
        <v>0</v>
      </c>
      <c r="AM69" s="63">
        <f t="shared" si="39"/>
        <v>0</v>
      </c>
      <c r="AQ69" s="68">
        <f t="shared" si="40"/>
        <v>0</v>
      </c>
      <c r="AU69" s="73">
        <f t="shared" si="41"/>
        <v>0</v>
      </c>
      <c r="AY69" s="35">
        <f t="shared" si="42"/>
        <v>0</v>
      </c>
      <c r="BC69" s="63">
        <f t="shared" si="43"/>
        <v>0</v>
      </c>
    </row>
    <row r="70" spans="1:55" x14ac:dyDescent="0.3">
      <c r="A70" s="10">
        <v>67</v>
      </c>
      <c r="B70" s="10" t="s">
        <v>42</v>
      </c>
      <c r="C70" s="10">
        <v>4</v>
      </c>
      <c r="F70" s="75"/>
      <c r="K70" s="25">
        <f t="shared" si="32"/>
        <v>0</v>
      </c>
      <c r="L70" s="29">
        <v>4</v>
      </c>
      <c r="O70" s="30">
        <f t="shared" si="33"/>
        <v>0</v>
      </c>
      <c r="P70" s="39">
        <v>1</v>
      </c>
      <c r="Q70" s="40">
        <v>952000</v>
      </c>
      <c r="R70" s="40">
        <f t="shared" si="44"/>
        <v>952000</v>
      </c>
      <c r="S70" s="40">
        <f t="shared" si="34"/>
        <v>3808000</v>
      </c>
      <c r="W70" s="48">
        <f t="shared" si="35"/>
        <v>0</v>
      </c>
      <c r="AA70" s="57">
        <f t="shared" si="36"/>
        <v>0</v>
      </c>
      <c r="AE70" s="62">
        <f t="shared" si="37"/>
        <v>0</v>
      </c>
      <c r="AI70" s="12">
        <f t="shared" si="38"/>
        <v>0</v>
      </c>
      <c r="AM70" s="63">
        <f t="shared" si="39"/>
        <v>0</v>
      </c>
      <c r="AQ70" s="68">
        <f t="shared" si="40"/>
        <v>0</v>
      </c>
      <c r="AU70" s="73">
        <f t="shared" si="41"/>
        <v>0</v>
      </c>
      <c r="AY70" s="35">
        <f t="shared" si="42"/>
        <v>0</v>
      </c>
      <c r="BC70" s="63">
        <f t="shared" si="43"/>
        <v>0</v>
      </c>
    </row>
  </sheetData>
  <mergeCells count="16">
    <mergeCell ref="L2:O2"/>
    <mergeCell ref="D2:G2"/>
    <mergeCell ref="B2:B3"/>
    <mergeCell ref="A2:A3"/>
    <mergeCell ref="C2:C3"/>
    <mergeCell ref="H2:K2"/>
    <mergeCell ref="AN2:AQ2"/>
    <mergeCell ref="AR2:AU2"/>
    <mergeCell ref="AV2:AY2"/>
    <mergeCell ref="AZ2:BC2"/>
    <mergeCell ref="P2:S2"/>
    <mergeCell ref="T2:W2"/>
    <mergeCell ref="X2:AA2"/>
    <mergeCell ref="AB2:AE2"/>
    <mergeCell ref="AF2:AI2"/>
    <mergeCell ref="AJ2:AM2"/>
  </mergeCells>
  <pageMargins left="0.7" right="0.7" top="0.75" bottom="0.75" header="0.3" footer="0.3"/>
  <ignoredErrors>
    <ignoredError sqref="G34 J39 BB49 BB5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86"/>
  <sheetViews>
    <sheetView tabSelected="1" topLeftCell="C1" zoomScale="50" zoomScaleNormal="50" workbookViewId="0">
      <pane xSplit="2736" ySplit="1440" topLeftCell="A18" activePane="bottomRight"/>
      <selection activeCell="AA1" sqref="AA1"/>
      <selection pane="topRight" activeCell="AB1" sqref="AB1"/>
      <selection pane="bottomLeft" activeCell="C16" sqref="C16"/>
      <selection pane="bottomRight" activeCell="C41" sqref="C41:C43"/>
    </sheetView>
  </sheetViews>
  <sheetFormatPr defaultColWidth="11.44140625" defaultRowHeight="13.8" x14ac:dyDescent="0.3"/>
  <cols>
    <col min="1" max="1" width="6.5546875" style="81" bestFit="1" customWidth="1"/>
    <col min="2" max="2" width="9.44140625" style="81" customWidth="1"/>
    <col min="3" max="3" width="70.21875" style="81" bestFit="1" customWidth="1"/>
    <col min="4" max="5" width="15.5546875" style="81" customWidth="1"/>
    <col min="6" max="6" width="13.44140625" style="81" customWidth="1"/>
    <col min="7" max="7" width="15.44140625" style="81" bestFit="1" customWidth="1"/>
    <col min="8" max="11" width="15.44140625" style="81" customWidth="1"/>
    <col min="12" max="12" width="13.21875" style="81" customWidth="1"/>
    <col min="13" max="13" width="14.77734375" style="81" bestFit="1" customWidth="1"/>
    <col min="14" max="15" width="13.44140625" style="81" customWidth="1"/>
    <col min="16" max="16" width="13.44140625" style="134" customWidth="1"/>
    <col min="17" max="17" width="13.44140625" style="125" customWidth="1"/>
    <col min="18" max="18" width="7.5546875" style="81" bestFit="1" customWidth="1"/>
    <col min="19" max="19" width="13.21875" style="81" customWidth="1"/>
    <col min="20" max="20" width="14.77734375" style="81" bestFit="1" customWidth="1"/>
    <col min="21" max="21" width="14.77734375" style="81" customWidth="1"/>
    <col min="22" max="22" width="19.5546875" style="81" customWidth="1"/>
    <col min="23" max="23" width="16.21875" style="134" customWidth="1"/>
    <col min="24" max="24" width="13.44140625" style="134" customWidth="1"/>
    <col min="25" max="25" width="8.21875" style="136" bestFit="1" customWidth="1"/>
    <col min="26" max="26" width="68.77734375" style="81" customWidth="1"/>
    <col min="27" max="35" width="11.44140625" style="81"/>
    <col min="36" max="36" width="17.77734375" style="81" customWidth="1"/>
    <col min="37" max="16384" width="11.44140625" style="81"/>
  </cols>
  <sheetData>
    <row r="1" spans="1:36" x14ac:dyDescent="0.3">
      <c r="B1" s="82"/>
      <c r="C1" s="82"/>
      <c r="D1" s="82"/>
      <c r="E1" s="82"/>
      <c r="L1" s="82"/>
      <c r="M1" s="82"/>
      <c r="N1" s="82"/>
      <c r="O1" s="82"/>
      <c r="P1" s="126"/>
      <c r="Q1" s="120"/>
      <c r="T1" s="82"/>
      <c r="U1" s="82"/>
      <c r="V1" s="82"/>
      <c r="W1" s="126"/>
      <c r="X1" s="126"/>
    </row>
    <row r="2" spans="1:36" x14ac:dyDescent="0.3">
      <c r="A2" s="166" t="s">
        <v>303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83"/>
      <c r="V2" s="83"/>
      <c r="W2" s="127"/>
      <c r="X2" s="127"/>
    </row>
    <row r="3" spans="1:36" x14ac:dyDescent="0.3">
      <c r="A3" s="167" t="s">
        <v>304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84"/>
      <c r="V3" s="84"/>
      <c r="W3" s="128"/>
      <c r="X3" s="128"/>
    </row>
    <row r="4" spans="1:36" x14ac:dyDescent="0.3">
      <c r="B4" s="85"/>
      <c r="C4" s="85"/>
      <c r="D4" s="85"/>
      <c r="E4" s="85"/>
      <c r="L4" s="85"/>
      <c r="M4" s="85"/>
      <c r="N4" s="85"/>
      <c r="O4" s="85"/>
      <c r="P4" s="129"/>
      <c r="Q4" s="121"/>
      <c r="T4" s="85"/>
      <c r="U4" s="85"/>
      <c r="V4" s="85"/>
      <c r="W4" s="129"/>
      <c r="X4" s="129"/>
    </row>
    <row r="5" spans="1:36" x14ac:dyDescent="0.3">
      <c r="A5" s="168" t="s">
        <v>305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</row>
    <row r="6" spans="1:36" x14ac:dyDescent="0.3">
      <c r="B6" s="86"/>
      <c r="C6" s="86" t="s">
        <v>306</v>
      </c>
      <c r="D6" s="86"/>
      <c r="E6" s="86"/>
      <c r="G6" s="87" t="s">
        <v>307</v>
      </c>
      <c r="H6" s="87"/>
      <c r="I6" s="87"/>
      <c r="J6" s="87"/>
      <c r="K6" s="87"/>
      <c r="L6" s="86"/>
      <c r="M6" s="86"/>
      <c r="N6" s="86"/>
      <c r="O6" s="86"/>
      <c r="P6" s="130"/>
      <c r="Q6" s="122"/>
      <c r="T6" s="86"/>
      <c r="U6" s="86"/>
      <c r="V6" s="86"/>
      <c r="W6" s="130"/>
      <c r="X6" s="130"/>
    </row>
    <row r="7" spans="1:36" x14ac:dyDescent="0.3">
      <c r="B7" s="88" t="s">
        <v>308</v>
      </c>
      <c r="C7" s="89"/>
      <c r="D7" s="90"/>
      <c r="E7" s="90"/>
      <c r="F7" s="90"/>
      <c r="G7" s="90"/>
      <c r="H7" s="90"/>
      <c r="I7" s="90"/>
      <c r="J7" s="90"/>
      <c r="K7" s="90"/>
      <c r="L7" s="90"/>
      <c r="M7" s="169"/>
      <c r="N7" s="169"/>
      <c r="O7" s="169"/>
      <c r="P7" s="169"/>
      <c r="Q7" s="169"/>
      <c r="R7" s="169"/>
      <c r="S7" s="91"/>
      <c r="T7" s="91"/>
      <c r="U7" s="91"/>
      <c r="V7" s="91"/>
      <c r="W7" s="131"/>
      <c r="X7" s="131"/>
    </row>
    <row r="8" spans="1:36" x14ac:dyDescent="0.3">
      <c r="B8" s="92"/>
      <c r="C8" s="89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131"/>
      <c r="Q8" s="123"/>
      <c r="R8" s="91"/>
    </row>
    <row r="9" spans="1:36" x14ac:dyDescent="0.3">
      <c r="A9" s="170" t="s">
        <v>309</v>
      </c>
      <c r="B9" s="170" t="s">
        <v>310</v>
      </c>
      <c r="C9" s="93" t="s">
        <v>311</v>
      </c>
      <c r="D9" s="171" t="s">
        <v>312</v>
      </c>
      <c r="E9" s="171" t="s">
        <v>328</v>
      </c>
      <c r="F9" s="173" t="s">
        <v>313</v>
      </c>
      <c r="G9" s="174"/>
      <c r="H9" s="171" t="s">
        <v>314</v>
      </c>
      <c r="I9" s="171" t="s">
        <v>326</v>
      </c>
      <c r="J9" s="171" t="s">
        <v>163</v>
      </c>
      <c r="K9" s="171" t="s">
        <v>331</v>
      </c>
      <c r="L9" s="170" t="s">
        <v>315</v>
      </c>
      <c r="M9" s="170"/>
      <c r="N9" s="171" t="s">
        <v>314</v>
      </c>
      <c r="O9" s="171" t="s">
        <v>326</v>
      </c>
      <c r="P9" s="175" t="s">
        <v>163</v>
      </c>
      <c r="Q9" s="179" t="s">
        <v>327</v>
      </c>
      <c r="R9" s="171" t="s">
        <v>316</v>
      </c>
      <c r="S9" s="170" t="s">
        <v>317</v>
      </c>
      <c r="T9" s="170"/>
      <c r="U9" s="171" t="s">
        <v>314</v>
      </c>
      <c r="V9" s="171" t="s">
        <v>326</v>
      </c>
      <c r="W9" s="175" t="s">
        <v>163</v>
      </c>
      <c r="X9" s="175" t="s">
        <v>327</v>
      </c>
      <c r="Y9" s="175" t="s">
        <v>316</v>
      </c>
      <c r="Z9" s="175" t="s">
        <v>423</v>
      </c>
      <c r="AA9" s="173" t="s">
        <v>514</v>
      </c>
      <c r="AB9" s="181"/>
      <c r="AC9" s="181"/>
      <c r="AD9" s="181"/>
      <c r="AE9" s="181"/>
      <c r="AF9" s="181"/>
      <c r="AG9" s="181"/>
      <c r="AH9" s="181"/>
      <c r="AI9" s="174"/>
      <c r="AJ9" s="175" t="s">
        <v>515</v>
      </c>
    </row>
    <row r="10" spans="1:36" x14ac:dyDescent="0.3">
      <c r="A10" s="170"/>
      <c r="B10" s="170"/>
      <c r="C10" s="94" t="s">
        <v>318</v>
      </c>
      <c r="D10" s="172"/>
      <c r="E10" s="172"/>
      <c r="F10" s="94" t="s">
        <v>319</v>
      </c>
      <c r="G10" s="94" t="s">
        <v>320</v>
      </c>
      <c r="H10" s="172"/>
      <c r="I10" s="172"/>
      <c r="J10" s="172"/>
      <c r="K10" s="172"/>
      <c r="L10" s="94" t="s">
        <v>319</v>
      </c>
      <c r="M10" s="94" t="s">
        <v>320</v>
      </c>
      <c r="N10" s="172"/>
      <c r="O10" s="172"/>
      <c r="P10" s="176"/>
      <c r="Q10" s="180"/>
      <c r="R10" s="172"/>
      <c r="S10" s="94" t="s">
        <v>319</v>
      </c>
      <c r="T10" s="94" t="s">
        <v>320</v>
      </c>
      <c r="U10" s="172"/>
      <c r="V10" s="172"/>
      <c r="W10" s="176"/>
      <c r="X10" s="176"/>
      <c r="Y10" s="176"/>
      <c r="Z10" s="176"/>
      <c r="AA10" s="94" t="s">
        <v>156</v>
      </c>
      <c r="AB10" s="94" t="s">
        <v>438</v>
      </c>
      <c r="AC10" s="94" t="s">
        <v>309</v>
      </c>
      <c r="AD10" s="94" t="s">
        <v>156</v>
      </c>
      <c r="AE10" s="94" t="s">
        <v>438</v>
      </c>
      <c r="AF10" s="94" t="s">
        <v>309</v>
      </c>
      <c r="AG10" s="94" t="s">
        <v>156</v>
      </c>
      <c r="AH10" s="94" t="s">
        <v>438</v>
      </c>
      <c r="AI10" s="94" t="s">
        <v>309</v>
      </c>
      <c r="AJ10" s="176"/>
    </row>
    <row r="11" spans="1:36" s="136" customFormat="1" ht="27.6" x14ac:dyDescent="0.3">
      <c r="A11" s="95">
        <v>2</v>
      </c>
      <c r="B11" s="96"/>
      <c r="C11" s="97" t="s">
        <v>0</v>
      </c>
      <c r="D11" s="98">
        <v>4250</v>
      </c>
      <c r="E11" s="98" t="s">
        <v>332</v>
      </c>
      <c r="F11" s="99">
        <v>61402</v>
      </c>
      <c r="G11" s="100">
        <f t="shared" ref="G11:G17" si="0">F11*D11</f>
        <v>260958500</v>
      </c>
      <c r="H11" s="100" t="s">
        <v>333</v>
      </c>
      <c r="I11" s="100" t="s">
        <v>334</v>
      </c>
      <c r="J11" s="119">
        <v>100</v>
      </c>
      <c r="K11" s="118">
        <v>4</v>
      </c>
      <c r="L11" s="101">
        <v>40000</v>
      </c>
      <c r="M11" s="100">
        <f t="shared" ref="M11:M54" si="1">L11*D11</f>
        <v>170000000</v>
      </c>
      <c r="N11" s="102" t="s">
        <v>340</v>
      </c>
      <c r="O11" s="102" t="s">
        <v>339</v>
      </c>
      <c r="P11" s="117">
        <v>1000</v>
      </c>
      <c r="Q11" s="118">
        <v>3.5</v>
      </c>
      <c r="R11" s="103">
        <f t="shared" ref="R11:R42" si="2">M11/G11-1</f>
        <v>-0.34855542164750331</v>
      </c>
      <c r="S11" s="101">
        <v>53900</v>
      </c>
      <c r="T11" s="100">
        <f t="shared" ref="T11:T42" si="3">S11*D11</f>
        <v>229075000</v>
      </c>
      <c r="U11" s="150" t="s">
        <v>248</v>
      </c>
      <c r="V11" s="102" t="s">
        <v>343</v>
      </c>
      <c r="W11" s="117">
        <v>250</v>
      </c>
      <c r="X11" s="118">
        <v>3</v>
      </c>
      <c r="Y11" s="143">
        <f t="shared" ref="Y11:Y42" si="4">G11/MIN(T11,M11,G11)</f>
        <v>1.53505</v>
      </c>
      <c r="Z11" s="144" t="s">
        <v>424</v>
      </c>
      <c r="AA11" s="81" t="s">
        <v>436</v>
      </c>
      <c r="AB11" s="81" t="s">
        <v>437</v>
      </c>
      <c r="AC11" s="81" t="s">
        <v>439</v>
      </c>
      <c r="AD11" s="136" t="s">
        <v>440</v>
      </c>
      <c r="AE11" s="136">
        <v>48497</v>
      </c>
      <c r="AF11" s="81" t="s">
        <v>443</v>
      </c>
      <c r="AG11" s="136" t="s">
        <v>340</v>
      </c>
      <c r="AH11" s="136">
        <v>11332</v>
      </c>
      <c r="AI11" s="81" t="s">
        <v>450</v>
      </c>
      <c r="AJ11" s="136" t="s">
        <v>495</v>
      </c>
    </row>
    <row r="12" spans="1:36" ht="55.2" x14ac:dyDescent="0.3">
      <c r="A12" s="95">
        <v>1</v>
      </c>
      <c r="B12" s="138"/>
      <c r="C12" s="139" t="s">
        <v>104</v>
      </c>
      <c r="D12" s="140">
        <v>4272</v>
      </c>
      <c r="E12" s="140" t="s">
        <v>329</v>
      </c>
      <c r="F12" s="142">
        <v>30000</v>
      </c>
      <c r="G12" s="100">
        <f t="shared" si="0"/>
        <v>128160000</v>
      </c>
      <c r="H12" s="100" t="s">
        <v>333</v>
      </c>
      <c r="I12" s="100" t="s">
        <v>330</v>
      </c>
      <c r="J12" s="119">
        <v>48</v>
      </c>
      <c r="K12" s="118">
        <v>5</v>
      </c>
      <c r="L12" s="100">
        <v>7140</v>
      </c>
      <c r="M12" s="100">
        <f t="shared" si="1"/>
        <v>30502080</v>
      </c>
      <c r="N12" s="100" t="s">
        <v>341</v>
      </c>
      <c r="O12" s="100" t="s">
        <v>342</v>
      </c>
      <c r="P12" s="117">
        <v>2000</v>
      </c>
      <c r="Q12" s="118">
        <v>4.5</v>
      </c>
      <c r="R12" s="103">
        <f t="shared" si="2"/>
        <v>-0.76200000000000001</v>
      </c>
      <c r="S12" s="100">
        <v>14565</v>
      </c>
      <c r="T12" s="100">
        <f t="shared" si="3"/>
        <v>62221680</v>
      </c>
      <c r="U12" s="151" t="s">
        <v>340</v>
      </c>
      <c r="V12" s="102" t="s">
        <v>339</v>
      </c>
      <c r="W12" s="135">
        <v>384</v>
      </c>
      <c r="X12" s="118">
        <v>4</v>
      </c>
      <c r="Y12" s="143">
        <f t="shared" si="4"/>
        <v>4.2016806722689077</v>
      </c>
      <c r="Z12" s="144" t="s">
        <v>434</v>
      </c>
      <c r="AA12" s="81" t="s">
        <v>436</v>
      </c>
      <c r="AB12" s="81" t="s">
        <v>437</v>
      </c>
      <c r="AC12" s="81">
        <v>606104</v>
      </c>
      <c r="AD12" s="136" t="s">
        <v>440</v>
      </c>
      <c r="AE12" s="136">
        <v>48497</v>
      </c>
      <c r="AF12" s="136" t="s">
        <v>442</v>
      </c>
      <c r="AG12" s="136" t="s">
        <v>340</v>
      </c>
      <c r="AH12" s="136">
        <v>11332</v>
      </c>
      <c r="AI12" s="136" t="s">
        <v>449</v>
      </c>
      <c r="AJ12" s="136" t="s">
        <v>506</v>
      </c>
    </row>
    <row r="13" spans="1:36" ht="27.6" x14ac:dyDescent="0.3">
      <c r="A13" s="95">
        <v>8</v>
      </c>
      <c r="B13" s="96"/>
      <c r="C13" s="97" t="s">
        <v>380</v>
      </c>
      <c r="D13" s="98">
        <v>10000</v>
      </c>
      <c r="E13" s="98" t="s">
        <v>329</v>
      </c>
      <c r="F13" s="99">
        <v>3800</v>
      </c>
      <c r="G13" s="100">
        <f t="shared" si="0"/>
        <v>38000000</v>
      </c>
      <c r="H13" s="102" t="s">
        <v>269</v>
      </c>
      <c r="I13" s="100" t="s">
        <v>349</v>
      </c>
      <c r="J13" s="119">
        <v>2500</v>
      </c>
      <c r="K13" s="118">
        <v>5</v>
      </c>
      <c r="L13" s="101">
        <v>9964</v>
      </c>
      <c r="M13" s="100">
        <f t="shared" si="1"/>
        <v>99640000</v>
      </c>
      <c r="N13" s="102" t="s">
        <v>341</v>
      </c>
      <c r="O13" s="102" t="s">
        <v>350</v>
      </c>
      <c r="P13" s="117">
        <v>1000</v>
      </c>
      <c r="Q13" s="118">
        <v>4.5</v>
      </c>
      <c r="R13" s="103">
        <f t="shared" si="2"/>
        <v>1.6221052631578949</v>
      </c>
      <c r="S13" s="101">
        <v>3536</v>
      </c>
      <c r="T13" s="100">
        <f t="shared" si="3"/>
        <v>35360000</v>
      </c>
      <c r="U13" s="100" t="s">
        <v>337</v>
      </c>
      <c r="V13" s="102" t="s">
        <v>351</v>
      </c>
      <c r="W13" s="117">
        <v>2000</v>
      </c>
      <c r="X13" s="118">
        <v>3.5</v>
      </c>
      <c r="Y13" s="143">
        <f t="shared" si="4"/>
        <v>1.0746606334841629</v>
      </c>
      <c r="Z13" s="145" t="s">
        <v>426</v>
      </c>
      <c r="AA13" s="146" t="str">
        <f>H13</f>
        <v xml:space="preserve">ISLA SAS </v>
      </c>
      <c r="AB13" s="81" t="s">
        <v>446</v>
      </c>
      <c r="AC13" s="81" t="s">
        <v>470</v>
      </c>
      <c r="AD13" s="146" t="str">
        <f>N13</f>
        <v xml:space="preserve">ARC ANALISIS </v>
      </c>
      <c r="AE13" s="136">
        <v>48497</v>
      </c>
      <c r="AF13" s="81">
        <v>11732088</v>
      </c>
      <c r="AG13" s="146" t="str">
        <f>U13</f>
        <v xml:space="preserve">GENPRODUCTS </v>
      </c>
      <c r="AH13" s="136">
        <v>11332</v>
      </c>
      <c r="AI13" s="81" t="s">
        <v>463</v>
      </c>
      <c r="AJ13" s="81" t="s">
        <v>499</v>
      </c>
    </row>
    <row r="14" spans="1:36" ht="27.6" x14ac:dyDescent="0.3">
      <c r="A14" s="95">
        <v>15</v>
      </c>
      <c r="B14" s="96"/>
      <c r="C14" s="97" t="s">
        <v>13</v>
      </c>
      <c r="D14" s="98">
        <v>12</v>
      </c>
      <c r="E14" s="98" t="s">
        <v>353</v>
      </c>
      <c r="F14" s="99">
        <v>248710</v>
      </c>
      <c r="G14" s="100">
        <f t="shared" si="0"/>
        <v>2984520</v>
      </c>
      <c r="H14" s="100" t="s">
        <v>269</v>
      </c>
      <c r="I14" s="100" t="s">
        <v>362</v>
      </c>
      <c r="J14" s="119">
        <v>2</v>
      </c>
      <c r="K14" s="118">
        <v>5</v>
      </c>
      <c r="L14" s="101">
        <v>229194</v>
      </c>
      <c r="M14" s="100">
        <f t="shared" si="1"/>
        <v>2750328</v>
      </c>
      <c r="N14" s="102" t="s">
        <v>341</v>
      </c>
      <c r="O14" s="102" t="s">
        <v>350</v>
      </c>
      <c r="P14" s="117">
        <v>5</v>
      </c>
      <c r="Q14" s="118">
        <v>4.5</v>
      </c>
      <c r="R14" s="103">
        <f t="shared" si="2"/>
        <v>-7.8468899521531132E-2</v>
      </c>
      <c r="S14" s="101">
        <v>321300</v>
      </c>
      <c r="T14" s="100">
        <f t="shared" si="3"/>
        <v>3855600</v>
      </c>
      <c r="U14" s="100" t="s">
        <v>341</v>
      </c>
      <c r="V14" s="102" t="s">
        <v>363</v>
      </c>
      <c r="W14" s="117">
        <v>5</v>
      </c>
      <c r="X14" s="118">
        <v>4.5</v>
      </c>
      <c r="Y14" s="143">
        <f t="shared" si="4"/>
        <v>1.0851505711318796</v>
      </c>
      <c r="Z14" s="145" t="s">
        <v>435</v>
      </c>
      <c r="AA14" s="146" t="str">
        <f>H14</f>
        <v xml:space="preserve">ISLA SAS </v>
      </c>
      <c r="AB14" s="81" t="s">
        <v>446</v>
      </c>
      <c r="AC14" s="81" t="s">
        <v>471</v>
      </c>
      <c r="AD14" s="146" t="str">
        <f>N14</f>
        <v xml:space="preserve">ARC ANALISIS </v>
      </c>
      <c r="AE14" s="136">
        <v>48497</v>
      </c>
      <c r="AF14" s="81">
        <v>25530049</v>
      </c>
      <c r="AG14" s="146" t="str">
        <f>U14</f>
        <v xml:space="preserve">ARC ANALISIS </v>
      </c>
      <c r="AH14" s="136">
        <v>48497</v>
      </c>
      <c r="AI14" s="81" t="s">
        <v>459</v>
      </c>
      <c r="AJ14" s="81" t="s">
        <v>499</v>
      </c>
    </row>
    <row r="15" spans="1:36" x14ac:dyDescent="0.3">
      <c r="A15" s="95">
        <v>29</v>
      </c>
      <c r="B15" s="96"/>
      <c r="C15" s="97" t="s">
        <v>70</v>
      </c>
      <c r="D15" s="98">
        <v>60</v>
      </c>
      <c r="E15" s="98" t="s">
        <v>329</v>
      </c>
      <c r="F15" s="99">
        <v>29862</v>
      </c>
      <c r="G15" s="100">
        <f t="shared" si="0"/>
        <v>1791720</v>
      </c>
      <c r="H15" s="100" t="s">
        <v>269</v>
      </c>
      <c r="I15" s="100" t="s">
        <v>349</v>
      </c>
      <c r="J15" s="119">
        <v>30</v>
      </c>
      <c r="K15" s="118">
        <v>5</v>
      </c>
      <c r="L15" s="104">
        <v>27274.799999999999</v>
      </c>
      <c r="M15" s="100">
        <f t="shared" si="1"/>
        <v>1636488</v>
      </c>
      <c r="N15" s="100" t="s">
        <v>354</v>
      </c>
      <c r="O15" s="100" t="s">
        <v>351</v>
      </c>
      <c r="P15" s="117">
        <v>25</v>
      </c>
      <c r="Q15" s="118">
        <v>4.5</v>
      </c>
      <c r="R15" s="103">
        <f t="shared" si="2"/>
        <v>-8.6638537271448657E-2</v>
      </c>
      <c r="S15" s="106">
        <v>69638</v>
      </c>
      <c r="T15" s="100">
        <f t="shared" si="3"/>
        <v>4178280</v>
      </c>
      <c r="U15" s="100" t="s">
        <v>341</v>
      </c>
      <c r="V15" s="102" t="s">
        <v>350</v>
      </c>
      <c r="W15" s="132">
        <v>50</v>
      </c>
      <c r="X15" s="118">
        <v>5</v>
      </c>
      <c r="Y15" s="143">
        <f t="shared" si="4"/>
        <v>1.0948567908838929</v>
      </c>
      <c r="Z15" s="81" t="s">
        <v>427</v>
      </c>
      <c r="AA15" s="146" t="str">
        <f>H15</f>
        <v xml:space="preserve">ISLA SAS </v>
      </c>
      <c r="AB15" s="81" t="s">
        <v>446</v>
      </c>
      <c r="AC15" s="81" t="s">
        <v>476</v>
      </c>
      <c r="AD15" s="146" t="str">
        <f>N15</f>
        <v>GENPRODUTS</v>
      </c>
      <c r="AE15" s="136">
        <v>11332</v>
      </c>
      <c r="AF15" s="81" t="s">
        <v>468</v>
      </c>
      <c r="AG15" s="146" t="str">
        <f>U15</f>
        <v xml:space="preserve">ARC ANALISIS </v>
      </c>
      <c r="AH15" s="136">
        <v>48497</v>
      </c>
      <c r="AI15" s="81">
        <v>18091050</v>
      </c>
      <c r="AJ15" s="81" t="s">
        <v>499</v>
      </c>
    </row>
    <row r="16" spans="1:36" x14ac:dyDescent="0.3">
      <c r="A16" s="95">
        <v>3</v>
      </c>
      <c r="B16" s="96"/>
      <c r="C16" s="97" t="s">
        <v>1</v>
      </c>
      <c r="D16" s="98">
        <v>2000</v>
      </c>
      <c r="E16" s="98" t="s">
        <v>218</v>
      </c>
      <c r="F16" s="99">
        <v>6318.31</v>
      </c>
      <c r="G16" s="100">
        <f t="shared" si="0"/>
        <v>12636620</v>
      </c>
      <c r="H16" s="100" t="s">
        <v>248</v>
      </c>
      <c r="I16" s="100" t="s">
        <v>335</v>
      </c>
      <c r="J16" s="119">
        <v>100</v>
      </c>
      <c r="K16" s="118">
        <v>5</v>
      </c>
      <c r="L16" s="101">
        <v>12399.8</v>
      </c>
      <c r="M16" s="100">
        <f t="shared" si="1"/>
        <v>24799600</v>
      </c>
      <c r="N16" s="102" t="s">
        <v>269</v>
      </c>
      <c r="O16" s="102" t="s">
        <v>336</v>
      </c>
      <c r="P16" s="117">
        <v>100</v>
      </c>
      <c r="Q16" s="118">
        <v>5</v>
      </c>
      <c r="R16" s="103">
        <f t="shared" si="2"/>
        <v>0.96251845825861659</v>
      </c>
      <c r="S16" s="101">
        <v>13090</v>
      </c>
      <c r="T16" s="100">
        <f t="shared" si="3"/>
        <v>26180000</v>
      </c>
      <c r="U16" s="100" t="s">
        <v>337</v>
      </c>
      <c r="V16" s="102" t="s">
        <v>338</v>
      </c>
      <c r="W16" s="117">
        <v>100</v>
      </c>
      <c r="X16" s="118">
        <v>5</v>
      </c>
      <c r="Y16" s="143">
        <f t="shared" si="4"/>
        <v>1</v>
      </c>
      <c r="Z16" s="81" t="s">
        <v>425</v>
      </c>
      <c r="AA16" s="81" t="s">
        <v>248</v>
      </c>
      <c r="AB16" s="81" t="s">
        <v>445</v>
      </c>
      <c r="AC16" s="81" t="s">
        <v>444</v>
      </c>
      <c r="AD16" s="81" t="s">
        <v>441</v>
      </c>
      <c r="AE16" s="81" t="s">
        <v>446</v>
      </c>
      <c r="AF16" s="81" t="s">
        <v>447</v>
      </c>
      <c r="AG16" s="136" t="s">
        <v>340</v>
      </c>
      <c r="AH16" s="136">
        <v>11332</v>
      </c>
      <c r="AI16" s="81" t="s">
        <v>451</v>
      </c>
      <c r="AJ16" s="81" t="s">
        <v>496</v>
      </c>
    </row>
    <row r="17" spans="1:36" ht="27.6" x14ac:dyDescent="0.3">
      <c r="A17" s="95">
        <v>7</v>
      </c>
      <c r="B17" s="96"/>
      <c r="C17" s="97" t="s">
        <v>123</v>
      </c>
      <c r="D17" s="98">
        <v>5760</v>
      </c>
      <c r="E17" s="98" t="s">
        <v>246</v>
      </c>
      <c r="F17" s="99">
        <v>275.66000000000003</v>
      </c>
      <c r="G17" s="100">
        <f t="shared" si="0"/>
        <v>1587801.6</v>
      </c>
      <c r="H17" s="100" t="s">
        <v>248</v>
      </c>
      <c r="I17" s="102" t="s">
        <v>347</v>
      </c>
      <c r="J17" s="119">
        <v>960</v>
      </c>
      <c r="K17" s="118">
        <v>5</v>
      </c>
      <c r="L17" s="101">
        <v>303.85000000000002</v>
      </c>
      <c r="M17" s="100">
        <f t="shared" si="1"/>
        <v>1750176.0000000002</v>
      </c>
      <c r="N17" s="102" t="s">
        <v>221</v>
      </c>
      <c r="O17" s="100" t="s">
        <v>346</v>
      </c>
      <c r="P17" s="117">
        <v>960</v>
      </c>
      <c r="Q17" s="118">
        <v>5</v>
      </c>
      <c r="R17" s="103">
        <f t="shared" si="2"/>
        <v>0.10226365812957994</v>
      </c>
      <c r="S17" s="101">
        <v>333.45</v>
      </c>
      <c r="T17" s="100">
        <f t="shared" si="3"/>
        <v>1920672</v>
      </c>
      <c r="U17" s="100" t="s">
        <v>337</v>
      </c>
      <c r="V17" s="102" t="s">
        <v>338</v>
      </c>
      <c r="W17" s="117">
        <v>960</v>
      </c>
      <c r="X17" s="118">
        <v>5</v>
      </c>
      <c r="Y17" s="143">
        <f t="shared" si="4"/>
        <v>1</v>
      </c>
      <c r="Z17" s="81" t="s">
        <v>425</v>
      </c>
      <c r="AA17" s="146" t="str">
        <f t="shared" ref="AA17:AA37" si="5">H17</f>
        <v>GENTECH</v>
      </c>
      <c r="AB17" s="81" t="s">
        <v>445</v>
      </c>
      <c r="AC17" s="81">
        <v>14200</v>
      </c>
      <c r="AD17" s="146" t="str">
        <f t="shared" ref="AD17:AD37" si="6">N17</f>
        <v xml:space="preserve">BPL MEDICAL </v>
      </c>
      <c r="AE17" s="81" t="s">
        <v>480</v>
      </c>
      <c r="AF17" s="81" t="s">
        <v>479</v>
      </c>
      <c r="AG17" s="146" t="str">
        <f t="shared" ref="AG17:AG37" si="7">U17</f>
        <v xml:space="preserve">GENPRODUCTS </v>
      </c>
      <c r="AH17" s="136">
        <v>11332</v>
      </c>
      <c r="AI17" s="81" t="s">
        <v>462</v>
      </c>
      <c r="AJ17" s="81" t="s">
        <v>496</v>
      </c>
    </row>
    <row r="18" spans="1:36" ht="27.6" x14ac:dyDescent="0.3">
      <c r="A18" s="95">
        <v>62</v>
      </c>
      <c r="B18" s="96"/>
      <c r="C18" s="97" t="s">
        <v>300</v>
      </c>
      <c r="D18" s="98">
        <v>12</v>
      </c>
      <c r="E18" s="98" t="s">
        <v>246</v>
      </c>
      <c r="F18" s="99">
        <v>30000</v>
      </c>
      <c r="G18" s="100">
        <f>D18*F18</f>
        <v>360000</v>
      </c>
      <c r="H18" s="100" t="s">
        <v>398</v>
      </c>
      <c r="I18" s="100" t="s">
        <v>399</v>
      </c>
      <c r="J18" s="119" t="s">
        <v>230</v>
      </c>
      <c r="K18" s="118">
        <v>5</v>
      </c>
      <c r="L18" s="104">
        <v>30000</v>
      </c>
      <c r="M18" s="100">
        <f t="shared" si="1"/>
        <v>360000</v>
      </c>
      <c r="N18" s="102" t="s">
        <v>404</v>
      </c>
      <c r="O18" s="102" t="s">
        <v>404</v>
      </c>
      <c r="P18" s="117" t="s">
        <v>230</v>
      </c>
      <c r="Q18" s="118">
        <v>5</v>
      </c>
      <c r="R18" s="103">
        <f t="shared" si="2"/>
        <v>0</v>
      </c>
      <c r="S18" s="104">
        <v>31000</v>
      </c>
      <c r="T18" s="100">
        <f t="shared" si="3"/>
        <v>372000</v>
      </c>
      <c r="U18" s="100" t="s">
        <v>410</v>
      </c>
      <c r="V18" s="102" t="s">
        <v>411</v>
      </c>
      <c r="W18" s="132" t="s">
        <v>230</v>
      </c>
      <c r="X18" s="118">
        <v>5</v>
      </c>
      <c r="Y18" s="143">
        <f t="shared" si="4"/>
        <v>1</v>
      </c>
      <c r="Z18" s="81" t="s">
        <v>433</v>
      </c>
      <c r="AA18" s="146" t="str">
        <f t="shared" si="5"/>
        <v xml:space="preserve">ALFA TRADING </v>
      </c>
      <c r="AB18" s="115">
        <v>13464</v>
      </c>
      <c r="AC18" s="81" t="s">
        <v>517</v>
      </c>
      <c r="AD18" s="146" t="str">
        <f t="shared" si="6"/>
        <v xml:space="preserve">NIPRO MEDICAL </v>
      </c>
      <c r="AG18" s="146" t="str">
        <f t="shared" si="7"/>
        <v xml:space="preserve">RUIZ PEDRO DAVID </v>
      </c>
      <c r="AJ18" s="81" t="s">
        <v>507</v>
      </c>
    </row>
    <row r="19" spans="1:36" x14ac:dyDescent="0.3">
      <c r="A19" s="95">
        <v>63</v>
      </c>
      <c r="B19" s="96"/>
      <c r="C19" s="97" t="s">
        <v>299</v>
      </c>
      <c r="D19" s="98">
        <v>120</v>
      </c>
      <c r="E19" s="147" t="s">
        <v>246</v>
      </c>
      <c r="F19" s="99">
        <v>30000</v>
      </c>
      <c r="G19" s="100">
        <f>D19*F19</f>
        <v>3600000</v>
      </c>
      <c r="H19" s="100" t="s">
        <v>398</v>
      </c>
      <c r="I19" s="100" t="s">
        <v>399</v>
      </c>
      <c r="J19" s="119" t="s">
        <v>230</v>
      </c>
      <c r="K19" s="118">
        <v>5</v>
      </c>
      <c r="L19" s="104">
        <v>63771</v>
      </c>
      <c r="M19" s="100">
        <f t="shared" si="1"/>
        <v>7652520</v>
      </c>
      <c r="N19" s="102" t="s">
        <v>415</v>
      </c>
      <c r="O19" s="102" t="s">
        <v>419</v>
      </c>
      <c r="P19" s="117" t="s">
        <v>230</v>
      </c>
      <c r="Q19" s="118">
        <v>5</v>
      </c>
      <c r="R19" s="103">
        <f t="shared" si="2"/>
        <v>1.1257000000000001</v>
      </c>
      <c r="S19" s="104">
        <v>50000</v>
      </c>
      <c r="T19" s="100">
        <f t="shared" si="3"/>
        <v>6000000</v>
      </c>
      <c r="U19" s="100" t="s">
        <v>398</v>
      </c>
      <c r="V19" s="102" t="s">
        <v>399</v>
      </c>
      <c r="W19" s="132" t="s">
        <v>412</v>
      </c>
      <c r="X19" s="118">
        <v>5</v>
      </c>
      <c r="Y19" s="143">
        <f t="shared" si="4"/>
        <v>1</v>
      </c>
      <c r="Z19" s="81" t="s">
        <v>433</v>
      </c>
      <c r="AA19" s="146" t="str">
        <f t="shared" si="5"/>
        <v xml:space="preserve">ALFA TRADING </v>
      </c>
      <c r="AB19" s="115">
        <v>13464</v>
      </c>
      <c r="AC19" s="81" t="s">
        <v>518</v>
      </c>
      <c r="AD19" s="146" t="str">
        <f t="shared" si="6"/>
        <v>ESFERA</v>
      </c>
      <c r="AG19" s="146" t="str">
        <f t="shared" si="7"/>
        <v xml:space="preserve">ALFA TRADING </v>
      </c>
      <c r="AJ19" s="81" t="s">
        <v>507</v>
      </c>
    </row>
    <row r="20" spans="1:36" x14ac:dyDescent="0.3">
      <c r="A20" s="95">
        <v>12</v>
      </c>
      <c r="B20" s="96"/>
      <c r="C20" s="97" t="s">
        <v>117</v>
      </c>
      <c r="D20" s="98">
        <v>20</v>
      </c>
      <c r="E20" s="98" t="s">
        <v>353</v>
      </c>
      <c r="F20" s="99">
        <v>12900</v>
      </c>
      <c r="G20" s="100">
        <f t="shared" ref="G20:G25" si="8">F20*D20</f>
        <v>258000</v>
      </c>
      <c r="H20" s="100" t="s">
        <v>358</v>
      </c>
      <c r="I20" s="102" t="s">
        <v>356</v>
      </c>
      <c r="J20" s="119">
        <v>20</v>
      </c>
      <c r="K20" s="118">
        <v>5</v>
      </c>
      <c r="L20" s="101">
        <v>16065</v>
      </c>
      <c r="M20" s="100">
        <f t="shared" si="1"/>
        <v>321300</v>
      </c>
      <c r="N20" s="102" t="s">
        <v>248</v>
      </c>
      <c r="O20" s="102" t="s">
        <v>359</v>
      </c>
      <c r="P20" s="117">
        <v>10</v>
      </c>
      <c r="Q20" s="118">
        <v>3</v>
      </c>
      <c r="R20" s="103">
        <f t="shared" si="2"/>
        <v>0.24534883720930223</v>
      </c>
      <c r="S20" s="101">
        <v>25704</v>
      </c>
      <c r="T20" s="100">
        <f t="shared" si="3"/>
        <v>514080</v>
      </c>
      <c r="U20" s="100" t="s">
        <v>340</v>
      </c>
      <c r="V20" s="102" t="s">
        <v>360</v>
      </c>
      <c r="W20" s="117">
        <v>100</v>
      </c>
      <c r="X20" s="118">
        <v>4</v>
      </c>
      <c r="Y20" s="143">
        <f t="shared" si="4"/>
        <v>1</v>
      </c>
      <c r="Z20" s="81" t="s">
        <v>429</v>
      </c>
      <c r="AA20" s="146" t="str">
        <f t="shared" si="5"/>
        <v>ARC ANALIS</v>
      </c>
      <c r="AB20" s="136">
        <v>48497</v>
      </c>
      <c r="AC20" s="81">
        <v>15290018</v>
      </c>
      <c r="AD20" s="146" t="str">
        <f t="shared" si="6"/>
        <v>GENTECH</v>
      </c>
      <c r="AE20" s="81" t="s">
        <v>445</v>
      </c>
      <c r="AF20" s="81" t="s">
        <v>454</v>
      </c>
      <c r="AG20" s="146" t="str">
        <f t="shared" si="7"/>
        <v>GENPRODUCTS</v>
      </c>
      <c r="AH20" s="136">
        <v>11332</v>
      </c>
      <c r="AI20" s="81" t="s">
        <v>466</v>
      </c>
      <c r="AJ20" s="81" t="s">
        <v>510</v>
      </c>
    </row>
    <row r="21" spans="1:36" x14ac:dyDescent="0.3">
      <c r="A21" s="95">
        <v>13</v>
      </c>
      <c r="B21" s="96"/>
      <c r="C21" s="97" t="s">
        <v>118</v>
      </c>
      <c r="D21" s="98">
        <v>20</v>
      </c>
      <c r="E21" s="98" t="s">
        <v>353</v>
      </c>
      <c r="F21" s="99">
        <v>44600</v>
      </c>
      <c r="G21" s="100">
        <f t="shared" si="8"/>
        <v>892000</v>
      </c>
      <c r="H21" s="100" t="s">
        <v>358</v>
      </c>
      <c r="I21" s="102" t="s">
        <v>356</v>
      </c>
      <c r="J21" s="119">
        <v>10</v>
      </c>
      <c r="K21" s="118">
        <v>5</v>
      </c>
      <c r="L21" s="101">
        <v>63183.1</v>
      </c>
      <c r="M21" s="100">
        <f t="shared" si="1"/>
        <v>1263662</v>
      </c>
      <c r="N21" s="102" t="s">
        <v>248</v>
      </c>
      <c r="O21" s="102" t="s">
        <v>359</v>
      </c>
      <c r="P21" s="117">
        <v>10</v>
      </c>
      <c r="Q21" s="118">
        <v>5</v>
      </c>
      <c r="R21" s="103">
        <f t="shared" si="2"/>
        <v>0.41666143497757857</v>
      </c>
      <c r="S21" s="104">
        <v>44600</v>
      </c>
      <c r="T21" s="100">
        <f t="shared" si="3"/>
        <v>892000</v>
      </c>
      <c r="U21" s="100" t="s">
        <v>358</v>
      </c>
      <c r="V21" s="102" t="s">
        <v>356</v>
      </c>
      <c r="W21" s="119">
        <v>10</v>
      </c>
      <c r="X21" s="118">
        <v>5</v>
      </c>
      <c r="Y21" s="143">
        <f t="shared" si="4"/>
        <v>1</v>
      </c>
      <c r="Z21" s="81" t="s">
        <v>429</v>
      </c>
      <c r="AA21" s="146" t="str">
        <f t="shared" si="5"/>
        <v>ARC ANALIS</v>
      </c>
      <c r="AB21" s="136">
        <v>48497</v>
      </c>
      <c r="AC21" s="81">
        <v>15750060</v>
      </c>
      <c r="AD21" s="146" t="str">
        <f t="shared" si="6"/>
        <v>GENTECH</v>
      </c>
      <c r="AE21" s="81" t="s">
        <v>445</v>
      </c>
      <c r="AF21" s="81" t="s">
        <v>455</v>
      </c>
      <c r="AG21" s="146" t="str">
        <f t="shared" si="7"/>
        <v>ARC ANALIS</v>
      </c>
      <c r="AH21" s="136">
        <v>48497</v>
      </c>
      <c r="AI21" s="81">
        <v>15750060</v>
      </c>
      <c r="AJ21" s="81" t="s">
        <v>510</v>
      </c>
    </row>
    <row r="22" spans="1:36" x14ac:dyDescent="0.3">
      <c r="A22" s="95">
        <v>25</v>
      </c>
      <c r="B22" s="96"/>
      <c r="C22" s="97" t="s">
        <v>57</v>
      </c>
      <c r="D22" s="98">
        <v>10</v>
      </c>
      <c r="E22" s="98" t="s">
        <v>368</v>
      </c>
      <c r="F22" s="99">
        <v>319000</v>
      </c>
      <c r="G22" s="100">
        <f t="shared" si="8"/>
        <v>3190000</v>
      </c>
      <c r="H22" s="100" t="s">
        <v>322</v>
      </c>
      <c r="I22" s="100" t="s">
        <v>369</v>
      </c>
      <c r="J22" s="119">
        <v>10</v>
      </c>
      <c r="K22" s="118">
        <v>5</v>
      </c>
      <c r="L22" s="104">
        <v>319000</v>
      </c>
      <c r="M22" s="100">
        <f t="shared" si="1"/>
        <v>3190000</v>
      </c>
      <c r="N22" s="100" t="s">
        <v>322</v>
      </c>
      <c r="O22" s="100" t="s">
        <v>369</v>
      </c>
      <c r="P22" s="117">
        <v>10</v>
      </c>
      <c r="Q22" s="118">
        <v>5</v>
      </c>
      <c r="R22" s="103">
        <f t="shared" si="2"/>
        <v>0</v>
      </c>
      <c r="S22" s="101">
        <v>319000</v>
      </c>
      <c r="T22" s="100">
        <f t="shared" si="3"/>
        <v>3190000</v>
      </c>
      <c r="U22" s="100" t="s">
        <v>322</v>
      </c>
      <c r="V22" s="102" t="s">
        <v>369</v>
      </c>
      <c r="W22" s="119">
        <v>10</v>
      </c>
      <c r="X22" s="118">
        <v>5</v>
      </c>
      <c r="Y22" s="143">
        <f t="shared" si="4"/>
        <v>1</v>
      </c>
      <c r="Z22" s="81" t="s">
        <v>428</v>
      </c>
      <c r="AA22" s="146" t="str">
        <f t="shared" si="5"/>
        <v xml:space="preserve">LABCARE </v>
      </c>
      <c r="AB22" s="81" t="s">
        <v>445</v>
      </c>
      <c r="AC22" s="81" t="s">
        <v>488</v>
      </c>
      <c r="AD22" s="146" t="str">
        <f t="shared" si="6"/>
        <v xml:space="preserve">LABCARE </v>
      </c>
      <c r="AE22" s="81" t="s">
        <v>445</v>
      </c>
      <c r="AF22" s="81" t="s">
        <v>488</v>
      </c>
      <c r="AG22" s="146" t="str">
        <f t="shared" si="7"/>
        <v xml:space="preserve">LABCARE </v>
      </c>
      <c r="AH22" s="81" t="s">
        <v>445</v>
      </c>
      <c r="AI22" s="81" t="s">
        <v>488</v>
      </c>
      <c r="AJ22" s="81" t="s">
        <v>500</v>
      </c>
    </row>
    <row r="23" spans="1:36" x14ac:dyDescent="0.3">
      <c r="A23" s="95">
        <v>5</v>
      </c>
      <c r="B23" s="96"/>
      <c r="C23" s="97" t="s">
        <v>121</v>
      </c>
      <c r="D23" s="98">
        <v>5760</v>
      </c>
      <c r="E23" s="98" t="s">
        <v>246</v>
      </c>
      <c r="F23" s="99">
        <v>255.23</v>
      </c>
      <c r="G23" s="100">
        <f t="shared" si="8"/>
        <v>1470124.8</v>
      </c>
      <c r="H23" s="100" t="s">
        <v>345</v>
      </c>
      <c r="I23" s="100" t="s">
        <v>346</v>
      </c>
      <c r="J23" s="119">
        <v>960</v>
      </c>
      <c r="K23" s="118">
        <v>5</v>
      </c>
      <c r="L23" s="101">
        <v>287.14999999999998</v>
      </c>
      <c r="M23" s="100">
        <f t="shared" si="1"/>
        <v>1653983.9999999998</v>
      </c>
      <c r="N23" s="102" t="s">
        <v>248</v>
      </c>
      <c r="O23" s="102" t="s">
        <v>347</v>
      </c>
      <c r="P23" s="117">
        <v>960</v>
      </c>
      <c r="Q23" s="118">
        <v>5</v>
      </c>
      <c r="R23" s="103">
        <f t="shared" si="2"/>
        <v>0.12506366806409885</v>
      </c>
      <c r="S23" s="101">
        <v>446.25</v>
      </c>
      <c r="T23" s="100">
        <f t="shared" si="3"/>
        <v>2570400</v>
      </c>
      <c r="U23" s="100" t="s">
        <v>214</v>
      </c>
      <c r="V23" s="102" t="s">
        <v>348</v>
      </c>
      <c r="W23" s="117">
        <v>960</v>
      </c>
      <c r="X23" s="118">
        <v>5</v>
      </c>
      <c r="Y23" s="143">
        <f t="shared" si="4"/>
        <v>1</v>
      </c>
      <c r="Z23" s="81" t="s">
        <v>425</v>
      </c>
      <c r="AA23" s="146" t="str">
        <f t="shared" si="5"/>
        <v xml:space="preserve">BPL MEDICAS </v>
      </c>
      <c r="AB23" s="81" t="s">
        <v>480</v>
      </c>
      <c r="AC23" s="81" t="s">
        <v>482</v>
      </c>
      <c r="AD23" s="146" t="str">
        <f t="shared" si="6"/>
        <v>GENTECH</v>
      </c>
      <c r="AE23" s="81" t="s">
        <v>445</v>
      </c>
      <c r="AF23" s="81">
        <v>38000</v>
      </c>
      <c r="AG23" s="146" t="str">
        <f t="shared" si="7"/>
        <v xml:space="preserve">BIODAN </v>
      </c>
      <c r="AH23" s="81" t="s">
        <v>486</v>
      </c>
      <c r="AI23" s="81">
        <v>311012</v>
      </c>
      <c r="AJ23" s="145" t="s">
        <v>498</v>
      </c>
    </row>
    <row r="24" spans="1:36" x14ac:dyDescent="0.3">
      <c r="A24" s="95">
        <v>6</v>
      </c>
      <c r="B24" s="96"/>
      <c r="C24" s="97" t="s">
        <v>122</v>
      </c>
      <c r="D24" s="98">
        <v>2880</v>
      </c>
      <c r="E24" s="98" t="s">
        <v>246</v>
      </c>
      <c r="F24" s="99">
        <v>253.21</v>
      </c>
      <c r="G24" s="100">
        <f t="shared" si="8"/>
        <v>729244.8</v>
      </c>
      <c r="H24" s="100" t="s">
        <v>345</v>
      </c>
      <c r="I24" s="100" t="s">
        <v>346</v>
      </c>
      <c r="J24" s="119">
        <v>960</v>
      </c>
      <c r="K24" s="118">
        <v>5</v>
      </c>
      <c r="L24" s="101">
        <v>287.14999999999998</v>
      </c>
      <c r="M24" s="100">
        <f t="shared" si="1"/>
        <v>826991.99999999988</v>
      </c>
      <c r="N24" s="102" t="s">
        <v>248</v>
      </c>
      <c r="O24" s="102" t="s">
        <v>347</v>
      </c>
      <c r="P24" s="117">
        <v>960</v>
      </c>
      <c r="Q24" s="118">
        <v>5</v>
      </c>
      <c r="R24" s="103">
        <f t="shared" si="2"/>
        <v>0.13403894001026795</v>
      </c>
      <c r="S24" s="101">
        <v>492.11</v>
      </c>
      <c r="T24" s="100">
        <f t="shared" si="3"/>
        <v>1417276.8</v>
      </c>
      <c r="U24" s="100" t="s">
        <v>322</v>
      </c>
      <c r="V24" s="102"/>
      <c r="W24" s="117">
        <v>960</v>
      </c>
      <c r="X24" s="118">
        <v>5</v>
      </c>
      <c r="Y24" s="143">
        <f t="shared" si="4"/>
        <v>1</v>
      </c>
      <c r="Z24" s="81" t="s">
        <v>425</v>
      </c>
      <c r="AA24" s="146" t="str">
        <f t="shared" si="5"/>
        <v xml:space="preserve">BPL MEDICAS </v>
      </c>
      <c r="AB24" s="81" t="s">
        <v>480</v>
      </c>
      <c r="AC24" s="81" t="s">
        <v>481</v>
      </c>
      <c r="AD24" s="146" t="str">
        <f t="shared" si="6"/>
        <v>GENTECH</v>
      </c>
      <c r="AE24" s="81" t="s">
        <v>445</v>
      </c>
      <c r="AF24" s="81">
        <v>36060</v>
      </c>
      <c r="AG24" s="146" t="str">
        <f t="shared" si="7"/>
        <v xml:space="preserve">LABCARE </v>
      </c>
      <c r="AH24" s="81" t="s">
        <v>445</v>
      </c>
      <c r="AI24" s="81" t="s">
        <v>489</v>
      </c>
      <c r="AJ24" s="145" t="s">
        <v>498</v>
      </c>
    </row>
    <row r="25" spans="1:36" ht="27.6" x14ac:dyDescent="0.3">
      <c r="A25" s="95">
        <v>18</v>
      </c>
      <c r="B25" s="96"/>
      <c r="C25" s="97" t="s">
        <v>22</v>
      </c>
      <c r="D25" s="98">
        <v>60</v>
      </c>
      <c r="E25" s="98" t="s">
        <v>353</v>
      </c>
      <c r="F25" s="99">
        <v>134288.75</v>
      </c>
      <c r="G25" s="100">
        <f t="shared" si="8"/>
        <v>8057325</v>
      </c>
      <c r="H25" s="100" t="s">
        <v>345</v>
      </c>
      <c r="I25" s="100" t="s">
        <v>364</v>
      </c>
      <c r="J25" s="119">
        <v>60</v>
      </c>
      <c r="K25" s="118">
        <v>5</v>
      </c>
      <c r="L25" s="101">
        <v>83918.8</v>
      </c>
      <c r="M25" s="100">
        <f t="shared" si="1"/>
        <v>5035128</v>
      </c>
      <c r="N25" s="102" t="s">
        <v>340</v>
      </c>
      <c r="O25" s="102" t="s">
        <v>339</v>
      </c>
      <c r="P25" s="117">
        <v>50</v>
      </c>
      <c r="Q25" s="118">
        <v>4.5</v>
      </c>
      <c r="R25" s="103">
        <f t="shared" si="2"/>
        <v>-0.37508689298247244</v>
      </c>
      <c r="S25" s="104">
        <v>134288.75</v>
      </c>
      <c r="T25" s="100">
        <f t="shared" si="3"/>
        <v>8057325</v>
      </c>
      <c r="U25" s="100" t="s">
        <v>345</v>
      </c>
      <c r="V25" s="102" t="s">
        <v>364</v>
      </c>
      <c r="W25" s="119">
        <v>60</v>
      </c>
      <c r="X25" s="118">
        <v>5</v>
      </c>
      <c r="Y25" s="143">
        <f t="shared" si="4"/>
        <v>1.6002224769658289</v>
      </c>
      <c r="Z25" s="81" t="s">
        <v>427</v>
      </c>
      <c r="AA25" s="146" t="str">
        <f t="shared" si="5"/>
        <v xml:space="preserve">BPL MEDICAS </v>
      </c>
      <c r="AB25" s="81" t="s">
        <v>480</v>
      </c>
      <c r="AC25" s="81" t="s">
        <v>485</v>
      </c>
      <c r="AD25" s="146" t="str">
        <f t="shared" si="6"/>
        <v>GENPRODUCTS</v>
      </c>
      <c r="AE25" s="136">
        <v>11332</v>
      </c>
      <c r="AF25" s="81" t="s">
        <v>467</v>
      </c>
      <c r="AG25" s="146" t="str">
        <f t="shared" si="7"/>
        <v xml:space="preserve">BPL MEDICAS </v>
      </c>
      <c r="AH25" s="81" t="s">
        <v>480</v>
      </c>
      <c r="AI25" s="81" t="s">
        <v>485</v>
      </c>
      <c r="AJ25" s="145" t="s">
        <v>498</v>
      </c>
    </row>
    <row r="26" spans="1:36" ht="27.6" x14ac:dyDescent="0.3">
      <c r="A26" s="95">
        <v>60</v>
      </c>
      <c r="B26" s="96"/>
      <c r="C26" s="97" t="s">
        <v>297</v>
      </c>
      <c r="D26" s="98">
        <v>480</v>
      </c>
      <c r="E26" s="98" t="s">
        <v>246</v>
      </c>
      <c r="F26" s="99">
        <v>98</v>
      </c>
      <c r="G26" s="100">
        <f>D26*F26</f>
        <v>47040</v>
      </c>
      <c r="H26" s="100" t="s">
        <v>298</v>
      </c>
      <c r="I26" s="100" t="s">
        <v>298</v>
      </c>
      <c r="J26" s="119" t="s">
        <v>396</v>
      </c>
      <c r="K26" s="118">
        <v>5</v>
      </c>
      <c r="L26" s="104">
        <v>260</v>
      </c>
      <c r="M26" s="100">
        <f t="shared" si="1"/>
        <v>124800</v>
      </c>
      <c r="N26" s="102" t="s">
        <v>402</v>
      </c>
      <c r="O26" s="102" t="s">
        <v>402</v>
      </c>
      <c r="P26" s="117" t="s">
        <v>396</v>
      </c>
      <c r="Q26" s="118">
        <v>5</v>
      </c>
      <c r="R26" s="103">
        <f t="shared" si="2"/>
        <v>1.6530612244897958</v>
      </c>
      <c r="S26" s="104">
        <v>220</v>
      </c>
      <c r="T26" s="100">
        <f t="shared" si="3"/>
        <v>105600</v>
      </c>
      <c r="U26" s="100" t="s">
        <v>298</v>
      </c>
      <c r="V26" s="102" t="s">
        <v>298</v>
      </c>
      <c r="W26" s="132" t="s">
        <v>409</v>
      </c>
      <c r="X26" s="118">
        <v>5</v>
      </c>
      <c r="Y26" s="143">
        <f t="shared" si="4"/>
        <v>1</v>
      </c>
      <c r="Z26" s="81" t="s">
        <v>433</v>
      </c>
      <c r="AA26" s="146" t="str">
        <f t="shared" si="5"/>
        <v xml:space="preserve">DESECHABLES MEDICOS </v>
      </c>
      <c r="AD26" s="146" t="str">
        <f t="shared" si="6"/>
        <v xml:space="preserve">PULIDO PINEDA GLORIA </v>
      </c>
      <c r="AG26" s="146" t="str">
        <f t="shared" si="7"/>
        <v xml:space="preserve">DESECHABLES MEDICOS </v>
      </c>
      <c r="AJ26" s="81" t="s">
        <v>501</v>
      </c>
    </row>
    <row r="27" spans="1:36" ht="27.6" x14ac:dyDescent="0.3">
      <c r="A27" s="95">
        <v>61</v>
      </c>
      <c r="B27" s="96"/>
      <c r="C27" s="97" t="s">
        <v>291</v>
      </c>
      <c r="D27" s="98">
        <v>480</v>
      </c>
      <c r="E27" s="98" t="s">
        <v>246</v>
      </c>
      <c r="F27" s="99">
        <v>336</v>
      </c>
      <c r="G27" s="100">
        <f>D27*F27</f>
        <v>161280</v>
      </c>
      <c r="H27" s="100" t="s">
        <v>298</v>
      </c>
      <c r="I27" s="100" t="s">
        <v>298</v>
      </c>
      <c r="J27" s="119" t="s">
        <v>397</v>
      </c>
      <c r="K27" s="118">
        <v>5</v>
      </c>
      <c r="L27" s="104">
        <v>700</v>
      </c>
      <c r="M27" s="100">
        <f t="shared" si="1"/>
        <v>336000</v>
      </c>
      <c r="N27" s="102" t="s">
        <v>402</v>
      </c>
      <c r="O27" s="102" t="s">
        <v>402</v>
      </c>
      <c r="P27" s="117" t="s">
        <v>403</v>
      </c>
      <c r="Q27" s="118">
        <v>5</v>
      </c>
      <c r="R27" s="103">
        <f t="shared" si="2"/>
        <v>1.0833333333333335</v>
      </c>
      <c r="S27" s="104">
        <v>447</v>
      </c>
      <c r="T27" s="100">
        <f t="shared" si="3"/>
        <v>214560</v>
      </c>
      <c r="U27" s="100" t="s">
        <v>298</v>
      </c>
      <c r="V27" s="102" t="s">
        <v>298</v>
      </c>
      <c r="W27" s="132" t="s">
        <v>403</v>
      </c>
      <c r="X27" s="118">
        <v>5</v>
      </c>
      <c r="Y27" s="143">
        <f t="shared" si="4"/>
        <v>1</v>
      </c>
      <c r="Z27" s="81" t="s">
        <v>433</v>
      </c>
      <c r="AA27" s="146" t="str">
        <f t="shared" si="5"/>
        <v xml:space="preserve">DESECHABLES MEDICOS </v>
      </c>
      <c r="AD27" s="146" t="str">
        <f t="shared" si="6"/>
        <v xml:space="preserve">PULIDO PINEDA GLORIA </v>
      </c>
      <c r="AG27" s="146" t="str">
        <f t="shared" si="7"/>
        <v xml:space="preserve">DESECHABLES MEDICOS </v>
      </c>
      <c r="AJ27" s="81" t="s">
        <v>501</v>
      </c>
    </row>
    <row r="28" spans="1:36" ht="27.6" x14ac:dyDescent="0.3">
      <c r="A28" s="95">
        <v>9</v>
      </c>
      <c r="B28" s="96"/>
      <c r="C28" s="97" t="s">
        <v>4</v>
      </c>
      <c r="D28" s="98">
        <v>20000</v>
      </c>
      <c r="E28" s="98" t="s">
        <v>218</v>
      </c>
      <c r="F28" s="99">
        <v>54.74</v>
      </c>
      <c r="G28" s="100">
        <f>F28*D28</f>
        <v>1094800</v>
      </c>
      <c r="H28" s="100" t="s">
        <v>321</v>
      </c>
      <c r="I28" s="100" t="s">
        <v>352</v>
      </c>
      <c r="J28" s="119">
        <v>500</v>
      </c>
      <c r="K28" s="118">
        <v>5</v>
      </c>
      <c r="L28" s="99">
        <v>74.099999999999994</v>
      </c>
      <c r="M28" s="100">
        <f t="shared" si="1"/>
        <v>1482000</v>
      </c>
      <c r="N28" s="100" t="s">
        <v>221</v>
      </c>
      <c r="O28" s="100" t="s">
        <v>346</v>
      </c>
      <c r="P28" s="117">
        <v>500</v>
      </c>
      <c r="Q28" s="118">
        <v>5</v>
      </c>
      <c r="R28" s="103">
        <f t="shared" si="2"/>
        <v>0.35367190354402633</v>
      </c>
      <c r="S28" s="101">
        <v>86.06</v>
      </c>
      <c r="T28" s="100">
        <f t="shared" si="3"/>
        <v>1721200</v>
      </c>
      <c r="U28" s="100" t="s">
        <v>248</v>
      </c>
      <c r="V28" s="102" t="s">
        <v>347</v>
      </c>
      <c r="W28" s="117">
        <v>500</v>
      </c>
      <c r="X28" s="118">
        <v>5</v>
      </c>
      <c r="Y28" s="143">
        <f t="shared" si="4"/>
        <v>1</v>
      </c>
      <c r="Z28" s="81" t="s">
        <v>425</v>
      </c>
      <c r="AA28" s="146" t="str">
        <f t="shared" si="5"/>
        <v xml:space="preserve">BIOPLAST </v>
      </c>
      <c r="AB28" s="81" t="s">
        <v>445</v>
      </c>
      <c r="AC28" s="81">
        <v>9</v>
      </c>
      <c r="AD28" s="146" t="str">
        <f t="shared" si="6"/>
        <v xml:space="preserve">BPL MEDICAL </v>
      </c>
      <c r="AE28" s="81" t="s">
        <v>480</v>
      </c>
      <c r="AF28" s="81" t="s">
        <v>483</v>
      </c>
      <c r="AG28" s="146" t="str">
        <f t="shared" si="7"/>
        <v>GENTECH</v>
      </c>
      <c r="AH28" s="81" t="s">
        <v>445</v>
      </c>
      <c r="AI28" s="81">
        <v>11510</v>
      </c>
      <c r="AJ28" s="81" t="s">
        <v>502</v>
      </c>
    </row>
    <row r="29" spans="1:36" x14ac:dyDescent="0.3">
      <c r="A29" s="95">
        <v>59</v>
      </c>
      <c r="B29" s="96"/>
      <c r="C29" s="97" t="s">
        <v>296</v>
      </c>
      <c r="D29" s="98">
        <v>480</v>
      </c>
      <c r="E29" s="98" t="s">
        <v>246</v>
      </c>
      <c r="F29" s="99">
        <v>400</v>
      </c>
      <c r="G29" s="100">
        <f>D29*F29</f>
        <v>192000</v>
      </c>
      <c r="H29" s="100" t="s">
        <v>394</v>
      </c>
      <c r="I29" s="100" t="s">
        <v>352</v>
      </c>
      <c r="J29" s="119" t="s">
        <v>395</v>
      </c>
      <c r="K29" s="118">
        <v>5</v>
      </c>
      <c r="L29" s="104">
        <v>559</v>
      </c>
      <c r="M29" s="100">
        <f t="shared" si="1"/>
        <v>268320</v>
      </c>
      <c r="N29" s="102" t="s">
        <v>400</v>
      </c>
      <c r="O29" s="102" t="s">
        <v>401</v>
      </c>
      <c r="P29" s="117" t="s">
        <v>395</v>
      </c>
      <c r="Q29" s="118">
        <v>4.5</v>
      </c>
      <c r="R29" s="103">
        <f t="shared" si="2"/>
        <v>0.39749999999999996</v>
      </c>
      <c r="S29" s="104">
        <v>400</v>
      </c>
      <c r="T29" s="100">
        <f t="shared" si="3"/>
        <v>192000</v>
      </c>
      <c r="U29" s="100" t="s">
        <v>407</v>
      </c>
      <c r="V29" s="102" t="s">
        <v>408</v>
      </c>
      <c r="W29" s="132" t="s">
        <v>395</v>
      </c>
      <c r="X29" s="118">
        <v>4.5</v>
      </c>
      <c r="Y29" s="143">
        <f t="shared" si="4"/>
        <v>1</v>
      </c>
      <c r="Z29" s="81" t="s">
        <v>433</v>
      </c>
      <c r="AA29" s="146" t="str">
        <f t="shared" si="5"/>
        <v xml:space="preserve">BIOPLAS </v>
      </c>
      <c r="AD29" s="146" t="str">
        <f t="shared" si="6"/>
        <v xml:space="preserve">CIREC </v>
      </c>
      <c r="AG29" s="146" t="str">
        <f t="shared" si="7"/>
        <v xml:space="preserve">GEMAPLAS </v>
      </c>
      <c r="AJ29" s="81" t="s">
        <v>502</v>
      </c>
    </row>
    <row r="30" spans="1:36" x14ac:dyDescent="0.3">
      <c r="A30" s="95">
        <v>11</v>
      </c>
      <c r="B30" s="96"/>
      <c r="C30" s="97" t="s">
        <v>119</v>
      </c>
      <c r="D30" s="98">
        <v>500</v>
      </c>
      <c r="E30" s="98" t="s">
        <v>353</v>
      </c>
      <c r="F30" s="99">
        <v>1826</v>
      </c>
      <c r="G30" s="100">
        <f>F30*D30</f>
        <v>913000</v>
      </c>
      <c r="H30" s="100" t="s">
        <v>214</v>
      </c>
      <c r="I30" s="100" t="s">
        <v>357</v>
      </c>
      <c r="J30" s="119">
        <v>500</v>
      </c>
      <c r="K30" s="118">
        <v>4</v>
      </c>
      <c r="L30" s="101">
        <v>2400</v>
      </c>
      <c r="M30" s="100">
        <f t="shared" si="1"/>
        <v>1200000</v>
      </c>
      <c r="N30" s="102" t="s">
        <v>340</v>
      </c>
      <c r="O30" s="102" t="s">
        <v>357</v>
      </c>
      <c r="P30" s="117">
        <v>500</v>
      </c>
      <c r="Q30" s="118">
        <v>4</v>
      </c>
      <c r="R30" s="103">
        <f t="shared" si="2"/>
        <v>0.31434830230010946</v>
      </c>
      <c r="S30" s="101">
        <v>8134</v>
      </c>
      <c r="T30" s="100">
        <f t="shared" si="3"/>
        <v>4067000</v>
      </c>
      <c r="U30" s="100" t="s">
        <v>341</v>
      </c>
      <c r="V30" s="102" t="s">
        <v>356</v>
      </c>
      <c r="W30" s="117">
        <v>500</v>
      </c>
      <c r="X30" s="118">
        <v>5</v>
      </c>
      <c r="Y30" s="143">
        <f t="shared" si="4"/>
        <v>1</v>
      </c>
      <c r="Z30" s="81" t="s">
        <v>429</v>
      </c>
      <c r="AA30" s="146" t="str">
        <f t="shared" si="5"/>
        <v xml:space="preserve">BIODAN </v>
      </c>
      <c r="AB30" s="81" t="s">
        <v>486</v>
      </c>
      <c r="AC30" s="81" t="s">
        <v>487</v>
      </c>
      <c r="AD30" s="146" t="str">
        <f t="shared" si="6"/>
        <v>GENPRODUCTS</v>
      </c>
      <c r="AE30" s="136">
        <v>11332</v>
      </c>
      <c r="AF30" s="81" t="s">
        <v>465</v>
      </c>
      <c r="AG30" s="146" t="str">
        <f t="shared" si="7"/>
        <v xml:space="preserve">ARC ANALISIS </v>
      </c>
      <c r="AH30" s="136">
        <v>48497</v>
      </c>
      <c r="AI30" s="81">
        <v>10082147</v>
      </c>
      <c r="AJ30" s="81" t="s">
        <v>503</v>
      </c>
    </row>
    <row r="31" spans="1:36" ht="27.6" x14ac:dyDescent="0.3">
      <c r="A31" s="95">
        <v>64</v>
      </c>
      <c r="B31" s="96"/>
      <c r="C31" s="97" t="s">
        <v>292</v>
      </c>
      <c r="D31" s="98">
        <v>600</v>
      </c>
      <c r="E31" s="98" t="s">
        <v>246</v>
      </c>
      <c r="F31" s="99">
        <v>6546</v>
      </c>
      <c r="G31" s="100">
        <f>D31*F31</f>
        <v>3927600</v>
      </c>
      <c r="H31" s="100" t="s">
        <v>301</v>
      </c>
      <c r="I31" s="100" t="s">
        <v>301</v>
      </c>
      <c r="J31" s="119" t="s">
        <v>218</v>
      </c>
      <c r="K31" s="118">
        <v>5</v>
      </c>
      <c r="L31" s="104">
        <v>10811</v>
      </c>
      <c r="M31" s="100">
        <f t="shared" si="1"/>
        <v>6486600</v>
      </c>
      <c r="N31" s="102" t="s">
        <v>405</v>
      </c>
      <c r="O31" s="102" t="s">
        <v>301</v>
      </c>
      <c r="P31" s="117" t="s">
        <v>406</v>
      </c>
      <c r="Q31" s="118">
        <v>5</v>
      </c>
      <c r="R31" s="103">
        <f t="shared" si="2"/>
        <v>0.65154292697830729</v>
      </c>
      <c r="S31" s="104">
        <v>2500</v>
      </c>
      <c r="T31" s="100">
        <f t="shared" si="3"/>
        <v>1500000</v>
      </c>
      <c r="U31" s="100" t="s">
        <v>413</v>
      </c>
      <c r="V31" s="102" t="s">
        <v>414</v>
      </c>
      <c r="W31" s="132" t="s">
        <v>246</v>
      </c>
      <c r="X31" s="118">
        <v>3.5</v>
      </c>
      <c r="Y31" s="143">
        <f t="shared" si="4"/>
        <v>2.6183999999999998</v>
      </c>
      <c r="Z31" s="81" t="s">
        <v>433</v>
      </c>
      <c r="AA31" s="146" t="str">
        <f t="shared" si="5"/>
        <v xml:space="preserve">BECTON DIKINSON </v>
      </c>
      <c r="AD31" s="146" t="str">
        <f t="shared" si="6"/>
        <v xml:space="preserve">IMCOLMEDICA </v>
      </c>
      <c r="AG31" s="146" t="str">
        <f t="shared" si="7"/>
        <v>New Stetic S.A</v>
      </c>
      <c r="AJ31" s="81" t="s">
        <v>504</v>
      </c>
    </row>
    <row r="32" spans="1:36" x14ac:dyDescent="0.3">
      <c r="A32" s="95">
        <v>39</v>
      </c>
      <c r="B32" s="96"/>
      <c r="C32" s="97" t="s">
        <v>97</v>
      </c>
      <c r="D32" s="98">
        <v>20</v>
      </c>
      <c r="E32" s="98" t="s">
        <v>384</v>
      </c>
      <c r="F32" s="99">
        <v>4300</v>
      </c>
      <c r="G32" s="100">
        <f t="shared" ref="G32:G40" si="9">F32*D32</f>
        <v>86000</v>
      </c>
      <c r="H32" s="100" t="s">
        <v>358</v>
      </c>
      <c r="I32" s="100" t="s">
        <v>350</v>
      </c>
      <c r="J32" s="119">
        <v>200</v>
      </c>
      <c r="K32" s="118">
        <v>4</v>
      </c>
      <c r="L32" s="148">
        <v>18445</v>
      </c>
      <c r="M32" s="100">
        <f t="shared" si="1"/>
        <v>368900</v>
      </c>
      <c r="N32" s="148" t="s">
        <v>269</v>
      </c>
      <c r="O32" s="148" t="s">
        <v>379</v>
      </c>
      <c r="P32" s="117">
        <v>100</v>
      </c>
      <c r="Q32" s="118">
        <v>5</v>
      </c>
      <c r="R32" s="103">
        <f t="shared" si="2"/>
        <v>3.2895348837209299</v>
      </c>
      <c r="S32" s="104">
        <v>4300</v>
      </c>
      <c r="T32" s="100">
        <f t="shared" si="3"/>
        <v>86000</v>
      </c>
      <c r="U32" s="100" t="s">
        <v>358</v>
      </c>
      <c r="V32" s="102" t="s">
        <v>350</v>
      </c>
      <c r="W32" s="119">
        <v>200</v>
      </c>
      <c r="X32" s="118">
        <v>4</v>
      </c>
      <c r="Y32" s="143">
        <f t="shared" si="4"/>
        <v>1</v>
      </c>
      <c r="Z32" s="81" t="s">
        <v>429</v>
      </c>
      <c r="AA32" s="146" t="str">
        <f t="shared" si="5"/>
        <v>ARC ANALIS</v>
      </c>
      <c r="AB32" s="136">
        <v>48497</v>
      </c>
      <c r="AC32" s="81">
        <v>10629020</v>
      </c>
      <c r="AD32" s="146" t="str">
        <f t="shared" si="6"/>
        <v xml:space="preserve">ISLA SAS </v>
      </c>
      <c r="AE32" s="81" t="s">
        <v>446</v>
      </c>
      <c r="AF32" s="81" t="s">
        <v>153</v>
      </c>
      <c r="AG32" s="146" t="str">
        <f t="shared" si="7"/>
        <v>ARC ANALIS</v>
      </c>
      <c r="AH32" s="136">
        <v>48497</v>
      </c>
      <c r="AI32" s="81">
        <v>10629020</v>
      </c>
      <c r="AJ32" s="81" t="s">
        <v>505</v>
      </c>
    </row>
    <row r="33" spans="1:36" x14ac:dyDescent="0.3">
      <c r="A33" s="95">
        <v>40</v>
      </c>
      <c r="B33" s="96"/>
      <c r="C33" s="97" t="s">
        <v>98</v>
      </c>
      <c r="D33" s="98">
        <v>24</v>
      </c>
      <c r="E33" s="98" t="s">
        <v>384</v>
      </c>
      <c r="F33" s="99">
        <v>4300</v>
      </c>
      <c r="G33" s="100">
        <f t="shared" si="9"/>
        <v>103200</v>
      </c>
      <c r="H33" s="100" t="s">
        <v>358</v>
      </c>
      <c r="I33" s="100" t="s">
        <v>350</v>
      </c>
      <c r="J33" s="119">
        <v>200</v>
      </c>
      <c r="K33" s="118">
        <v>4</v>
      </c>
      <c r="L33" s="101">
        <v>18445</v>
      </c>
      <c r="M33" s="100">
        <f t="shared" si="1"/>
        <v>442680</v>
      </c>
      <c r="N33" s="102" t="s">
        <v>269</v>
      </c>
      <c r="O33" s="102" t="s">
        <v>379</v>
      </c>
      <c r="P33" s="117">
        <v>100</v>
      </c>
      <c r="Q33" s="118">
        <v>5</v>
      </c>
      <c r="R33" s="103">
        <f t="shared" si="2"/>
        <v>3.2895348837209299</v>
      </c>
      <c r="S33" s="104">
        <v>4300</v>
      </c>
      <c r="T33" s="100">
        <f t="shared" si="3"/>
        <v>103200</v>
      </c>
      <c r="U33" s="100" t="s">
        <v>358</v>
      </c>
      <c r="V33" s="102" t="s">
        <v>350</v>
      </c>
      <c r="W33" s="119">
        <v>200</v>
      </c>
      <c r="X33" s="118">
        <v>4</v>
      </c>
      <c r="Y33" s="143">
        <f t="shared" si="4"/>
        <v>1</v>
      </c>
      <c r="Z33" s="81" t="s">
        <v>429</v>
      </c>
      <c r="AA33" s="146" t="str">
        <f t="shared" si="5"/>
        <v>ARC ANALIS</v>
      </c>
      <c r="AB33" s="136">
        <v>48497</v>
      </c>
      <c r="AC33" s="81">
        <v>10629020</v>
      </c>
      <c r="AD33" s="146" t="str">
        <f t="shared" si="6"/>
        <v xml:space="preserve">ISLA SAS </v>
      </c>
      <c r="AE33" s="81" t="s">
        <v>446</v>
      </c>
      <c r="AF33" s="81" t="s">
        <v>153</v>
      </c>
      <c r="AG33" s="146" t="str">
        <f t="shared" si="7"/>
        <v>ARC ANALIS</v>
      </c>
      <c r="AH33" s="136">
        <v>48497</v>
      </c>
      <c r="AI33" s="81">
        <v>10629020</v>
      </c>
      <c r="AJ33" s="81" t="s">
        <v>505</v>
      </c>
    </row>
    <row r="34" spans="1:36" x14ac:dyDescent="0.3">
      <c r="A34" s="95">
        <v>41</v>
      </c>
      <c r="B34" s="96"/>
      <c r="C34" s="97" t="s">
        <v>96</v>
      </c>
      <c r="D34" s="98">
        <v>50</v>
      </c>
      <c r="E34" s="98" t="s">
        <v>378</v>
      </c>
      <c r="F34" s="99">
        <f>3808000/D34</f>
        <v>76160</v>
      </c>
      <c r="G34" s="100">
        <f t="shared" si="9"/>
        <v>3808000</v>
      </c>
      <c r="H34" s="100" t="s">
        <v>358</v>
      </c>
      <c r="I34" s="100" t="s">
        <v>350</v>
      </c>
      <c r="J34" s="119">
        <v>50</v>
      </c>
      <c r="K34" s="118">
        <v>5</v>
      </c>
      <c r="L34" s="104">
        <f>3808000/J34</f>
        <v>76160</v>
      </c>
      <c r="M34" s="100">
        <f t="shared" si="1"/>
        <v>3808000</v>
      </c>
      <c r="N34" s="100" t="s">
        <v>358</v>
      </c>
      <c r="O34" s="100" t="s">
        <v>350</v>
      </c>
      <c r="P34" s="117">
        <v>50</v>
      </c>
      <c r="Q34" s="118">
        <v>5</v>
      </c>
      <c r="R34" s="103">
        <f t="shared" si="2"/>
        <v>0</v>
      </c>
      <c r="S34" s="106">
        <v>76160</v>
      </c>
      <c r="T34" s="100">
        <f t="shared" si="3"/>
        <v>3808000</v>
      </c>
      <c r="U34" s="100" t="s">
        <v>358</v>
      </c>
      <c r="V34" s="102" t="s">
        <v>350</v>
      </c>
      <c r="W34" s="119">
        <v>50</v>
      </c>
      <c r="X34" s="118">
        <v>5</v>
      </c>
      <c r="Y34" s="143">
        <f t="shared" si="4"/>
        <v>1</v>
      </c>
      <c r="Z34" s="81" t="s">
        <v>429</v>
      </c>
      <c r="AA34" s="146" t="str">
        <f t="shared" si="5"/>
        <v>ARC ANALIS</v>
      </c>
      <c r="AB34" s="136">
        <v>48497</v>
      </c>
      <c r="AC34" s="81">
        <v>4482779</v>
      </c>
      <c r="AD34" s="146" t="str">
        <f t="shared" si="6"/>
        <v>ARC ANALIS</v>
      </c>
      <c r="AE34" s="136">
        <v>48497</v>
      </c>
      <c r="AF34" s="81">
        <v>4482779</v>
      </c>
      <c r="AG34" s="146" t="str">
        <f t="shared" si="7"/>
        <v>ARC ANALIS</v>
      </c>
      <c r="AH34" s="136">
        <v>48497</v>
      </c>
      <c r="AI34" s="81">
        <v>4482779</v>
      </c>
      <c r="AJ34" s="81" t="s">
        <v>505</v>
      </c>
    </row>
    <row r="35" spans="1:36" x14ac:dyDescent="0.3">
      <c r="A35" s="95">
        <v>42</v>
      </c>
      <c r="B35" s="96"/>
      <c r="C35" s="97" t="s">
        <v>99</v>
      </c>
      <c r="D35" s="98">
        <v>19</v>
      </c>
      <c r="E35" s="98" t="s">
        <v>384</v>
      </c>
      <c r="F35" s="99">
        <v>4300</v>
      </c>
      <c r="G35" s="100">
        <f t="shared" si="9"/>
        <v>81700</v>
      </c>
      <c r="H35" s="100" t="s">
        <v>358</v>
      </c>
      <c r="I35" s="100" t="s">
        <v>350</v>
      </c>
      <c r="J35" s="119">
        <v>200</v>
      </c>
      <c r="K35" s="118">
        <v>4</v>
      </c>
      <c r="L35" s="101">
        <v>18445</v>
      </c>
      <c r="M35" s="100">
        <f t="shared" si="1"/>
        <v>350455</v>
      </c>
      <c r="N35" s="102" t="s">
        <v>269</v>
      </c>
      <c r="O35" s="102" t="s">
        <v>379</v>
      </c>
      <c r="P35" s="117">
        <v>100</v>
      </c>
      <c r="Q35" s="118">
        <v>5</v>
      </c>
      <c r="R35" s="103">
        <f t="shared" si="2"/>
        <v>3.2895348837209299</v>
      </c>
      <c r="S35" s="104">
        <v>4300</v>
      </c>
      <c r="T35" s="100">
        <f t="shared" si="3"/>
        <v>81700</v>
      </c>
      <c r="U35" s="100" t="s">
        <v>358</v>
      </c>
      <c r="V35" s="102" t="s">
        <v>350</v>
      </c>
      <c r="W35" s="119">
        <v>200</v>
      </c>
      <c r="X35" s="118">
        <v>4</v>
      </c>
      <c r="Y35" s="143">
        <f t="shared" si="4"/>
        <v>1</v>
      </c>
      <c r="Z35" s="81" t="s">
        <v>429</v>
      </c>
      <c r="AA35" s="146" t="str">
        <f t="shared" si="5"/>
        <v>ARC ANALIS</v>
      </c>
      <c r="AB35" s="136">
        <v>48497</v>
      </c>
      <c r="AC35" s="81">
        <v>10629020</v>
      </c>
      <c r="AD35" s="146" t="str">
        <f t="shared" si="6"/>
        <v xml:space="preserve">ISLA SAS </v>
      </c>
      <c r="AE35" s="81" t="s">
        <v>446</v>
      </c>
      <c r="AF35" s="81" t="s">
        <v>153</v>
      </c>
      <c r="AG35" s="146" t="str">
        <f t="shared" si="7"/>
        <v>ARC ANALIS</v>
      </c>
      <c r="AH35" s="136">
        <v>48497</v>
      </c>
      <c r="AI35" s="81">
        <v>10629020</v>
      </c>
      <c r="AJ35" s="81" t="s">
        <v>505</v>
      </c>
    </row>
    <row r="36" spans="1:36" x14ac:dyDescent="0.3">
      <c r="A36" s="95">
        <v>43</v>
      </c>
      <c r="B36" s="96"/>
      <c r="C36" s="97" t="s">
        <v>100</v>
      </c>
      <c r="D36" s="98">
        <v>20</v>
      </c>
      <c r="E36" s="98" t="s">
        <v>384</v>
      </c>
      <c r="F36" s="99">
        <v>4300</v>
      </c>
      <c r="G36" s="100">
        <f t="shared" si="9"/>
        <v>86000</v>
      </c>
      <c r="H36" s="100" t="s">
        <v>358</v>
      </c>
      <c r="I36" s="100" t="s">
        <v>350</v>
      </c>
      <c r="J36" s="119">
        <v>200</v>
      </c>
      <c r="K36" s="118">
        <v>4</v>
      </c>
      <c r="L36" s="101">
        <v>18445</v>
      </c>
      <c r="M36" s="100">
        <f t="shared" si="1"/>
        <v>368900</v>
      </c>
      <c r="N36" s="102" t="s">
        <v>269</v>
      </c>
      <c r="O36" s="102" t="s">
        <v>379</v>
      </c>
      <c r="P36" s="117">
        <v>100</v>
      </c>
      <c r="Q36" s="118">
        <v>5</v>
      </c>
      <c r="R36" s="103">
        <f t="shared" si="2"/>
        <v>3.2895348837209299</v>
      </c>
      <c r="S36" s="104">
        <v>4300</v>
      </c>
      <c r="T36" s="100">
        <f t="shared" si="3"/>
        <v>86000</v>
      </c>
      <c r="U36" s="100" t="s">
        <v>358</v>
      </c>
      <c r="V36" s="102" t="s">
        <v>350</v>
      </c>
      <c r="W36" s="119">
        <v>200</v>
      </c>
      <c r="X36" s="118">
        <v>4</v>
      </c>
      <c r="Y36" s="143">
        <f t="shared" si="4"/>
        <v>1</v>
      </c>
      <c r="Z36" s="81" t="s">
        <v>429</v>
      </c>
      <c r="AA36" s="146" t="str">
        <f t="shared" si="5"/>
        <v>ARC ANALIS</v>
      </c>
      <c r="AB36" s="136">
        <v>48497</v>
      </c>
      <c r="AC36" s="81">
        <v>10629020</v>
      </c>
      <c r="AD36" s="146" t="str">
        <f t="shared" si="6"/>
        <v xml:space="preserve">ISLA SAS </v>
      </c>
      <c r="AE36" s="81" t="s">
        <v>446</v>
      </c>
      <c r="AF36" s="81" t="s">
        <v>153</v>
      </c>
      <c r="AG36" s="146" t="str">
        <f t="shared" si="7"/>
        <v>ARC ANALIS</v>
      </c>
      <c r="AH36" s="136">
        <v>48497</v>
      </c>
      <c r="AI36" s="81">
        <v>10629020</v>
      </c>
      <c r="AJ36" s="81" t="s">
        <v>505</v>
      </c>
    </row>
    <row r="37" spans="1:36" x14ac:dyDescent="0.3">
      <c r="A37" s="95">
        <v>44</v>
      </c>
      <c r="B37" s="96"/>
      <c r="C37" s="97" t="s">
        <v>101</v>
      </c>
      <c r="D37" s="98">
        <v>50</v>
      </c>
      <c r="E37" s="98" t="s">
        <v>378</v>
      </c>
      <c r="F37" s="99">
        <f>3451000/D37</f>
        <v>69020</v>
      </c>
      <c r="G37" s="100">
        <f t="shared" si="9"/>
        <v>3451000</v>
      </c>
      <c r="H37" s="100" t="s">
        <v>269</v>
      </c>
      <c r="I37" s="100" t="s">
        <v>387</v>
      </c>
      <c r="J37" s="119">
        <v>50</v>
      </c>
      <c r="K37" s="118">
        <v>5</v>
      </c>
      <c r="L37" s="104">
        <f>3451000/J37</f>
        <v>69020</v>
      </c>
      <c r="M37" s="100">
        <f t="shared" si="1"/>
        <v>3451000</v>
      </c>
      <c r="N37" s="100" t="s">
        <v>269</v>
      </c>
      <c r="O37" s="100" t="s">
        <v>387</v>
      </c>
      <c r="P37" s="117">
        <v>50</v>
      </c>
      <c r="Q37" s="118">
        <v>5</v>
      </c>
      <c r="R37" s="103">
        <f t="shared" si="2"/>
        <v>0</v>
      </c>
      <c r="S37" s="106">
        <v>90020</v>
      </c>
      <c r="T37" s="100">
        <f t="shared" si="3"/>
        <v>4501000</v>
      </c>
      <c r="U37" s="100" t="s">
        <v>269</v>
      </c>
      <c r="V37" s="102" t="s">
        <v>387</v>
      </c>
      <c r="W37" s="119">
        <v>50</v>
      </c>
      <c r="X37" s="118">
        <v>5</v>
      </c>
      <c r="Y37" s="143">
        <f t="shared" si="4"/>
        <v>1</v>
      </c>
      <c r="Z37" s="81" t="s">
        <v>429</v>
      </c>
      <c r="AA37" s="146" t="str">
        <f t="shared" si="5"/>
        <v xml:space="preserve">ISLA SAS </v>
      </c>
      <c r="AB37" s="81" t="s">
        <v>446</v>
      </c>
      <c r="AC37" s="81" t="s">
        <v>153</v>
      </c>
      <c r="AD37" s="146" t="str">
        <f t="shared" si="6"/>
        <v xml:space="preserve">ISLA SAS </v>
      </c>
      <c r="AE37" s="81" t="s">
        <v>446</v>
      </c>
      <c r="AF37" s="81" t="s">
        <v>153</v>
      </c>
      <c r="AG37" s="146" t="str">
        <f t="shared" si="7"/>
        <v xml:space="preserve">ISLA SAS </v>
      </c>
      <c r="AH37" s="81" t="s">
        <v>446</v>
      </c>
      <c r="AI37" s="81" t="s">
        <v>153</v>
      </c>
      <c r="AJ37" s="81" t="s">
        <v>505</v>
      </c>
    </row>
    <row r="38" spans="1:36" x14ac:dyDescent="0.3">
      <c r="A38" s="95">
        <v>4</v>
      </c>
      <c r="B38" s="96"/>
      <c r="C38" s="97" t="s">
        <v>2</v>
      </c>
      <c r="D38" s="98">
        <v>2000</v>
      </c>
      <c r="E38" s="98" t="s">
        <v>218</v>
      </c>
      <c r="F38" s="99">
        <v>7705.26</v>
      </c>
      <c r="G38" s="100">
        <f t="shared" si="9"/>
        <v>15410520</v>
      </c>
      <c r="H38" s="100" t="s">
        <v>248</v>
      </c>
      <c r="I38" s="100" t="s">
        <v>335</v>
      </c>
      <c r="J38" s="119">
        <v>50</v>
      </c>
      <c r="K38" s="118">
        <v>5</v>
      </c>
      <c r="L38" s="101">
        <v>12971</v>
      </c>
      <c r="M38" s="100">
        <f t="shared" si="1"/>
        <v>25942000</v>
      </c>
      <c r="N38" s="102" t="s">
        <v>340</v>
      </c>
      <c r="O38" s="102" t="s">
        <v>344</v>
      </c>
      <c r="P38" s="117">
        <v>10</v>
      </c>
      <c r="Q38" s="118">
        <v>5</v>
      </c>
      <c r="R38" s="103">
        <f t="shared" si="2"/>
        <v>0.68339549865935734</v>
      </c>
      <c r="S38" s="101">
        <v>14875</v>
      </c>
      <c r="T38" s="100">
        <f t="shared" si="3"/>
        <v>29750000</v>
      </c>
      <c r="U38" s="100" t="s">
        <v>269</v>
      </c>
      <c r="V38" s="102" t="s">
        <v>336</v>
      </c>
      <c r="W38" s="117">
        <v>100</v>
      </c>
      <c r="X38" s="118">
        <v>5</v>
      </c>
      <c r="Y38" s="143">
        <f t="shared" si="4"/>
        <v>1</v>
      </c>
      <c r="Z38" s="81" t="s">
        <v>425</v>
      </c>
      <c r="AA38" s="81" t="s">
        <v>248</v>
      </c>
      <c r="AB38" s="81" t="s">
        <v>445</v>
      </c>
      <c r="AC38" s="81" t="s">
        <v>453</v>
      </c>
      <c r="AD38" s="136" t="s">
        <v>340</v>
      </c>
      <c r="AE38" s="136">
        <v>11332</v>
      </c>
      <c r="AF38" s="81" t="s">
        <v>452</v>
      </c>
      <c r="AG38" s="81" t="s">
        <v>441</v>
      </c>
      <c r="AH38" s="81" t="s">
        <v>446</v>
      </c>
      <c r="AI38" s="81" t="s">
        <v>448</v>
      </c>
      <c r="AJ38" s="81" t="s">
        <v>497</v>
      </c>
    </row>
    <row r="39" spans="1:36" x14ac:dyDescent="0.3">
      <c r="A39" s="95">
        <v>26</v>
      </c>
      <c r="B39" s="96"/>
      <c r="C39" s="97" t="s">
        <v>60</v>
      </c>
      <c r="D39" s="98">
        <v>1000</v>
      </c>
      <c r="E39" s="98" t="s">
        <v>370</v>
      </c>
      <c r="F39" s="99">
        <v>160.65</v>
      </c>
      <c r="G39" s="100">
        <f t="shared" si="9"/>
        <v>160650</v>
      </c>
      <c r="H39" s="100" t="s">
        <v>248</v>
      </c>
      <c r="I39" s="100" t="s">
        <v>371</v>
      </c>
      <c r="J39" s="119">
        <v>1000</v>
      </c>
      <c r="K39" s="118">
        <v>5</v>
      </c>
      <c r="L39" s="101">
        <v>76.16</v>
      </c>
      <c r="M39" s="100">
        <f t="shared" si="1"/>
        <v>76160</v>
      </c>
      <c r="N39" s="102" t="s">
        <v>269</v>
      </c>
      <c r="O39" s="102" t="s">
        <v>372</v>
      </c>
      <c r="P39" s="117">
        <v>5000</v>
      </c>
      <c r="Q39" s="118">
        <v>4</v>
      </c>
      <c r="R39" s="103">
        <f t="shared" si="2"/>
        <v>-0.52592592592592591</v>
      </c>
      <c r="S39" s="101">
        <v>215.87</v>
      </c>
      <c r="T39" s="100">
        <f t="shared" si="3"/>
        <v>215870</v>
      </c>
      <c r="U39" s="100" t="s">
        <v>341</v>
      </c>
      <c r="V39" s="102" t="s">
        <v>373</v>
      </c>
      <c r="W39" s="117">
        <v>5000</v>
      </c>
      <c r="X39" s="118">
        <v>4</v>
      </c>
      <c r="Y39" s="143">
        <f t="shared" si="4"/>
        <v>2.109375</v>
      </c>
      <c r="Z39" s="81" t="s">
        <v>430</v>
      </c>
      <c r="AA39" s="146" t="str">
        <f t="shared" ref="AA39:AA74" si="10">H39</f>
        <v>GENTECH</v>
      </c>
      <c r="AB39" s="81" t="s">
        <v>445</v>
      </c>
      <c r="AC39" s="81" t="s">
        <v>457</v>
      </c>
      <c r="AD39" s="146" t="str">
        <f t="shared" ref="AD39:AD74" si="11">N39</f>
        <v xml:space="preserve">ISLA SAS </v>
      </c>
      <c r="AE39" s="81" t="s">
        <v>446</v>
      </c>
      <c r="AF39" s="81" t="s">
        <v>475</v>
      </c>
      <c r="AG39" s="146" t="str">
        <f t="shared" ref="AG39:AG74" si="12">U39</f>
        <v xml:space="preserve">ARC ANALISIS </v>
      </c>
      <c r="AH39" s="136">
        <v>48497</v>
      </c>
      <c r="AI39" s="81">
        <v>90082</v>
      </c>
      <c r="AJ39" s="81" t="s">
        <v>509</v>
      </c>
    </row>
    <row r="40" spans="1:36" ht="27.6" x14ac:dyDescent="0.3">
      <c r="A40" s="95">
        <v>14</v>
      </c>
      <c r="B40" s="96"/>
      <c r="C40" s="97" t="s">
        <v>7</v>
      </c>
      <c r="D40" s="98">
        <v>100</v>
      </c>
      <c r="E40" s="98" t="s">
        <v>218</v>
      </c>
      <c r="F40" s="99">
        <v>25273.200000000001</v>
      </c>
      <c r="G40" s="100">
        <f t="shared" si="9"/>
        <v>2527320</v>
      </c>
      <c r="H40" s="100" t="s">
        <v>248</v>
      </c>
      <c r="I40" s="102" t="s">
        <v>335</v>
      </c>
      <c r="J40" s="119">
        <v>5</v>
      </c>
      <c r="K40" s="118">
        <v>5</v>
      </c>
      <c r="L40" s="104">
        <v>38080</v>
      </c>
      <c r="M40" s="100">
        <f t="shared" si="1"/>
        <v>3808000</v>
      </c>
      <c r="N40" s="100" t="s">
        <v>221</v>
      </c>
      <c r="O40" s="100" t="s">
        <v>346</v>
      </c>
      <c r="P40" s="117">
        <v>1</v>
      </c>
      <c r="Q40" s="118">
        <v>5</v>
      </c>
      <c r="R40" s="103">
        <f t="shared" si="2"/>
        <v>0.50673440640678669</v>
      </c>
      <c r="S40" s="101">
        <v>43792</v>
      </c>
      <c r="T40" s="100">
        <f t="shared" si="3"/>
        <v>4379200</v>
      </c>
      <c r="U40" s="100" t="s">
        <v>341</v>
      </c>
      <c r="V40" s="102" t="s">
        <v>361</v>
      </c>
      <c r="W40" s="117">
        <v>1</v>
      </c>
      <c r="X40" s="118">
        <v>5</v>
      </c>
      <c r="Y40" s="143">
        <f t="shared" si="4"/>
        <v>1</v>
      </c>
      <c r="Z40" s="81" t="s">
        <v>425</v>
      </c>
      <c r="AA40" s="146" t="str">
        <f t="shared" si="10"/>
        <v>GENTECH</v>
      </c>
      <c r="AB40" s="81" t="s">
        <v>445</v>
      </c>
      <c r="AC40" s="81" t="s">
        <v>456</v>
      </c>
      <c r="AD40" s="146" t="str">
        <f t="shared" si="11"/>
        <v xml:space="preserve">BPL MEDICAL </v>
      </c>
      <c r="AE40" s="81" t="s">
        <v>480</v>
      </c>
      <c r="AF40" s="81" t="s">
        <v>484</v>
      </c>
      <c r="AG40" s="146" t="str">
        <f t="shared" si="12"/>
        <v xml:space="preserve">ARC ANALISIS </v>
      </c>
      <c r="AH40" s="136">
        <v>48497</v>
      </c>
      <c r="AI40" s="81" t="s">
        <v>458</v>
      </c>
      <c r="AJ40" s="81" t="s">
        <v>511</v>
      </c>
    </row>
    <row r="41" spans="1:36" x14ac:dyDescent="0.3">
      <c r="A41" s="95">
        <v>56</v>
      </c>
      <c r="B41" s="96"/>
      <c r="C41" s="97" t="s">
        <v>293</v>
      </c>
      <c r="D41" s="98">
        <v>15</v>
      </c>
      <c r="E41" s="98" t="s">
        <v>246</v>
      </c>
      <c r="F41" s="99">
        <v>73185</v>
      </c>
      <c r="G41" s="100">
        <f>D41*F41</f>
        <v>1097775</v>
      </c>
      <c r="H41" s="100" t="s">
        <v>390</v>
      </c>
      <c r="I41" s="100" t="s">
        <v>391</v>
      </c>
      <c r="J41" s="119" t="s">
        <v>246</v>
      </c>
      <c r="K41" s="118">
        <v>5</v>
      </c>
      <c r="L41" s="104">
        <v>65100</v>
      </c>
      <c r="M41" s="100">
        <f t="shared" si="1"/>
        <v>976500</v>
      </c>
      <c r="N41" s="102" t="s">
        <v>415</v>
      </c>
      <c r="O41" s="102" t="s">
        <v>418</v>
      </c>
      <c r="P41" s="117" t="s">
        <v>246</v>
      </c>
      <c r="Q41" s="118">
        <v>4.5</v>
      </c>
      <c r="R41" s="103">
        <f t="shared" si="2"/>
        <v>-0.11047345767575323</v>
      </c>
      <c r="S41" s="104">
        <v>30000</v>
      </c>
      <c r="T41" s="100">
        <f t="shared" si="3"/>
        <v>450000</v>
      </c>
      <c r="U41" s="102" t="s">
        <v>422</v>
      </c>
      <c r="V41" s="102"/>
      <c r="W41" s="132" t="s">
        <v>246</v>
      </c>
      <c r="X41" s="118">
        <v>2</v>
      </c>
      <c r="Y41" s="143">
        <f t="shared" si="4"/>
        <v>2.4394999999999998</v>
      </c>
      <c r="Z41" s="81" t="s">
        <v>433</v>
      </c>
      <c r="AA41" s="146" t="str">
        <f t="shared" si="10"/>
        <v>INVERSIONES RKF</v>
      </c>
      <c r="AD41" s="146" t="str">
        <f t="shared" si="11"/>
        <v>ESFERA</v>
      </c>
      <c r="AG41" s="146" t="str">
        <f t="shared" si="12"/>
        <v>GBARCO</v>
      </c>
      <c r="AJ41" s="81" t="s">
        <v>513</v>
      </c>
    </row>
    <row r="42" spans="1:36" x14ac:dyDescent="0.3">
      <c r="A42" s="95">
        <v>57</v>
      </c>
      <c r="B42" s="96"/>
      <c r="C42" s="97" t="s">
        <v>294</v>
      </c>
      <c r="D42" s="98">
        <v>15</v>
      </c>
      <c r="E42" s="98" t="s">
        <v>246</v>
      </c>
      <c r="F42" s="99">
        <v>42875</v>
      </c>
      <c r="G42" s="100">
        <f>D42*F42</f>
        <v>643125</v>
      </c>
      <c r="H42" s="100" t="s">
        <v>390</v>
      </c>
      <c r="I42" s="100" t="s">
        <v>392</v>
      </c>
      <c r="J42" s="119" t="s">
        <v>246</v>
      </c>
      <c r="K42" s="118">
        <v>5</v>
      </c>
      <c r="L42" s="104">
        <v>54000</v>
      </c>
      <c r="M42" s="100">
        <f t="shared" si="1"/>
        <v>810000</v>
      </c>
      <c r="N42" s="102" t="s">
        <v>421</v>
      </c>
      <c r="O42" s="102"/>
      <c r="P42" s="117" t="s">
        <v>246</v>
      </c>
      <c r="Q42" s="118">
        <v>3</v>
      </c>
      <c r="R42" s="103">
        <f t="shared" si="2"/>
        <v>0.25947521865889223</v>
      </c>
      <c r="S42" s="104">
        <v>33600</v>
      </c>
      <c r="T42" s="100">
        <f t="shared" si="3"/>
        <v>504000</v>
      </c>
      <c r="U42" s="102" t="s">
        <v>420</v>
      </c>
      <c r="V42" s="102"/>
      <c r="W42" s="117" t="s">
        <v>246</v>
      </c>
      <c r="X42" s="118">
        <v>3</v>
      </c>
      <c r="Y42" s="143">
        <f t="shared" si="4"/>
        <v>1.2760416666666667</v>
      </c>
      <c r="Z42" s="81" t="s">
        <v>433</v>
      </c>
      <c r="AA42" s="146" t="str">
        <f t="shared" si="10"/>
        <v>INVERSIONES RKF</v>
      </c>
      <c r="AD42" s="146" t="str">
        <f t="shared" si="11"/>
        <v xml:space="preserve">G BARCO </v>
      </c>
      <c r="AG42" s="146" t="str">
        <f t="shared" si="12"/>
        <v xml:space="preserve">OKEIGROUP </v>
      </c>
      <c r="AJ42" s="81" t="s">
        <v>513</v>
      </c>
    </row>
    <row r="43" spans="1:36" x14ac:dyDescent="0.3">
      <c r="A43" s="95">
        <v>58</v>
      </c>
      <c r="B43" s="96"/>
      <c r="C43" s="97" t="s">
        <v>295</v>
      </c>
      <c r="D43" s="98">
        <v>240</v>
      </c>
      <c r="E43" s="98" t="s">
        <v>246</v>
      </c>
      <c r="F43" s="99">
        <v>44625</v>
      </c>
      <c r="G43" s="100">
        <f>D43*F43</f>
        <v>10710000</v>
      </c>
      <c r="H43" s="100" t="s">
        <v>390</v>
      </c>
      <c r="I43" s="100" t="s">
        <v>393</v>
      </c>
      <c r="J43" s="119" t="s">
        <v>246</v>
      </c>
      <c r="K43" s="118">
        <v>5</v>
      </c>
      <c r="L43" s="104">
        <v>88000</v>
      </c>
      <c r="M43" s="100">
        <f t="shared" si="1"/>
        <v>21120000</v>
      </c>
      <c r="N43" s="102" t="s">
        <v>416</v>
      </c>
      <c r="O43" s="102" t="s">
        <v>417</v>
      </c>
      <c r="P43" s="117" t="s">
        <v>246</v>
      </c>
      <c r="Q43" s="118">
        <v>4</v>
      </c>
      <c r="R43" s="103">
        <f t="shared" ref="R43:R74" si="13">M43/G43-1</f>
        <v>0.97198879551820738</v>
      </c>
      <c r="S43" s="104">
        <v>102300</v>
      </c>
      <c r="T43" s="100">
        <f t="shared" ref="T43:T74" si="14">S43*D43</f>
        <v>24552000</v>
      </c>
      <c r="U43" s="100" t="s">
        <v>415</v>
      </c>
      <c r="V43" s="102" t="s">
        <v>393</v>
      </c>
      <c r="W43" s="132" t="s">
        <v>246</v>
      </c>
      <c r="X43" s="118">
        <v>5</v>
      </c>
      <c r="Y43" s="143">
        <f t="shared" ref="Y43:Y74" si="15">G43/MIN(T43,M43,G43)</f>
        <v>1</v>
      </c>
      <c r="Z43" s="81" t="s">
        <v>433</v>
      </c>
      <c r="AA43" s="146" t="str">
        <f t="shared" si="10"/>
        <v>INVERSIONES RKF</v>
      </c>
      <c r="AD43" s="146" t="str">
        <f t="shared" si="11"/>
        <v>TECNOLOGIA MEDICA</v>
      </c>
      <c r="AG43" s="146" t="str">
        <f t="shared" si="12"/>
        <v>ESFERA</v>
      </c>
      <c r="AJ43" s="81" t="s">
        <v>513</v>
      </c>
    </row>
    <row r="44" spans="1:36" ht="27.6" x14ac:dyDescent="0.3">
      <c r="A44" s="95">
        <v>45</v>
      </c>
      <c r="B44" s="96"/>
      <c r="C44" s="97" t="s">
        <v>43</v>
      </c>
      <c r="D44" s="98">
        <v>4</v>
      </c>
      <c r="E44" s="98" t="s">
        <v>246</v>
      </c>
      <c r="F44" s="99">
        <v>471240</v>
      </c>
      <c r="G44" s="100">
        <f t="shared" ref="G44:G74" si="16">F44*D44</f>
        <v>1884960</v>
      </c>
      <c r="H44" s="100" t="s">
        <v>212</v>
      </c>
      <c r="I44" s="100" t="s">
        <v>212</v>
      </c>
      <c r="J44" s="119"/>
      <c r="K44" s="118">
        <v>5</v>
      </c>
      <c r="L44" s="104">
        <v>471240</v>
      </c>
      <c r="M44" s="100">
        <f t="shared" si="1"/>
        <v>1884960</v>
      </c>
      <c r="N44" s="150" t="s">
        <v>212</v>
      </c>
      <c r="O44" s="150" t="s">
        <v>212</v>
      </c>
      <c r="P44" s="117"/>
      <c r="Q44" s="118">
        <v>5</v>
      </c>
      <c r="R44" s="103">
        <f t="shared" si="13"/>
        <v>0</v>
      </c>
      <c r="S44" s="104">
        <v>471240</v>
      </c>
      <c r="T44" s="100">
        <f t="shared" si="14"/>
        <v>1884960</v>
      </c>
      <c r="U44" s="100" t="s">
        <v>212</v>
      </c>
      <c r="V44" s="102" t="s">
        <v>212</v>
      </c>
      <c r="W44" s="119"/>
      <c r="X44" s="118">
        <v>5</v>
      </c>
      <c r="Y44" s="143">
        <f t="shared" si="15"/>
        <v>1</v>
      </c>
      <c r="Z44" s="81" t="s">
        <v>432</v>
      </c>
      <c r="AA44" s="146" t="str">
        <f t="shared" si="10"/>
        <v>OXFORD NANOPORE</v>
      </c>
      <c r="AB44" s="81" t="s">
        <v>490</v>
      </c>
      <c r="AC44" s="81" t="s">
        <v>44</v>
      </c>
      <c r="AD44" s="146" t="str">
        <f t="shared" si="11"/>
        <v>OXFORD NANOPORE</v>
      </c>
      <c r="AE44" s="81" t="s">
        <v>490</v>
      </c>
      <c r="AF44" s="81" t="s">
        <v>44</v>
      </c>
      <c r="AG44" s="146" t="str">
        <f t="shared" si="12"/>
        <v>OXFORD NANOPORE</v>
      </c>
      <c r="AH44" s="81" t="s">
        <v>490</v>
      </c>
      <c r="AI44" s="81" t="s">
        <v>44</v>
      </c>
      <c r="AJ44" s="81" t="s">
        <v>512</v>
      </c>
    </row>
    <row r="45" spans="1:36" ht="27.6" x14ac:dyDescent="0.3">
      <c r="A45" s="95">
        <v>46</v>
      </c>
      <c r="B45" s="96"/>
      <c r="C45" s="97" t="s">
        <v>46</v>
      </c>
      <c r="D45" s="98">
        <v>5</v>
      </c>
      <c r="E45" s="98" t="s">
        <v>246</v>
      </c>
      <c r="F45" s="99">
        <v>3094000</v>
      </c>
      <c r="G45" s="100">
        <f t="shared" si="16"/>
        <v>15470000</v>
      </c>
      <c r="H45" s="100" t="s">
        <v>212</v>
      </c>
      <c r="I45" s="100" t="s">
        <v>212</v>
      </c>
      <c r="J45" s="119"/>
      <c r="K45" s="118">
        <v>5</v>
      </c>
      <c r="L45" s="104">
        <v>3094000</v>
      </c>
      <c r="M45" s="100">
        <f t="shared" si="1"/>
        <v>15470000</v>
      </c>
      <c r="N45" s="100" t="s">
        <v>212</v>
      </c>
      <c r="O45" s="100" t="s">
        <v>212</v>
      </c>
      <c r="P45" s="117"/>
      <c r="Q45" s="118">
        <v>5</v>
      </c>
      <c r="R45" s="103">
        <f t="shared" si="13"/>
        <v>0</v>
      </c>
      <c r="S45" s="104">
        <v>3094000</v>
      </c>
      <c r="T45" s="100">
        <f t="shared" si="14"/>
        <v>15470000</v>
      </c>
      <c r="U45" s="100" t="s">
        <v>212</v>
      </c>
      <c r="V45" s="102" t="s">
        <v>212</v>
      </c>
      <c r="W45" s="119"/>
      <c r="X45" s="118">
        <v>5</v>
      </c>
      <c r="Y45" s="143">
        <f t="shared" si="15"/>
        <v>1</v>
      </c>
      <c r="Z45" s="81" t="s">
        <v>432</v>
      </c>
      <c r="AA45" s="146" t="str">
        <f t="shared" si="10"/>
        <v>OXFORD NANOPORE</v>
      </c>
      <c r="AB45" s="81" t="s">
        <v>490</v>
      </c>
      <c r="AC45" s="81" t="s">
        <v>47</v>
      </c>
      <c r="AD45" s="146" t="str">
        <f t="shared" si="11"/>
        <v>OXFORD NANOPORE</v>
      </c>
      <c r="AE45" s="81" t="s">
        <v>490</v>
      </c>
      <c r="AF45" s="81" t="s">
        <v>47</v>
      </c>
      <c r="AG45" s="146" t="str">
        <f t="shared" si="12"/>
        <v>OXFORD NANOPORE</v>
      </c>
      <c r="AH45" s="81" t="s">
        <v>490</v>
      </c>
      <c r="AI45" s="81" t="s">
        <v>47</v>
      </c>
      <c r="AJ45" s="81" t="s">
        <v>512</v>
      </c>
    </row>
    <row r="46" spans="1:36" ht="27.6" x14ac:dyDescent="0.3">
      <c r="A46" s="95">
        <v>47</v>
      </c>
      <c r="B46" s="96"/>
      <c r="C46" s="97" t="s">
        <v>48</v>
      </c>
      <c r="D46" s="98">
        <v>2</v>
      </c>
      <c r="E46" s="98" t="s">
        <v>246</v>
      </c>
      <c r="F46" s="99">
        <v>3094000</v>
      </c>
      <c r="G46" s="100">
        <f t="shared" si="16"/>
        <v>6188000</v>
      </c>
      <c r="H46" s="100" t="s">
        <v>212</v>
      </c>
      <c r="I46" s="100" t="s">
        <v>212</v>
      </c>
      <c r="J46" s="119"/>
      <c r="K46" s="118">
        <v>5</v>
      </c>
      <c r="L46" s="104">
        <v>3094000</v>
      </c>
      <c r="M46" s="100">
        <f t="shared" si="1"/>
        <v>6188000</v>
      </c>
      <c r="N46" s="100" t="s">
        <v>212</v>
      </c>
      <c r="O46" s="100" t="s">
        <v>212</v>
      </c>
      <c r="P46" s="117"/>
      <c r="Q46" s="118">
        <v>5</v>
      </c>
      <c r="R46" s="103">
        <f t="shared" si="13"/>
        <v>0</v>
      </c>
      <c r="S46" s="104">
        <v>3094000</v>
      </c>
      <c r="T46" s="100">
        <f t="shared" si="14"/>
        <v>6188000</v>
      </c>
      <c r="U46" s="100" t="s">
        <v>212</v>
      </c>
      <c r="V46" s="102" t="s">
        <v>212</v>
      </c>
      <c r="W46" s="119"/>
      <c r="X46" s="118">
        <v>5</v>
      </c>
      <c r="Y46" s="143">
        <f t="shared" si="15"/>
        <v>1</v>
      </c>
      <c r="Z46" s="81" t="s">
        <v>432</v>
      </c>
      <c r="AA46" s="146" t="str">
        <f t="shared" si="10"/>
        <v>OXFORD NANOPORE</v>
      </c>
      <c r="AB46" s="81" t="s">
        <v>490</v>
      </c>
      <c r="AC46" s="81" t="s">
        <v>491</v>
      </c>
      <c r="AD46" s="146" t="str">
        <f t="shared" si="11"/>
        <v>OXFORD NANOPORE</v>
      </c>
      <c r="AE46" s="81" t="s">
        <v>490</v>
      </c>
      <c r="AF46" s="81" t="s">
        <v>491</v>
      </c>
      <c r="AG46" s="146" t="str">
        <f t="shared" si="12"/>
        <v>OXFORD NANOPORE</v>
      </c>
      <c r="AH46" s="81" t="s">
        <v>490</v>
      </c>
      <c r="AI46" s="81" t="s">
        <v>491</v>
      </c>
      <c r="AJ46" s="81" t="s">
        <v>512</v>
      </c>
    </row>
    <row r="47" spans="1:36" ht="27.6" x14ac:dyDescent="0.3">
      <c r="A47" s="95">
        <v>48</v>
      </c>
      <c r="B47" s="96"/>
      <c r="C47" s="97" t="s">
        <v>381</v>
      </c>
      <c r="D47" s="98">
        <v>2</v>
      </c>
      <c r="E47" s="98" t="s">
        <v>246</v>
      </c>
      <c r="F47" s="99">
        <v>3094000</v>
      </c>
      <c r="G47" s="100">
        <f t="shared" si="16"/>
        <v>6188000</v>
      </c>
      <c r="H47" s="100" t="s">
        <v>212</v>
      </c>
      <c r="I47" s="100" t="s">
        <v>212</v>
      </c>
      <c r="J47" s="119"/>
      <c r="K47" s="118">
        <v>5</v>
      </c>
      <c r="L47" s="104">
        <v>3094000</v>
      </c>
      <c r="M47" s="100">
        <f t="shared" si="1"/>
        <v>6188000</v>
      </c>
      <c r="N47" s="100" t="s">
        <v>212</v>
      </c>
      <c r="O47" s="100" t="s">
        <v>212</v>
      </c>
      <c r="P47" s="117"/>
      <c r="Q47" s="118">
        <v>5</v>
      </c>
      <c r="R47" s="103">
        <f t="shared" si="13"/>
        <v>0</v>
      </c>
      <c r="S47" s="104">
        <v>3094000</v>
      </c>
      <c r="T47" s="100">
        <f t="shared" si="14"/>
        <v>6188000</v>
      </c>
      <c r="U47" s="100" t="s">
        <v>212</v>
      </c>
      <c r="V47" s="102" t="s">
        <v>212</v>
      </c>
      <c r="W47" s="119"/>
      <c r="X47" s="118">
        <v>5</v>
      </c>
      <c r="Y47" s="143">
        <f t="shared" si="15"/>
        <v>1</v>
      </c>
      <c r="Z47" s="81" t="s">
        <v>432</v>
      </c>
      <c r="AA47" s="146" t="str">
        <f t="shared" si="10"/>
        <v>OXFORD NANOPORE</v>
      </c>
      <c r="AB47" s="81" t="s">
        <v>490</v>
      </c>
      <c r="AC47" s="81" t="s">
        <v>51</v>
      </c>
      <c r="AD47" s="146" t="str">
        <f t="shared" si="11"/>
        <v>OXFORD NANOPORE</v>
      </c>
      <c r="AE47" s="81" t="s">
        <v>490</v>
      </c>
      <c r="AF47" s="81" t="s">
        <v>51</v>
      </c>
      <c r="AG47" s="146" t="str">
        <f t="shared" si="12"/>
        <v>OXFORD NANOPORE</v>
      </c>
      <c r="AH47" s="81" t="s">
        <v>490</v>
      </c>
      <c r="AI47" s="81" t="s">
        <v>51</v>
      </c>
      <c r="AJ47" s="81" t="s">
        <v>512</v>
      </c>
    </row>
    <row r="48" spans="1:36" ht="27.6" x14ac:dyDescent="0.3">
      <c r="A48" s="95">
        <v>49</v>
      </c>
      <c r="B48" s="96"/>
      <c r="C48" s="97" t="s">
        <v>52</v>
      </c>
      <c r="D48" s="98">
        <v>2</v>
      </c>
      <c r="E48" s="98" t="s">
        <v>246</v>
      </c>
      <c r="F48" s="99">
        <v>114240000</v>
      </c>
      <c r="G48" s="100">
        <f t="shared" si="16"/>
        <v>228480000</v>
      </c>
      <c r="H48" s="100" t="s">
        <v>212</v>
      </c>
      <c r="I48" s="100" t="s">
        <v>212</v>
      </c>
      <c r="J48" s="119"/>
      <c r="K48" s="118">
        <v>5</v>
      </c>
      <c r="L48" s="104">
        <v>114240000</v>
      </c>
      <c r="M48" s="100">
        <f t="shared" si="1"/>
        <v>228480000</v>
      </c>
      <c r="N48" s="100" t="s">
        <v>212</v>
      </c>
      <c r="O48" s="100" t="s">
        <v>212</v>
      </c>
      <c r="P48" s="117"/>
      <c r="Q48" s="118">
        <v>5</v>
      </c>
      <c r="R48" s="103">
        <f t="shared" si="13"/>
        <v>0</v>
      </c>
      <c r="S48" s="104">
        <v>114240000</v>
      </c>
      <c r="T48" s="100">
        <f t="shared" si="14"/>
        <v>228480000</v>
      </c>
      <c r="U48" s="100" t="s">
        <v>212</v>
      </c>
      <c r="V48" s="102" t="s">
        <v>212</v>
      </c>
      <c r="W48" s="119"/>
      <c r="X48" s="118">
        <v>5</v>
      </c>
      <c r="Y48" s="143">
        <f t="shared" si="15"/>
        <v>1</v>
      </c>
      <c r="Z48" s="81" t="s">
        <v>432</v>
      </c>
      <c r="AA48" s="146" t="str">
        <f t="shared" si="10"/>
        <v>OXFORD NANOPORE</v>
      </c>
      <c r="AB48" s="81" t="s">
        <v>490</v>
      </c>
      <c r="AC48" s="81" t="s">
        <v>492</v>
      </c>
      <c r="AD48" s="146" t="str">
        <f t="shared" si="11"/>
        <v>OXFORD NANOPORE</v>
      </c>
      <c r="AE48" s="81" t="s">
        <v>490</v>
      </c>
      <c r="AF48" s="81" t="s">
        <v>492</v>
      </c>
      <c r="AG48" s="146" t="str">
        <f t="shared" si="12"/>
        <v>OXFORD NANOPORE</v>
      </c>
      <c r="AH48" s="81" t="s">
        <v>490</v>
      </c>
      <c r="AI48" s="81" t="s">
        <v>492</v>
      </c>
      <c r="AJ48" s="81" t="s">
        <v>512</v>
      </c>
    </row>
    <row r="49" spans="1:36" ht="27.6" x14ac:dyDescent="0.3">
      <c r="A49" s="95">
        <v>50</v>
      </c>
      <c r="B49" s="96"/>
      <c r="C49" s="97" t="s">
        <v>53</v>
      </c>
      <c r="D49" s="98">
        <v>15</v>
      </c>
      <c r="E49" s="98" t="s">
        <v>246</v>
      </c>
      <c r="F49" s="99">
        <v>428400</v>
      </c>
      <c r="G49" s="100">
        <f t="shared" si="16"/>
        <v>6426000</v>
      </c>
      <c r="H49" s="100" t="s">
        <v>212</v>
      </c>
      <c r="I49" s="100" t="s">
        <v>212</v>
      </c>
      <c r="J49" s="119"/>
      <c r="K49" s="118">
        <v>5</v>
      </c>
      <c r="L49" s="149">
        <v>428400</v>
      </c>
      <c r="M49" s="100">
        <f t="shared" si="1"/>
        <v>6426000</v>
      </c>
      <c r="N49" s="150" t="s">
        <v>212</v>
      </c>
      <c r="O49" s="150" t="s">
        <v>212</v>
      </c>
      <c r="P49" s="117"/>
      <c r="Q49" s="118">
        <v>5</v>
      </c>
      <c r="R49" s="103">
        <f t="shared" si="13"/>
        <v>0</v>
      </c>
      <c r="S49" s="104">
        <v>428400</v>
      </c>
      <c r="T49" s="100">
        <f t="shared" si="14"/>
        <v>6426000</v>
      </c>
      <c r="U49" s="100" t="s">
        <v>212</v>
      </c>
      <c r="V49" s="102" t="s">
        <v>212</v>
      </c>
      <c r="W49" s="119"/>
      <c r="X49" s="118">
        <v>5</v>
      </c>
      <c r="Y49" s="143">
        <f t="shared" si="15"/>
        <v>1</v>
      </c>
      <c r="Z49" s="81" t="s">
        <v>432</v>
      </c>
      <c r="AA49" s="146" t="str">
        <f t="shared" si="10"/>
        <v>OXFORD NANOPORE</v>
      </c>
      <c r="AB49" s="81" t="s">
        <v>490</v>
      </c>
      <c r="AC49" s="81" t="s">
        <v>493</v>
      </c>
      <c r="AD49" s="146" t="str">
        <f t="shared" si="11"/>
        <v>OXFORD NANOPORE</v>
      </c>
      <c r="AE49" s="81" t="s">
        <v>490</v>
      </c>
      <c r="AF49" s="81" t="s">
        <v>493</v>
      </c>
      <c r="AG49" s="146" t="str">
        <f t="shared" si="12"/>
        <v>OXFORD NANOPORE</v>
      </c>
      <c r="AH49" s="81" t="s">
        <v>490</v>
      </c>
      <c r="AI49" s="81" t="s">
        <v>493</v>
      </c>
      <c r="AJ49" s="81" t="s">
        <v>512</v>
      </c>
    </row>
    <row r="50" spans="1:36" x14ac:dyDescent="0.3">
      <c r="A50" s="95">
        <v>19</v>
      </c>
      <c r="B50" s="96"/>
      <c r="C50" s="97" t="s">
        <v>25</v>
      </c>
      <c r="D50" s="98">
        <v>60</v>
      </c>
      <c r="E50" s="98" t="s">
        <v>386</v>
      </c>
      <c r="F50" s="99">
        <f>1106700/60</f>
        <v>18445</v>
      </c>
      <c r="G50" s="100">
        <f t="shared" si="16"/>
        <v>1106700</v>
      </c>
      <c r="H50" s="100" t="s">
        <v>340</v>
      </c>
      <c r="I50" s="100" t="s">
        <v>388</v>
      </c>
      <c r="J50" s="119">
        <v>60</v>
      </c>
      <c r="K50" s="118">
        <v>5</v>
      </c>
      <c r="L50" s="104">
        <f>1106700/60</f>
        <v>18445</v>
      </c>
      <c r="M50" s="100">
        <f t="shared" si="1"/>
        <v>1106700</v>
      </c>
      <c r="N50" s="100" t="s">
        <v>340</v>
      </c>
      <c r="O50" s="100" t="s">
        <v>388</v>
      </c>
      <c r="P50" s="117">
        <v>60</v>
      </c>
      <c r="Q50" s="118">
        <v>5</v>
      </c>
      <c r="R50" s="103">
        <f t="shared" si="13"/>
        <v>0</v>
      </c>
      <c r="S50" s="101">
        <v>18445</v>
      </c>
      <c r="T50" s="100">
        <f t="shared" si="14"/>
        <v>1106700</v>
      </c>
      <c r="U50" s="100" t="s">
        <v>340</v>
      </c>
      <c r="V50" s="102" t="s">
        <v>388</v>
      </c>
      <c r="W50" s="119">
        <v>60</v>
      </c>
      <c r="X50" s="118">
        <v>5</v>
      </c>
      <c r="Y50" s="143">
        <f t="shared" si="15"/>
        <v>1</v>
      </c>
      <c r="Z50" s="81" t="s">
        <v>425</v>
      </c>
      <c r="AA50" s="146" t="str">
        <f t="shared" si="10"/>
        <v>GENPRODUCTS</v>
      </c>
      <c r="AB50" s="81">
        <v>11332</v>
      </c>
      <c r="AD50" s="146" t="str">
        <f t="shared" si="11"/>
        <v>GENPRODUCTS</v>
      </c>
      <c r="AE50" s="81">
        <v>11332</v>
      </c>
      <c r="AG50" s="146" t="str">
        <f t="shared" si="12"/>
        <v>GENPRODUCTS</v>
      </c>
      <c r="AH50" s="81">
        <v>11332</v>
      </c>
      <c r="AJ50" s="81" t="s">
        <v>508</v>
      </c>
    </row>
    <row r="51" spans="1:36" x14ac:dyDescent="0.3">
      <c r="A51" s="95">
        <v>20</v>
      </c>
      <c r="B51" s="96"/>
      <c r="C51" s="97" t="s">
        <v>28</v>
      </c>
      <c r="D51" s="98">
        <v>1000</v>
      </c>
      <c r="E51" s="98" t="s">
        <v>329</v>
      </c>
      <c r="F51" s="99">
        <v>6441.42</v>
      </c>
      <c r="G51" s="100">
        <f t="shared" si="16"/>
        <v>6441420</v>
      </c>
      <c r="H51" s="100" t="s">
        <v>269</v>
      </c>
      <c r="I51" s="100" t="s">
        <v>365</v>
      </c>
      <c r="J51" s="119">
        <v>500</v>
      </c>
      <c r="K51" s="118">
        <v>5</v>
      </c>
      <c r="L51" s="104">
        <v>6441.42</v>
      </c>
      <c r="M51" s="100">
        <f t="shared" si="1"/>
        <v>6441420</v>
      </c>
      <c r="N51" s="100" t="s">
        <v>269</v>
      </c>
      <c r="O51" s="100" t="s">
        <v>365</v>
      </c>
      <c r="P51" s="117">
        <v>500</v>
      </c>
      <c r="Q51" s="118">
        <v>5</v>
      </c>
      <c r="R51" s="103">
        <f t="shared" si="13"/>
        <v>0</v>
      </c>
      <c r="S51" s="104">
        <v>6441.42</v>
      </c>
      <c r="T51" s="100">
        <f t="shared" si="14"/>
        <v>6441420</v>
      </c>
      <c r="U51" s="100" t="s">
        <v>269</v>
      </c>
      <c r="V51" s="102" t="s">
        <v>365</v>
      </c>
      <c r="W51" s="119">
        <v>500</v>
      </c>
      <c r="X51" s="118">
        <v>5</v>
      </c>
      <c r="Y51" s="143">
        <f t="shared" si="15"/>
        <v>1</v>
      </c>
      <c r="Z51" s="81" t="s">
        <v>427</v>
      </c>
      <c r="AA51" s="146" t="str">
        <f t="shared" si="10"/>
        <v xml:space="preserve">ISLA SAS </v>
      </c>
      <c r="AB51" s="81" t="s">
        <v>446</v>
      </c>
      <c r="AC51" s="81" t="s">
        <v>29</v>
      </c>
      <c r="AD51" s="146" t="str">
        <f t="shared" si="11"/>
        <v xml:space="preserve">ISLA SAS </v>
      </c>
      <c r="AE51" s="81" t="s">
        <v>446</v>
      </c>
      <c r="AF51" s="81" t="s">
        <v>29</v>
      </c>
      <c r="AG51" s="146" t="str">
        <f t="shared" si="12"/>
        <v xml:space="preserve">ISLA SAS </v>
      </c>
      <c r="AH51" s="81" t="s">
        <v>446</v>
      </c>
      <c r="AI51" s="81" t="s">
        <v>29</v>
      </c>
      <c r="AJ51" s="81" t="s">
        <v>508</v>
      </c>
    </row>
    <row r="52" spans="1:36" x14ac:dyDescent="0.3">
      <c r="A52" s="95">
        <v>21</v>
      </c>
      <c r="B52" s="96"/>
      <c r="C52" s="97" t="s">
        <v>31</v>
      </c>
      <c r="D52" s="98">
        <v>48</v>
      </c>
      <c r="E52" s="98" t="s">
        <v>329</v>
      </c>
      <c r="F52" s="99">
        <v>182177.08</v>
      </c>
      <c r="G52" s="100">
        <f t="shared" si="16"/>
        <v>8744499.8399999999</v>
      </c>
      <c r="H52" s="100" t="s">
        <v>269</v>
      </c>
      <c r="I52" s="100" t="s">
        <v>362</v>
      </c>
      <c r="J52" s="119">
        <v>24</v>
      </c>
      <c r="K52" s="118">
        <v>5</v>
      </c>
      <c r="L52" s="104">
        <v>182177.08</v>
      </c>
      <c r="M52" s="100">
        <f t="shared" si="1"/>
        <v>8744499.8399999999</v>
      </c>
      <c r="N52" s="100" t="s">
        <v>269</v>
      </c>
      <c r="O52" s="100" t="s">
        <v>362</v>
      </c>
      <c r="P52" s="117">
        <v>24</v>
      </c>
      <c r="Q52" s="118">
        <v>5</v>
      </c>
      <c r="R52" s="103">
        <f t="shared" si="13"/>
        <v>0</v>
      </c>
      <c r="S52" s="104">
        <v>182177.08</v>
      </c>
      <c r="T52" s="100">
        <f t="shared" si="14"/>
        <v>8744499.8399999999</v>
      </c>
      <c r="U52" s="100" t="s">
        <v>269</v>
      </c>
      <c r="V52" s="102" t="s">
        <v>362</v>
      </c>
      <c r="W52" s="119">
        <v>24</v>
      </c>
      <c r="X52" s="118">
        <v>5</v>
      </c>
      <c r="Y52" s="143">
        <f t="shared" si="15"/>
        <v>1</v>
      </c>
      <c r="Z52" s="81" t="s">
        <v>427</v>
      </c>
      <c r="AA52" s="146" t="str">
        <f t="shared" si="10"/>
        <v xml:space="preserve">ISLA SAS </v>
      </c>
      <c r="AB52" s="81" t="s">
        <v>446</v>
      </c>
      <c r="AC52" s="81" t="s">
        <v>472</v>
      </c>
      <c r="AD52" s="146" t="str">
        <f t="shared" si="11"/>
        <v xml:space="preserve">ISLA SAS </v>
      </c>
      <c r="AE52" s="81" t="s">
        <v>446</v>
      </c>
      <c r="AF52" s="81" t="s">
        <v>472</v>
      </c>
      <c r="AG52" s="146" t="str">
        <f t="shared" si="12"/>
        <v xml:space="preserve">ISLA SAS </v>
      </c>
      <c r="AH52" s="81" t="s">
        <v>446</v>
      </c>
      <c r="AI52" s="81" t="s">
        <v>472</v>
      </c>
      <c r="AJ52" s="81" t="s">
        <v>508</v>
      </c>
    </row>
    <row r="53" spans="1:36" x14ac:dyDescent="0.3">
      <c r="A53" s="95">
        <v>22</v>
      </c>
      <c r="B53" s="96"/>
      <c r="C53" s="97" t="s">
        <v>33</v>
      </c>
      <c r="D53" s="98">
        <v>48</v>
      </c>
      <c r="E53" s="98" t="s">
        <v>329</v>
      </c>
      <c r="F53" s="99">
        <v>299880</v>
      </c>
      <c r="G53" s="100">
        <f t="shared" si="16"/>
        <v>14394240</v>
      </c>
      <c r="H53" s="100" t="s">
        <v>269</v>
      </c>
      <c r="I53" s="100" t="s">
        <v>349</v>
      </c>
      <c r="J53" s="119">
        <v>24</v>
      </c>
      <c r="K53" s="118">
        <v>5</v>
      </c>
      <c r="L53" s="104">
        <v>299880</v>
      </c>
      <c r="M53" s="100">
        <f t="shared" si="1"/>
        <v>14394240</v>
      </c>
      <c r="N53" s="100" t="s">
        <v>269</v>
      </c>
      <c r="O53" s="100" t="s">
        <v>349</v>
      </c>
      <c r="P53" s="117">
        <v>24</v>
      </c>
      <c r="Q53" s="118">
        <v>5</v>
      </c>
      <c r="R53" s="103">
        <f t="shared" si="13"/>
        <v>0</v>
      </c>
      <c r="S53" s="104">
        <v>299880</v>
      </c>
      <c r="T53" s="100">
        <f t="shared" si="14"/>
        <v>14394240</v>
      </c>
      <c r="U53" s="100" t="s">
        <v>269</v>
      </c>
      <c r="V53" s="102" t="s">
        <v>349</v>
      </c>
      <c r="W53" s="119">
        <v>24</v>
      </c>
      <c r="X53" s="118">
        <v>5</v>
      </c>
      <c r="Y53" s="143">
        <f t="shared" si="15"/>
        <v>1</v>
      </c>
      <c r="Z53" s="81" t="s">
        <v>427</v>
      </c>
      <c r="AA53" s="146" t="str">
        <f t="shared" si="10"/>
        <v xml:space="preserve">ISLA SAS </v>
      </c>
      <c r="AB53" s="81" t="s">
        <v>446</v>
      </c>
      <c r="AC53" s="81" t="s">
        <v>473</v>
      </c>
      <c r="AD53" s="146" t="str">
        <f t="shared" si="11"/>
        <v xml:space="preserve">ISLA SAS </v>
      </c>
      <c r="AE53" s="81" t="s">
        <v>446</v>
      </c>
      <c r="AF53" s="81" t="s">
        <v>473</v>
      </c>
      <c r="AG53" s="146" t="str">
        <f t="shared" si="12"/>
        <v xml:space="preserve">ISLA SAS </v>
      </c>
      <c r="AH53" s="81" t="s">
        <v>446</v>
      </c>
      <c r="AI53" s="81" t="s">
        <v>473</v>
      </c>
      <c r="AJ53" s="81" t="s">
        <v>508</v>
      </c>
    </row>
    <row r="54" spans="1:36" x14ac:dyDescent="0.3">
      <c r="A54" s="95">
        <v>23</v>
      </c>
      <c r="B54" s="96"/>
      <c r="C54" s="97" t="s">
        <v>35</v>
      </c>
      <c r="D54" s="98">
        <v>5000</v>
      </c>
      <c r="E54" s="98" t="s">
        <v>246</v>
      </c>
      <c r="F54" s="99">
        <v>80.37</v>
      </c>
      <c r="G54" s="100">
        <f t="shared" si="16"/>
        <v>401850</v>
      </c>
      <c r="H54" s="100" t="s">
        <v>269</v>
      </c>
      <c r="I54" s="100" t="s">
        <v>349</v>
      </c>
      <c r="J54" s="119">
        <v>5000</v>
      </c>
      <c r="K54" s="118">
        <v>5</v>
      </c>
      <c r="L54" s="101">
        <v>2234.11</v>
      </c>
      <c r="M54" s="100">
        <f t="shared" si="1"/>
        <v>11170550</v>
      </c>
      <c r="N54" s="102" t="s">
        <v>248</v>
      </c>
      <c r="O54" s="102" t="s">
        <v>366</v>
      </c>
      <c r="P54" s="117">
        <v>1000</v>
      </c>
      <c r="Q54" s="118">
        <v>4.5</v>
      </c>
      <c r="R54" s="103">
        <f t="shared" si="13"/>
        <v>26.797810128157273</v>
      </c>
      <c r="S54" s="104">
        <v>80.37</v>
      </c>
      <c r="T54" s="100">
        <f t="shared" si="14"/>
        <v>401850</v>
      </c>
      <c r="U54" s="100" t="s">
        <v>269</v>
      </c>
      <c r="V54" s="102" t="s">
        <v>349</v>
      </c>
      <c r="W54" s="119">
        <v>5000</v>
      </c>
      <c r="X54" s="118">
        <v>5</v>
      </c>
      <c r="Y54" s="143">
        <f t="shared" si="15"/>
        <v>1</v>
      </c>
      <c r="Z54" s="81" t="s">
        <v>427</v>
      </c>
      <c r="AA54" s="146" t="str">
        <f t="shared" si="10"/>
        <v xml:space="preserve">ISLA SAS </v>
      </c>
      <c r="AB54" s="81" t="s">
        <v>446</v>
      </c>
      <c r="AC54" s="81" t="s">
        <v>36</v>
      </c>
      <c r="AD54" s="146" t="str">
        <f t="shared" si="11"/>
        <v>GENTECH</v>
      </c>
      <c r="AE54" s="81" t="s">
        <v>445</v>
      </c>
      <c r="AF54" s="81" t="s">
        <v>474</v>
      </c>
      <c r="AG54" s="146" t="str">
        <f t="shared" si="12"/>
        <v xml:space="preserve">ISLA SAS </v>
      </c>
      <c r="AH54" s="81" t="s">
        <v>446</v>
      </c>
      <c r="AI54" s="81" t="s">
        <v>36</v>
      </c>
      <c r="AJ54" s="81" t="s">
        <v>508</v>
      </c>
    </row>
    <row r="55" spans="1:36" ht="12.75" customHeight="1" x14ac:dyDescent="0.3">
      <c r="A55" s="95">
        <v>24</v>
      </c>
      <c r="B55" s="96"/>
      <c r="C55" s="97" t="s">
        <v>383</v>
      </c>
      <c r="D55" s="98">
        <v>384</v>
      </c>
      <c r="E55" s="98" t="s">
        <v>329</v>
      </c>
      <c r="F55" s="99">
        <v>16213.75</v>
      </c>
      <c r="G55" s="100">
        <f t="shared" si="16"/>
        <v>6226080</v>
      </c>
      <c r="H55" s="100" t="s">
        <v>248</v>
      </c>
      <c r="I55" s="100" t="s">
        <v>367</v>
      </c>
      <c r="J55" s="119">
        <v>96</v>
      </c>
      <c r="K55" s="118">
        <v>5</v>
      </c>
      <c r="L55" s="104">
        <v>65610.899999999994</v>
      </c>
      <c r="M55" s="100">
        <f>L55*J55</f>
        <v>6298646.3999999994</v>
      </c>
      <c r="N55" s="100" t="s">
        <v>248</v>
      </c>
      <c r="O55" s="100" t="s">
        <v>367</v>
      </c>
      <c r="P55" s="117">
        <v>48</v>
      </c>
      <c r="Q55" s="118">
        <v>5</v>
      </c>
      <c r="R55" s="103">
        <f t="shared" si="13"/>
        <v>1.1655230899699331E-2</v>
      </c>
      <c r="S55" s="104">
        <v>16213.75</v>
      </c>
      <c r="T55" s="100">
        <f t="shared" si="14"/>
        <v>6226080</v>
      </c>
      <c r="U55" s="100" t="s">
        <v>248</v>
      </c>
      <c r="V55" s="102" t="s">
        <v>367</v>
      </c>
      <c r="W55" s="119">
        <v>96</v>
      </c>
      <c r="X55" s="118">
        <v>5</v>
      </c>
      <c r="Y55" s="143">
        <f t="shared" si="15"/>
        <v>1</v>
      </c>
      <c r="Z55" s="81" t="s">
        <v>429</v>
      </c>
      <c r="AA55" s="146" t="str">
        <f t="shared" si="10"/>
        <v>GENTECH</v>
      </c>
      <c r="AB55" s="81" t="s">
        <v>445</v>
      </c>
      <c r="AD55" s="146" t="str">
        <f t="shared" si="11"/>
        <v>GENTECH</v>
      </c>
      <c r="AE55" s="81" t="s">
        <v>445</v>
      </c>
      <c r="AG55" s="146" t="str">
        <f t="shared" si="12"/>
        <v>GENTECH</v>
      </c>
      <c r="AH55" s="81" t="s">
        <v>445</v>
      </c>
      <c r="AJ55" s="81" t="s">
        <v>508</v>
      </c>
    </row>
    <row r="56" spans="1:36" x14ac:dyDescent="0.3">
      <c r="A56" s="95">
        <v>27</v>
      </c>
      <c r="B56" s="96"/>
      <c r="C56" s="97" t="s">
        <v>63</v>
      </c>
      <c r="D56" s="98">
        <v>500</v>
      </c>
      <c r="E56" s="98" t="s">
        <v>329</v>
      </c>
      <c r="F56" s="99">
        <v>4143.58</v>
      </c>
      <c r="G56" s="100">
        <f t="shared" si="16"/>
        <v>2071790</v>
      </c>
      <c r="H56" s="100" t="s">
        <v>358</v>
      </c>
      <c r="I56" s="100" t="s">
        <v>350</v>
      </c>
      <c r="J56" s="119">
        <v>500</v>
      </c>
      <c r="K56" s="118">
        <v>5</v>
      </c>
      <c r="L56" s="104">
        <v>4143.58</v>
      </c>
      <c r="M56" s="100">
        <f t="shared" ref="M56:M74" si="17">L56*D56</f>
        <v>2071790</v>
      </c>
      <c r="N56" s="100" t="s">
        <v>358</v>
      </c>
      <c r="O56" s="100" t="s">
        <v>350</v>
      </c>
      <c r="P56" s="117">
        <v>500</v>
      </c>
      <c r="Q56" s="118">
        <v>5</v>
      </c>
      <c r="R56" s="103">
        <f t="shared" si="13"/>
        <v>0</v>
      </c>
      <c r="S56" s="104">
        <v>4143.58</v>
      </c>
      <c r="T56" s="100">
        <f t="shared" si="14"/>
        <v>2071790</v>
      </c>
      <c r="U56" s="100" t="s">
        <v>358</v>
      </c>
      <c r="V56" s="102" t="s">
        <v>350</v>
      </c>
      <c r="W56" s="119">
        <v>500</v>
      </c>
      <c r="X56" s="118">
        <v>5</v>
      </c>
      <c r="Y56" s="143">
        <f t="shared" si="15"/>
        <v>1</v>
      </c>
      <c r="Z56" s="81" t="s">
        <v>428</v>
      </c>
      <c r="AA56" s="146" t="str">
        <f t="shared" si="10"/>
        <v>ARC ANALIS</v>
      </c>
      <c r="AB56" s="136">
        <v>48497</v>
      </c>
      <c r="AC56" s="81" t="s">
        <v>64</v>
      </c>
      <c r="AD56" s="146" t="str">
        <f t="shared" si="11"/>
        <v>ARC ANALIS</v>
      </c>
      <c r="AE56" s="136">
        <v>48497</v>
      </c>
      <c r="AF56" s="81" t="s">
        <v>64</v>
      </c>
      <c r="AG56" s="146" t="str">
        <f t="shared" si="12"/>
        <v>ARC ANALIS</v>
      </c>
      <c r="AH56" s="136">
        <v>48497</v>
      </c>
      <c r="AI56" s="81" t="s">
        <v>64</v>
      </c>
      <c r="AJ56" s="81" t="s">
        <v>508</v>
      </c>
    </row>
    <row r="57" spans="1:36" x14ac:dyDescent="0.3">
      <c r="A57" s="95">
        <v>28</v>
      </c>
      <c r="B57" s="105"/>
      <c r="C57" s="97" t="s">
        <v>382</v>
      </c>
      <c r="D57" s="98">
        <v>500</v>
      </c>
      <c r="E57" s="98" t="s">
        <v>329</v>
      </c>
      <c r="F57" s="99">
        <v>1309</v>
      </c>
      <c r="G57" s="100">
        <f t="shared" si="16"/>
        <v>654500</v>
      </c>
      <c r="H57" s="100" t="s">
        <v>358</v>
      </c>
      <c r="I57" s="100" t="s">
        <v>350</v>
      </c>
      <c r="J57" s="119">
        <v>500</v>
      </c>
      <c r="K57" s="118">
        <v>5</v>
      </c>
      <c r="L57" s="104">
        <v>1309</v>
      </c>
      <c r="M57" s="100">
        <f t="shared" si="17"/>
        <v>654500</v>
      </c>
      <c r="N57" s="100" t="s">
        <v>358</v>
      </c>
      <c r="O57" s="100" t="s">
        <v>350</v>
      </c>
      <c r="P57" s="117">
        <v>500</v>
      </c>
      <c r="Q57" s="118">
        <v>5</v>
      </c>
      <c r="R57" s="103">
        <f t="shared" si="13"/>
        <v>0</v>
      </c>
      <c r="S57" s="104">
        <v>1309</v>
      </c>
      <c r="T57" s="100">
        <f t="shared" si="14"/>
        <v>654500</v>
      </c>
      <c r="U57" s="100" t="s">
        <v>358</v>
      </c>
      <c r="V57" s="102" t="s">
        <v>350</v>
      </c>
      <c r="W57" s="119">
        <v>500</v>
      </c>
      <c r="X57" s="118">
        <v>5</v>
      </c>
      <c r="Y57" s="143">
        <f t="shared" si="15"/>
        <v>1</v>
      </c>
      <c r="Z57" s="81" t="s">
        <v>428</v>
      </c>
      <c r="AA57" s="146" t="str">
        <f t="shared" si="10"/>
        <v>ARC ANALIS</v>
      </c>
      <c r="AB57" s="136">
        <v>48497</v>
      </c>
      <c r="AC57" s="81" t="s">
        <v>67</v>
      </c>
      <c r="AD57" s="146" t="str">
        <f t="shared" si="11"/>
        <v>ARC ANALIS</v>
      </c>
      <c r="AE57" s="136">
        <v>48497</v>
      </c>
      <c r="AF57" s="81" t="s">
        <v>67</v>
      </c>
      <c r="AG57" s="146" t="str">
        <f t="shared" si="12"/>
        <v>ARC ANALIS</v>
      </c>
      <c r="AH57" s="136">
        <v>48497</v>
      </c>
      <c r="AI57" s="81" t="s">
        <v>67</v>
      </c>
      <c r="AJ57" s="81" t="s">
        <v>508</v>
      </c>
    </row>
    <row r="58" spans="1:36" x14ac:dyDescent="0.3">
      <c r="A58" s="95">
        <v>30</v>
      </c>
      <c r="B58" s="96"/>
      <c r="C58" s="97" t="s">
        <v>72</v>
      </c>
      <c r="D58" s="98">
        <v>50</v>
      </c>
      <c r="E58" s="98" t="s">
        <v>329</v>
      </c>
      <c r="F58" s="99">
        <v>108528</v>
      </c>
      <c r="G58" s="100">
        <f t="shared" si="16"/>
        <v>5426400</v>
      </c>
      <c r="H58" s="100" t="s">
        <v>358</v>
      </c>
      <c r="I58" s="100" t="s">
        <v>350</v>
      </c>
      <c r="J58" s="119">
        <v>50</v>
      </c>
      <c r="K58" s="118">
        <v>5</v>
      </c>
      <c r="L58" s="104">
        <v>108528</v>
      </c>
      <c r="M58" s="100">
        <f t="shared" si="17"/>
        <v>5426400</v>
      </c>
      <c r="N58" s="100" t="s">
        <v>358</v>
      </c>
      <c r="O58" s="100" t="s">
        <v>350</v>
      </c>
      <c r="P58" s="117">
        <v>50</v>
      </c>
      <c r="Q58" s="118">
        <v>5</v>
      </c>
      <c r="R58" s="103">
        <f t="shared" si="13"/>
        <v>0</v>
      </c>
      <c r="S58" s="104">
        <v>108528</v>
      </c>
      <c r="T58" s="100">
        <f t="shared" si="14"/>
        <v>5426400</v>
      </c>
      <c r="U58" s="100" t="s">
        <v>358</v>
      </c>
      <c r="V58" s="102" t="s">
        <v>350</v>
      </c>
      <c r="W58" s="119">
        <v>50</v>
      </c>
      <c r="X58" s="118">
        <v>5</v>
      </c>
      <c r="Y58" s="143">
        <f t="shared" si="15"/>
        <v>1</v>
      </c>
      <c r="Z58" s="81" t="s">
        <v>427</v>
      </c>
      <c r="AA58" s="146" t="str">
        <f t="shared" si="10"/>
        <v>ARC ANALIS</v>
      </c>
      <c r="AB58" s="136">
        <v>48497</v>
      </c>
      <c r="AC58" s="81" t="s">
        <v>460</v>
      </c>
      <c r="AD58" s="146" t="str">
        <f t="shared" si="11"/>
        <v>ARC ANALIS</v>
      </c>
      <c r="AE58" s="136">
        <v>48497</v>
      </c>
      <c r="AF58" s="81" t="s">
        <v>460</v>
      </c>
      <c r="AG58" s="146" t="str">
        <f t="shared" si="12"/>
        <v>ARC ANALIS</v>
      </c>
      <c r="AH58" s="136">
        <v>48497</v>
      </c>
      <c r="AI58" s="81" t="s">
        <v>460</v>
      </c>
      <c r="AJ58" s="81" t="s">
        <v>508</v>
      </c>
    </row>
    <row r="59" spans="1:36" ht="27.6" x14ac:dyDescent="0.3">
      <c r="A59" s="95">
        <v>31</v>
      </c>
      <c r="B59" s="96"/>
      <c r="C59" s="97" t="s">
        <v>74</v>
      </c>
      <c r="D59" s="98">
        <v>96</v>
      </c>
      <c r="E59" s="98" t="s">
        <v>329</v>
      </c>
      <c r="F59" s="99">
        <v>26279.17</v>
      </c>
      <c r="G59" s="100">
        <f t="shared" si="16"/>
        <v>2522800.3199999998</v>
      </c>
      <c r="H59" s="100" t="s">
        <v>354</v>
      </c>
      <c r="I59" s="100" t="s">
        <v>374</v>
      </c>
      <c r="J59" s="119">
        <v>96</v>
      </c>
      <c r="K59" s="118">
        <v>5</v>
      </c>
      <c r="L59" s="104">
        <v>26279.17</v>
      </c>
      <c r="M59" s="100">
        <f t="shared" si="17"/>
        <v>2522800.3199999998</v>
      </c>
      <c r="N59" s="100" t="s">
        <v>354</v>
      </c>
      <c r="O59" s="100" t="s">
        <v>374</v>
      </c>
      <c r="P59" s="117">
        <v>96</v>
      </c>
      <c r="Q59" s="118">
        <v>5</v>
      </c>
      <c r="R59" s="103">
        <f t="shared" si="13"/>
        <v>0</v>
      </c>
      <c r="S59" s="104">
        <v>26279.17</v>
      </c>
      <c r="T59" s="100">
        <f t="shared" si="14"/>
        <v>2522800.3199999998</v>
      </c>
      <c r="U59" s="100" t="s">
        <v>354</v>
      </c>
      <c r="V59" s="102" t="s">
        <v>374</v>
      </c>
      <c r="W59" s="119">
        <v>96</v>
      </c>
      <c r="X59" s="118">
        <v>5</v>
      </c>
      <c r="Y59" s="143">
        <f t="shared" si="15"/>
        <v>1</v>
      </c>
      <c r="Z59" s="81" t="s">
        <v>427</v>
      </c>
      <c r="AA59" s="146" t="str">
        <f t="shared" si="10"/>
        <v>GENPRODUTS</v>
      </c>
      <c r="AB59" s="136">
        <v>11332</v>
      </c>
      <c r="AC59" s="81" t="s">
        <v>75</v>
      </c>
      <c r="AD59" s="146" t="str">
        <f t="shared" si="11"/>
        <v>GENPRODUTS</v>
      </c>
      <c r="AE59" s="136">
        <v>11332</v>
      </c>
      <c r="AF59" s="81" t="s">
        <v>75</v>
      </c>
      <c r="AG59" s="146" t="str">
        <f t="shared" si="12"/>
        <v>GENPRODUTS</v>
      </c>
      <c r="AH59" s="136">
        <v>11332</v>
      </c>
      <c r="AI59" s="81" t="s">
        <v>75</v>
      </c>
      <c r="AJ59" s="81" t="s">
        <v>508</v>
      </c>
    </row>
    <row r="60" spans="1:36" ht="27.6" x14ac:dyDescent="0.3">
      <c r="A60" s="95">
        <v>32</v>
      </c>
      <c r="B60" s="96"/>
      <c r="C60" s="97" t="s">
        <v>77</v>
      </c>
      <c r="D60" s="98">
        <v>10</v>
      </c>
      <c r="E60" s="98" t="s">
        <v>329</v>
      </c>
      <c r="F60" s="99">
        <v>179095</v>
      </c>
      <c r="G60" s="100">
        <f t="shared" si="16"/>
        <v>1790950</v>
      </c>
      <c r="H60" s="100" t="s">
        <v>354</v>
      </c>
      <c r="I60" s="100" t="s">
        <v>374</v>
      </c>
      <c r="J60" s="119">
        <v>10</v>
      </c>
      <c r="K60" s="118">
        <v>5</v>
      </c>
      <c r="L60" s="104">
        <v>179095</v>
      </c>
      <c r="M60" s="100">
        <f t="shared" si="17"/>
        <v>1790950</v>
      </c>
      <c r="N60" s="100" t="s">
        <v>354</v>
      </c>
      <c r="O60" s="100" t="s">
        <v>374</v>
      </c>
      <c r="P60" s="117">
        <v>10</v>
      </c>
      <c r="Q60" s="118">
        <v>5</v>
      </c>
      <c r="R60" s="103">
        <f t="shared" si="13"/>
        <v>0</v>
      </c>
      <c r="S60" s="104">
        <v>179095</v>
      </c>
      <c r="T60" s="100">
        <f t="shared" si="14"/>
        <v>1790950</v>
      </c>
      <c r="U60" s="100" t="s">
        <v>354</v>
      </c>
      <c r="V60" s="102" t="s">
        <v>374</v>
      </c>
      <c r="W60" s="119">
        <v>10</v>
      </c>
      <c r="X60" s="118">
        <v>5</v>
      </c>
      <c r="Y60" s="143">
        <f t="shared" si="15"/>
        <v>1</v>
      </c>
      <c r="Z60" s="81" t="s">
        <v>427</v>
      </c>
      <c r="AA60" s="146" t="str">
        <f t="shared" si="10"/>
        <v>GENPRODUTS</v>
      </c>
      <c r="AB60" s="136">
        <v>11332</v>
      </c>
      <c r="AC60" s="81" t="s">
        <v>78</v>
      </c>
      <c r="AD60" s="146" t="str">
        <f t="shared" si="11"/>
        <v>GENPRODUTS</v>
      </c>
      <c r="AE60" s="136">
        <v>11332</v>
      </c>
      <c r="AF60" s="81" t="s">
        <v>78</v>
      </c>
      <c r="AG60" s="146" t="str">
        <f t="shared" si="12"/>
        <v>GENPRODUTS</v>
      </c>
      <c r="AH60" s="136">
        <v>11332</v>
      </c>
      <c r="AI60" s="81" t="s">
        <v>78</v>
      </c>
      <c r="AJ60" s="81" t="s">
        <v>508</v>
      </c>
    </row>
    <row r="61" spans="1:36" ht="27.6" x14ac:dyDescent="0.3">
      <c r="A61" s="95">
        <v>33</v>
      </c>
      <c r="B61" s="96"/>
      <c r="C61" s="97" t="s">
        <v>79</v>
      </c>
      <c r="D61" s="98">
        <v>96</v>
      </c>
      <c r="E61" s="98" t="s">
        <v>329</v>
      </c>
      <c r="F61" s="99">
        <v>17354.169999999998</v>
      </c>
      <c r="G61" s="100">
        <f t="shared" si="16"/>
        <v>1666000.3199999998</v>
      </c>
      <c r="H61" s="100" t="s">
        <v>354</v>
      </c>
      <c r="I61" s="100" t="s">
        <v>374</v>
      </c>
      <c r="J61" s="119">
        <v>96</v>
      </c>
      <c r="K61" s="118">
        <v>5</v>
      </c>
      <c r="L61" s="104">
        <v>17354.169999999998</v>
      </c>
      <c r="M61" s="100">
        <f t="shared" si="17"/>
        <v>1666000.3199999998</v>
      </c>
      <c r="N61" s="100" t="s">
        <v>354</v>
      </c>
      <c r="O61" s="100" t="s">
        <v>374</v>
      </c>
      <c r="P61" s="117">
        <v>96</v>
      </c>
      <c r="Q61" s="118">
        <v>5</v>
      </c>
      <c r="R61" s="103">
        <f t="shared" si="13"/>
        <v>0</v>
      </c>
      <c r="S61" s="104">
        <v>17354.169999999998</v>
      </c>
      <c r="T61" s="100">
        <f t="shared" si="14"/>
        <v>1666000.3199999998</v>
      </c>
      <c r="U61" s="100" t="s">
        <v>354</v>
      </c>
      <c r="V61" s="102" t="s">
        <v>374</v>
      </c>
      <c r="W61" s="119">
        <v>96</v>
      </c>
      <c r="X61" s="118">
        <v>5</v>
      </c>
      <c r="Y61" s="143">
        <f t="shared" si="15"/>
        <v>1</v>
      </c>
      <c r="Z61" s="81" t="s">
        <v>427</v>
      </c>
      <c r="AA61" s="146" t="str">
        <f t="shared" si="10"/>
        <v>GENPRODUTS</v>
      </c>
      <c r="AB61" s="136">
        <v>11332</v>
      </c>
      <c r="AC61" s="81" t="s">
        <v>469</v>
      </c>
      <c r="AD61" s="146" t="str">
        <f t="shared" si="11"/>
        <v>GENPRODUTS</v>
      </c>
      <c r="AE61" s="136">
        <v>11332</v>
      </c>
      <c r="AF61" s="81" t="s">
        <v>469</v>
      </c>
      <c r="AG61" s="146" t="str">
        <f t="shared" si="12"/>
        <v>GENPRODUTS</v>
      </c>
      <c r="AH61" s="136">
        <v>11332</v>
      </c>
      <c r="AI61" s="81" t="s">
        <v>469</v>
      </c>
      <c r="AJ61" s="81" t="s">
        <v>508</v>
      </c>
    </row>
    <row r="62" spans="1:36" x14ac:dyDescent="0.3">
      <c r="A62" s="95">
        <v>35</v>
      </c>
      <c r="B62" s="96"/>
      <c r="C62" s="97" t="s">
        <v>84</v>
      </c>
      <c r="D62" s="98">
        <v>96</v>
      </c>
      <c r="E62" s="98" t="s">
        <v>329</v>
      </c>
      <c r="F62" s="99">
        <f>4000000*1.19/96</f>
        <v>49583.333333333336</v>
      </c>
      <c r="G62" s="100">
        <f t="shared" si="16"/>
        <v>4760000</v>
      </c>
      <c r="H62" s="100" t="s">
        <v>269</v>
      </c>
      <c r="I62" s="100" t="s">
        <v>349</v>
      </c>
      <c r="J62" s="119"/>
      <c r="K62" s="118">
        <v>5</v>
      </c>
      <c r="L62" s="104">
        <f>4000000*1.19/96</f>
        <v>49583.333333333336</v>
      </c>
      <c r="M62" s="100">
        <f t="shared" si="17"/>
        <v>4760000</v>
      </c>
      <c r="N62" s="100" t="s">
        <v>269</v>
      </c>
      <c r="O62" s="100" t="s">
        <v>349</v>
      </c>
      <c r="P62" s="117"/>
      <c r="Q62" s="118">
        <v>5</v>
      </c>
      <c r="R62" s="103">
        <f t="shared" si="13"/>
        <v>0</v>
      </c>
      <c r="S62" s="104">
        <f>4000000*1.19/96</f>
        <v>49583.333333333336</v>
      </c>
      <c r="T62" s="100">
        <f t="shared" si="14"/>
        <v>4760000</v>
      </c>
      <c r="U62" s="100" t="s">
        <v>269</v>
      </c>
      <c r="V62" s="102" t="s">
        <v>349</v>
      </c>
      <c r="W62" s="119"/>
      <c r="X62" s="118">
        <v>5</v>
      </c>
      <c r="Y62" s="143">
        <f t="shared" si="15"/>
        <v>1</v>
      </c>
      <c r="Z62" s="81" t="s">
        <v>427</v>
      </c>
      <c r="AA62" s="146" t="str">
        <f t="shared" si="10"/>
        <v xml:space="preserve">ISLA SAS </v>
      </c>
      <c r="AB62" s="81" t="s">
        <v>446</v>
      </c>
      <c r="AC62" s="81" t="s">
        <v>477</v>
      </c>
      <c r="AD62" s="146" t="str">
        <f t="shared" si="11"/>
        <v xml:space="preserve">ISLA SAS </v>
      </c>
      <c r="AE62" s="81" t="s">
        <v>446</v>
      </c>
      <c r="AF62" s="81" t="s">
        <v>477</v>
      </c>
      <c r="AG62" s="146" t="str">
        <f t="shared" si="12"/>
        <v xml:space="preserve">ISLA SAS </v>
      </c>
      <c r="AH62" s="81" t="s">
        <v>446</v>
      </c>
      <c r="AI62" s="81" t="s">
        <v>477</v>
      </c>
      <c r="AJ62" s="81" t="s">
        <v>508</v>
      </c>
    </row>
    <row r="63" spans="1:36" x14ac:dyDescent="0.3">
      <c r="A63" s="95">
        <v>36</v>
      </c>
      <c r="B63" s="96"/>
      <c r="C63" s="97" t="s">
        <v>87</v>
      </c>
      <c r="D63" s="98">
        <v>100</v>
      </c>
      <c r="E63" s="98" t="s">
        <v>329</v>
      </c>
      <c r="F63" s="99">
        <v>13224.7</v>
      </c>
      <c r="G63" s="100">
        <f t="shared" si="16"/>
        <v>1322470</v>
      </c>
      <c r="H63" s="100" t="s">
        <v>269</v>
      </c>
      <c r="I63" s="100" t="s">
        <v>349</v>
      </c>
      <c r="J63" s="119">
        <v>50</v>
      </c>
      <c r="K63" s="118">
        <v>5</v>
      </c>
      <c r="L63" s="104">
        <v>13224.7</v>
      </c>
      <c r="M63" s="100">
        <f t="shared" si="17"/>
        <v>1322470</v>
      </c>
      <c r="N63" s="100" t="s">
        <v>269</v>
      </c>
      <c r="O63" s="100" t="s">
        <v>349</v>
      </c>
      <c r="P63" s="117">
        <v>50</v>
      </c>
      <c r="Q63" s="118">
        <v>5</v>
      </c>
      <c r="R63" s="103">
        <f t="shared" si="13"/>
        <v>0</v>
      </c>
      <c r="S63" s="104">
        <v>13224.7</v>
      </c>
      <c r="T63" s="100">
        <f t="shared" si="14"/>
        <v>1322470</v>
      </c>
      <c r="U63" s="100" t="s">
        <v>269</v>
      </c>
      <c r="V63" s="102" t="s">
        <v>349</v>
      </c>
      <c r="W63" s="119">
        <v>50</v>
      </c>
      <c r="X63" s="118">
        <v>5</v>
      </c>
      <c r="Y63" s="143">
        <f t="shared" si="15"/>
        <v>1</v>
      </c>
      <c r="Z63" s="81" t="s">
        <v>427</v>
      </c>
      <c r="AA63" s="146" t="str">
        <f t="shared" si="10"/>
        <v xml:space="preserve">ISLA SAS </v>
      </c>
      <c r="AB63" s="81" t="s">
        <v>446</v>
      </c>
      <c r="AC63" s="81" t="s">
        <v>86</v>
      </c>
      <c r="AD63" s="146" t="str">
        <f t="shared" si="11"/>
        <v xml:space="preserve">ISLA SAS </v>
      </c>
      <c r="AE63" s="81" t="s">
        <v>446</v>
      </c>
      <c r="AF63" s="81" t="s">
        <v>86</v>
      </c>
      <c r="AG63" s="146" t="str">
        <f t="shared" si="12"/>
        <v xml:space="preserve">ISLA SAS </v>
      </c>
      <c r="AH63" s="81" t="s">
        <v>446</v>
      </c>
      <c r="AI63" s="81" t="s">
        <v>86</v>
      </c>
      <c r="AJ63" s="81" t="s">
        <v>508</v>
      </c>
    </row>
    <row r="64" spans="1:36" x14ac:dyDescent="0.3">
      <c r="A64" s="95">
        <v>37</v>
      </c>
      <c r="B64" s="96"/>
      <c r="C64" s="97" t="s">
        <v>88</v>
      </c>
      <c r="D64" s="98">
        <v>2</v>
      </c>
      <c r="E64" s="98" t="s">
        <v>353</v>
      </c>
      <c r="F64" s="99">
        <v>141693</v>
      </c>
      <c r="G64" s="100">
        <f t="shared" si="16"/>
        <v>283386</v>
      </c>
      <c r="H64" s="100" t="s">
        <v>269</v>
      </c>
      <c r="I64" s="100" t="s">
        <v>349</v>
      </c>
      <c r="J64" s="119"/>
      <c r="K64" s="118">
        <v>5</v>
      </c>
      <c r="L64" s="104">
        <v>141693</v>
      </c>
      <c r="M64" s="100">
        <f t="shared" si="17"/>
        <v>283386</v>
      </c>
      <c r="N64" s="100" t="s">
        <v>269</v>
      </c>
      <c r="O64" s="100" t="s">
        <v>349</v>
      </c>
      <c r="P64" s="117"/>
      <c r="Q64" s="118">
        <v>5</v>
      </c>
      <c r="R64" s="103">
        <f t="shared" si="13"/>
        <v>0</v>
      </c>
      <c r="S64" s="104">
        <v>141693</v>
      </c>
      <c r="T64" s="100">
        <f t="shared" si="14"/>
        <v>283386</v>
      </c>
      <c r="U64" s="100" t="s">
        <v>269</v>
      </c>
      <c r="V64" s="102" t="s">
        <v>349</v>
      </c>
      <c r="W64" s="119"/>
      <c r="X64" s="118">
        <v>5</v>
      </c>
      <c r="Y64" s="143">
        <f t="shared" si="15"/>
        <v>1</v>
      </c>
      <c r="Z64" s="81" t="s">
        <v>427</v>
      </c>
      <c r="AA64" s="146" t="str">
        <f t="shared" si="10"/>
        <v xml:space="preserve">ISLA SAS </v>
      </c>
      <c r="AB64" s="81" t="s">
        <v>446</v>
      </c>
      <c r="AC64" s="81" t="s">
        <v>89</v>
      </c>
      <c r="AD64" s="146" t="str">
        <f t="shared" si="11"/>
        <v xml:space="preserve">ISLA SAS </v>
      </c>
      <c r="AE64" s="81" t="s">
        <v>446</v>
      </c>
      <c r="AF64" s="81" t="s">
        <v>89</v>
      </c>
      <c r="AG64" s="146" t="str">
        <f t="shared" si="12"/>
        <v xml:space="preserve">ISLA SAS </v>
      </c>
      <c r="AH64" s="81" t="s">
        <v>446</v>
      </c>
      <c r="AI64" s="81" t="s">
        <v>89</v>
      </c>
      <c r="AJ64" s="81" t="s">
        <v>508</v>
      </c>
    </row>
    <row r="65" spans="1:36" x14ac:dyDescent="0.3">
      <c r="A65" s="95">
        <v>38</v>
      </c>
      <c r="B65" s="96"/>
      <c r="C65" s="97" t="s">
        <v>90</v>
      </c>
      <c r="D65" s="98">
        <v>40000</v>
      </c>
      <c r="E65" s="98" t="s">
        <v>246</v>
      </c>
      <c r="F65" s="99">
        <v>7.87</v>
      </c>
      <c r="G65" s="100">
        <f t="shared" si="16"/>
        <v>314800</v>
      </c>
      <c r="H65" s="102" t="s">
        <v>248</v>
      </c>
      <c r="I65" s="102" t="s">
        <v>377</v>
      </c>
      <c r="J65" s="135">
        <v>4000</v>
      </c>
      <c r="K65" s="118">
        <v>5</v>
      </c>
      <c r="L65" s="104">
        <v>21.59</v>
      </c>
      <c r="M65" s="100">
        <f t="shared" si="17"/>
        <v>863600</v>
      </c>
      <c r="N65" s="100" t="s">
        <v>269</v>
      </c>
      <c r="O65" s="100" t="s">
        <v>349</v>
      </c>
      <c r="P65" s="117">
        <v>20000</v>
      </c>
      <c r="Q65" s="118">
        <v>5</v>
      </c>
      <c r="R65" s="103">
        <f t="shared" si="13"/>
        <v>1.7433290978398985</v>
      </c>
      <c r="S65" s="104">
        <v>7.87</v>
      </c>
      <c r="T65" s="100">
        <f t="shared" si="14"/>
        <v>314800</v>
      </c>
      <c r="U65" s="102" t="s">
        <v>248</v>
      </c>
      <c r="V65" s="102" t="s">
        <v>377</v>
      </c>
      <c r="W65" s="135">
        <v>4000</v>
      </c>
      <c r="X65" s="118">
        <v>5</v>
      </c>
      <c r="Y65" s="143">
        <f t="shared" si="15"/>
        <v>1</v>
      </c>
      <c r="Z65" s="81" t="s">
        <v>429</v>
      </c>
      <c r="AA65" s="146" t="str">
        <f t="shared" si="10"/>
        <v>GENTECH</v>
      </c>
      <c r="AB65" s="81" t="s">
        <v>445</v>
      </c>
      <c r="AC65" s="81" t="s">
        <v>461</v>
      </c>
      <c r="AD65" s="146" t="str">
        <f t="shared" si="11"/>
        <v xml:space="preserve">ISLA SAS </v>
      </c>
      <c r="AE65" s="81" t="s">
        <v>446</v>
      </c>
      <c r="AF65" s="81" t="s">
        <v>91</v>
      </c>
      <c r="AG65" s="146" t="str">
        <f t="shared" si="12"/>
        <v>GENTECH</v>
      </c>
      <c r="AH65" s="81" t="s">
        <v>445</v>
      </c>
      <c r="AI65" s="81" t="s">
        <v>461</v>
      </c>
      <c r="AJ65" s="81" t="s">
        <v>508</v>
      </c>
    </row>
    <row r="66" spans="1:36" x14ac:dyDescent="0.3">
      <c r="A66" s="95">
        <v>51</v>
      </c>
      <c r="B66" s="96"/>
      <c r="C66" s="97" t="s">
        <v>37</v>
      </c>
      <c r="D66" s="98">
        <v>2</v>
      </c>
      <c r="E66" s="98" t="s">
        <v>246</v>
      </c>
      <c r="F66" s="99">
        <v>2975000</v>
      </c>
      <c r="G66" s="100">
        <f t="shared" si="16"/>
        <v>5950000</v>
      </c>
      <c r="H66" s="100" t="s">
        <v>213</v>
      </c>
      <c r="I66" s="100" t="s">
        <v>213</v>
      </c>
      <c r="J66" s="119"/>
      <c r="K66" s="118">
        <v>5</v>
      </c>
      <c r="L66" s="104">
        <v>2975000</v>
      </c>
      <c r="M66" s="100">
        <f t="shared" si="17"/>
        <v>5950000</v>
      </c>
      <c r="N66" s="100" t="s">
        <v>213</v>
      </c>
      <c r="O66" s="100" t="s">
        <v>213</v>
      </c>
      <c r="P66" s="117"/>
      <c r="Q66" s="118">
        <v>5</v>
      </c>
      <c r="R66" s="103">
        <f t="shared" si="13"/>
        <v>0</v>
      </c>
      <c r="S66" s="104">
        <v>2975000</v>
      </c>
      <c r="T66" s="100">
        <f t="shared" si="14"/>
        <v>5950000</v>
      </c>
      <c r="U66" s="100" t="s">
        <v>213</v>
      </c>
      <c r="V66" s="102" t="s">
        <v>213</v>
      </c>
      <c r="W66" s="119"/>
      <c r="X66" s="118">
        <v>5</v>
      </c>
      <c r="Y66" s="143">
        <f t="shared" si="15"/>
        <v>1</v>
      </c>
      <c r="Z66" s="81" t="s">
        <v>432</v>
      </c>
      <c r="AA66" s="146" t="str">
        <f t="shared" si="10"/>
        <v>OPENTRONS</v>
      </c>
      <c r="AB66" s="81" t="s">
        <v>494</v>
      </c>
      <c r="AC66" s="81">
        <v>7</v>
      </c>
      <c r="AD66" s="146" t="str">
        <f t="shared" si="11"/>
        <v>OPENTRONS</v>
      </c>
      <c r="AE66" s="81" t="s">
        <v>494</v>
      </c>
      <c r="AF66" s="81">
        <v>7</v>
      </c>
      <c r="AG66" s="146" t="str">
        <f t="shared" si="12"/>
        <v>OPENTRONS</v>
      </c>
      <c r="AH66" s="81" t="s">
        <v>494</v>
      </c>
      <c r="AI66" s="81">
        <v>7</v>
      </c>
      <c r="AJ66" s="81" t="s">
        <v>508</v>
      </c>
    </row>
    <row r="67" spans="1:36" x14ac:dyDescent="0.3">
      <c r="A67" s="95">
        <v>52</v>
      </c>
      <c r="B67" s="96"/>
      <c r="C67" s="97" t="s">
        <v>39</v>
      </c>
      <c r="D67" s="98">
        <v>2</v>
      </c>
      <c r="E67" s="98" t="s">
        <v>246</v>
      </c>
      <c r="F67" s="99">
        <v>2975000</v>
      </c>
      <c r="G67" s="100">
        <f t="shared" si="16"/>
        <v>5950000</v>
      </c>
      <c r="H67" s="100" t="s">
        <v>213</v>
      </c>
      <c r="I67" s="100" t="s">
        <v>213</v>
      </c>
      <c r="J67" s="119"/>
      <c r="K67" s="118">
        <v>5</v>
      </c>
      <c r="L67" s="104">
        <v>2975000</v>
      </c>
      <c r="M67" s="100">
        <f t="shared" si="17"/>
        <v>5950000</v>
      </c>
      <c r="N67" s="100" t="s">
        <v>213</v>
      </c>
      <c r="O67" s="100" t="s">
        <v>213</v>
      </c>
      <c r="P67" s="117"/>
      <c r="Q67" s="118">
        <v>5</v>
      </c>
      <c r="R67" s="103">
        <f t="shared" si="13"/>
        <v>0</v>
      </c>
      <c r="S67" s="104">
        <v>2975000</v>
      </c>
      <c r="T67" s="100">
        <f t="shared" si="14"/>
        <v>5950000</v>
      </c>
      <c r="U67" s="100" t="s">
        <v>213</v>
      </c>
      <c r="V67" s="102" t="s">
        <v>213</v>
      </c>
      <c r="W67" s="119"/>
      <c r="X67" s="118">
        <v>5</v>
      </c>
      <c r="Y67" s="143">
        <f t="shared" si="15"/>
        <v>1</v>
      </c>
      <c r="Z67" s="81" t="s">
        <v>432</v>
      </c>
      <c r="AA67" s="146" t="str">
        <f t="shared" si="10"/>
        <v>OPENTRONS</v>
      </c>
      <c r="AB67" s="81" t="s">
        <v>494</v>
      </c>
      <c r="AC67" s="81">
        <v>6</v>
      </c>
      <c r="AD67" s="146" t="str">
        <f t="shared" si="11"/>
        <v>OPENTRONS</v>
      </c>
      <c r="AE67" s="81" t="s">
        <v>494</v>
      </c>
      <c r="AF67" s="81">
        <v>6</v>
      </c>
      <c r="AG67" s="146" t="str">
        <f t="shared" si="12"/>
        <v>OPENTRONS</v>
      </c>
      <c r="AH67" s="81" t="s">
        <v>494</v>
      </c>
      <c r="AI67" s="81">
        <v>6</v>
      </c>
      <c r="AJ67" s="81" t="s">
        <v>508</v>
      </c>
    </row>
    <row r="68" spans="1:36" x14ac:dyDescent="0.3">
      <c r="A68" s="95">
        <v>53</v>
      </c>
      <c r="B68" s="96"/>
      <c r="C68" s="97" t="s">
        <v>40</v>
      </c>
      <c r="D68" s="98">
        <v>4</v>
      </c>
      <c r="E68" s="98" t="s">
        <v>246</v>
      </c>
      <c r="F68" s="99">
        <v>1785000</v>
      </c>
      <c r="G68" s="100">
        <f t="shared" si="16"/>
        <v>7140000</v>
      </c>
      <c r="H68" s="100" t="s">
        <v>213</v>
      </c>
      <c r="I68" s="100" t="s">
        <v>213</v>
      </c>
      <c r="J68" s="119"/>
      <c r="K68" s="118">
        <v>5</v>
      </c>
      <c r="L68" s="104">
        <v>1785000</v>
      </c>
      <c r="M68" s="100">
        <f t="shared" si="17"/>
        <v>7140000</v>
      </c>
      <c r="N68" s="100" t="s">
        <v>213</v>
      </c>
      <c r="O68" s="100" t="s">
        <v>213</v>
      </c>
      <c r="P68" s="117"/>
      <c r="Q68" s="118">
        <v>5</v>
      </c>
      <c r="R68" s="103">
        <f t="shared" si="13"/>
        <v>0</v>
      </c>
      <c r="S68" s="104">
        <v>1785000</v>
      </c>
      <c r="T68" s="100">
        <f t="shared" si="14"/>
        <v>7140000</v>
      </c>
      <c r="U68" s="100" t="s">
        <v>213</v>
      </c>
      <c r="V68" s="102" t="s">
        <v>213</v>
      </c>
      <c r="W68" s="119"/>
      <c r="X68" s="118">
        <v>5</v>
      </c>
      <c r="Y68" s="143">
        <f t="shared" si="15"/>
        <v>1</v>
      </c>
      <c r="Z68" s="81" t="s">
        <v>432</v>
      </c>
      <c r="AA68" s="146" t="str">
        <f t="shared" si="10"/>
        <v>OPENTRONS</v>
      </c>
      <c r="AB68" s="81" t="s">
        <v>494</v>
      </c>
      <c r="AC68" s="81">
        <v>9</v>
      </c>
      <c r="AD68" s="146" t="str">
        <f t="shared" si="11"/>
        <v>OPENTRONS</v>
      </c>
      <c r="AE68" s="81" t="s">
        <v>494</v>
      </c>
      <c r="AF68" s="81">
        <v>9</v>
      </c>
      <c r="AG68" s="146" t="str">
        <f t="shared" si="12"/>
        <v>OPENTRONS</v>
      </c>
      <c r="AH68" s="81" t="s">
        <v>494</v>
      </c>
      <c r="AI68" s="81">
        <v>9</v>
      </c>
      <c r="AJ68" s="81" t="s">
        <v>508</v>
      </c>
    </row>
    <row r="69" spans="1:36" x14ac:dyDescent="0.3">
      <c r="A69" s="95">
        <v>54</v>
      </c>
      <c r="B69" s="96"/>
      <c r="C69" s="97" t="s">
        <v>41</v>
      </c>
      <c r="D69" s="98">
        <v>2</v>
      </c>
      <c r="E69" s="98" t="s">
        <v>246</v>
      </c>
      <c r="F69" s="99">
        <v>1785000</v>
      </c>
      <c r="G69" s="100">
        <f t="shared" si="16"/>
        <v>3570000</v>
      </c>
      <c r="H69" s="100" t="s">
        <v>213</v>
      </c>
      <c r="I69" s="100" t="s">
        <v>213</v>
      </c>
      <c r="J69" s="119"/>
      <c r="K69" s="118">
        <v>5</v>
      </c>
      <c r="L69" s="104">
        <v>1785000</v>
      </c>
      <c r="M69" s="100">
        <f t="shared" si="17"/>
        <v>3570000</v>
      </c>
      <c r="N69" s="100" t="s">
        <v>213</v>
      </c>
      <c r="O69" s="100" t="s">
        <v>213</v>
      </c>
      <c r="P69" s="117"/>
      <c r="Q69" s="118">
        <v>5</v>
      </c>
      <c r="R69" s="103">
        <f t="shared" si="13"/>
        <v>0</v>
      </c>
      <c r="S69" s="104">
        <v>1785000</v>
      </c>
      <c r="T69" s="100">
        <f t="shared" si="14"/>
        <v>3570000</v>
      </c>
      <c r="U69" s="100" t="s">
        <v>213</v>
      </c>
      <c r="V69" s="102" t="s">
        <v>213</v>
      </c>
      <c r="W69" s="132"/>
      <c r="X69" s="118">
        <v>5</v>
      </c>
      <c r="Y69" s="143">
        <f t="shared" si="15"/>
        <v>1</v>
      </c>
      <c r="Z69" s="81" t="s">
        <v>432</v>
      </c>
      <c r="AA69" s="146" t="str">
        <f t="shared" si="10"/>
        <v>OPENTRONS</v>
      </c>
      <c r="AB69" s="81" t="s">
        <v>494</v>
      </c>
      <c r="AC69" s="81">
        <v>8</v>
      </c>
      <c r="AD69" s="146" t="str">
        <f t="shared" si="11"/>
        <v>OPENTRONS</v>
      </c>
      <c r="AE69" s="81" t="s">
        <v>494</v>
      </c>
      <c r="AF69" s="81">
        <v>8</v>
      </c>
      <c r="AG69" s="146" t="str">
        <f t="shared" si="12"/>
        <v>OPENTRONS</v>
      </c>
      <c r="AH69" s="81" t="s">
        <v>494</v>
      </c>
      <c r="AI69" s="81">
        <v>8</v>
      </c>
      <c r="AJ69" s="81" t="s">
        <v>508</v>
      </c>
    </row>
    <row r="70" spans="1:36" x14ac:dyDescent="0.3">
      <c r="A70" s="95">
        <v>55</v>
      </c>
      <c r="B70" s="96"/>
      <c r="C70" s="97" t="s">
        <v>42</v>
      </c>
      <c r="D70" s="98">
        <v>2</v>
      </c>
      <c r="E70" s="98" t="s">
        <v>246</v>
      </c>
      <c r="F70" s="99">
        <v>952000</v>
      </c>
      <c r="G70" s="100">
        <f t="shared" si="16"/>
        <v>1904000</v>
      </c>
      <c r="H70" s="100" t="s">
        <v>213</v>
      </c>
      <c r="I70" s="100" t="s">
        <v>213</v>
      </c>
      <c r="J70" s="119"/>
      <c r="K70" s="118">
        <v>5</v>
      </c>
      <c r="L70" s="104">
        <v>952000</v>
      </c>
      <c r="M70" s="100">
        <f t="shared" si="17"/>
        <v>1904000</v>
      </c>
      <c r="N70" s="100" t="s">
        <v>213</v>
      </c>
      <c r="O70" s="100" t="s">
        <v>213</v>
      </c>
      <c r="P70" s="117"/>
      <c r="Q70" s="118">
        <v>5</v>
      </c>
      <c r="R70" s="103">
        <f t="shared" si="13"/>
        <v>0</v>
      </c>
      <c r="S70" s="104">
        <v>952000</v>
      </c>
      <c r="T70" s="100">
        <f t="shared" si="14"/>
        <v>1904000</v>
      </c>
      <c r="U70" s="100" t="s">
        <v>213</v>
      </c>
      <c r="V70" s="102" t="s">
        <v>213</v>
      </c>
      <c r="W70" s="132"/>
      <c r="X70" s="118">
        <v>5</v>
      </c>
      <c r="Y70" s="143">
        <f t="shared" si="15"/>
        <v>1</v>
      </c>
      <c r="Z70" s="81" t="s">
        <v>432</v>
      </c>
      <c r="AA70" s="146" t="str">
        <f t="shared" si="10"/>
        <v>OPENTRONS</v>
      </c>
      <c r="AB70" s="81" t="s">
        <v>494</v>
      </c>
      <c r="AC70" s="81">
        <v>5</v>
      </c>
      <c r="AD70" s="146" t="str">
        <f t="shared" si="11"/>
        <v>OPENTRONS</v>
      </c>
      <c r="AE70" s="81" t="s">
        <v>494</v>
      </c>
      <c r="AF70" s="81">
        <v>5</v>
      </c>
      <c r="AG70" s="146" t="str">
        <f t="shared" si="12"/>
        <v>OPENTRONS</v>
      </c>
      <c r="AH70" s="81" t="s">
        <v>494</v>
      </c>
      <c r="AI70" s="81">
        <v>5</v>
      </c>
      <c r="AJ70" s="81" t="s">
        <v>508</v>
      </c>
    </row>
    <row r="71" spans="1:36" x14ac:dyDescent="0.3">
      <c r="A71" s="95">
        <v>10</v>
      </c>
      <c r="B71" s="96"/>
      <c r="C71" s="97" t="s">
        <v>16</v>
      </c>
      <c r="D71" s="98">
        <v>4500</v>
      </c>
      <c r="E71" s="98" t="s">
        <v>353</v>
      </c>
      <c r="F71" s="99">
        <v>278.45999999999998</v>
      </c>
      <c r="G71" s="100">
        <f t="shared" si="16"/>
        <v>1253070</v>
      </c>
      <c r="H71" s="100" t="s">
        <v>354</v>
      </c>
      <c r="I71" s="100" t="s">
        <v>355</v>
      </c>
      <c r="J71" s="119">
        <v>500</v>
      </c>
      <c r="K71" s="118">
        <v>5</v>
      </c>
      <c r="L71" s="101">
        <v>502.18</v>
      </c>
      <c r="M71" s="100">
        <f t="shared" si="17"/>
        <v>2259810</v>
      </c>
      <c r="N71" s="102" t="s">
        <v>341</v>
      </c>
      <c r="O71" s="102" t="s">
        <v>356</v>
      </c>
      <c r="P71" s="117">
        <v>500</v>
      </c>
      <c r="Q71" s="118">
        <v>5</v>
      </c>
      <c r="R71" s="103">
        <f t="shared" si="13"/>
        <v>0.80341880341880345</v>
      </c>
      <c r="S71" s="101">
        <v>571.20000000000005</v>
      </c>
      <c r="T71" s="100">
        <f t="shared" si="14"/>
        <v>2570400</v>
      </c>
      <c r="U71" s="100" t="s">
        <v>269</v>
      </c>
      <c r="V71" s="102" t="s">
        <v>357</v>
      </c>
      <c r="W71" s="117">
        <v>500</v>
      </c>
      <c r="X71" s="118">
        <v>5</v>
      </c>
      <c r="Y71" s="143">
        <f t="shared" si="15"/>
        <v>1</v>
      </c>
      <c r="Z71" s="81" t="s">
        <v>429</v>
      </c>
      <c r="AA71" s="146" t="str">
        <f t="shared" si="10"/>
        <v>GENPRODUTS</v>
      </c>
      <c r="AB71" s="136">
        <v>11332</v>
      </c>
      <c r="AC71" s="81" t="s">
        <v>464</v>
      </c>
      <c r="AD71" s="146" t="str">
        <f t="shared" si="11"/>
        <v xml:space="preserve">ARC ANALISIS </v>
      </c>
      <c r="AE71" s="136">
        <v>48497</v>
      </c>
      <c r="AF71" s="81">
        <v>14025092</v>
      </c>
      <c r="AG71" s="146" t="str">
        <f t="shared" si="12"/>
        <v xml:space="preserve">ISLA SAS </v>
      </c>
      <c r="AH71" s="81" t="s">
        <v>446</v>
      </c>
      <c r="AI71" s="81" t="s">
        <v>487</v>
      </c>
      <c r="AJ71" s="81" t="s">
        <v>516</v>
      </c>
    </row>
    <row r="72" spans="1:36" x14ac:dyDescent="0.3">
      <c r="A72" s="95">
        <v>16</v>
      </c>
      <c r="B72" s="96"/>
      <c r="C72" s="97" t="s">
        <v>17</v>
      </c>
      <c r="D72" s="98">
        <v>1</v>
      </c>
      <c r="E72" s="98" t="s">
        <v>386</v>
      </c>
      <c r="F72" s="99">
        <f>61.2*1.2*4000</f>
        <v>293760</v>
      </c>
      <c r="G72" s="100">
        <f t="shared" si="16"/>
        <v>293760</v>
      </c>
      <c r="H72" s="100" t="s">
        <v>385</v>
      </c>
      <c r="I72" s="100" t="s">
        <v>385</v>
      </c>
      <c r="J72" s="119">
        <v>1</v>
      </c>
      <c r="K72" s="118">
        <v>5</v>
      </c>
      <c r="L72" s="104">
        <f>61.2*1.2*4000</f>
        <v>293760</v>
      </c>
      <c r="M72" s="100">
        <f t="shared" si="17"/>
        <v>293760</v>
      </c>
      <c r="N72" s="100" t="s">
        <v>385</v>
      </c>
      <c r="O72" s="100" t="s">
        <v>385</v>
      </c>
      <c r="P72" s="117">
        <v>1</v>
      </c>
      <c r="Q72" s="118">
        <v>5</v>
      </c>
      <c r="R72" s="103">
        <f t="shared" si="13"/>
        <v>0</v>
      </c>
      <c r="S72" s="104">
        <f>61.2*1.2*4000</f>
        <v>293760</v>
      </c>
      <c r="T72" s="100">
        <f t="shared" si="14"/>
        <v>293760</v>
      </c>
      <c r="U72" s="100" t="s">
        <v>385</v>
      </c>
      <c r="V72" s="102" t="s">
        <v>385</v>
      </c>
      <c r="W72" s="119">
        <v>1</v>
      </c>
      <c r="X72" s="118">
        <v>5</v>
      </c>
      <c r="Y72" s="143">
        <f t="shared" si="15"/>
        <v>1</v>
      </c>
      <c r="Z72" s="81" t="s">
        <v>428</v>
      </c>
      <c r="AA72" s="146" t="str">
        <f t="shared" si="10"/>
        <v>ATCC</v>
      </c>
      <c r="AD72" s="146" t="str">
        <f t="shared" si="11"/>
        <v>ATCC</v>
      </c>
      <c r="AG72" s="146" t="str">
        <f t="shared" si="12"/>
        <v>ATCC</v>
      </c>
    </row>
    <row r="73" spans="1:36" x14ac:dyDescent="0.3">
      <c r="A73" s="95">
        <v>17</v>
      </c>
      <c r="B73" s="96"/>
      <c r="C73" s="97" t="s">
        <v>20</v>
      </c>
      <c r="D73" s="98">
        <v>1</v>
      </c>
      <c r="E73" s="98" t="s">
        <v>386</v>
      </c>
      <c r="F73" s="99">
        <f>199.75*1.2*4000</f>
        <v>958800</v>
      </c>
      <c r="G73" s="100">
        <f t="shared" si="16"/>
        <v>958800</v>
      </c>
      <c r="H73" s="100" t="s">
        <v>385</v>
      </c>
      <c r="I73" s="100" t="s">
        <v>385</v>
      </c>
      <c r="J73" s="119">
        <v>1</v>
      </c>
      <c r="K73" s="118">
        <v>5</v>
      </c>
      <c r="L73" s="104">
        <f>199.75*1.2*4000</f>
        <v>958800</v>
      </c>
      <c r="M73" s="100">
        <f t="shared" si="17"/>
        <v>958800</v>
      </c>
      <c r="N73" s="100" t="s">
        <v>385</v>
      </c>
      <c r="O73" s="100" t="s">
        <v>385</v>
      </c>
      <c r="P73" s="117">
        <v>1</v>
      </c>
      <c r="Q73" s="118">
        <v>5</v>
      </c>
      <c r="R73" s="103">
        <f t="shared" si="13"/>
        <v>0</v>
      </c>
      <c r="S73" s="104">
        <f>199.75*1.2*4000</f>
        <v>958800</v>
      </c>
      <c r="T73" s="100">
        <f t="shared" si="14"/>
        <v>958800</v>
      </c>
      <c r="U73" s="100" t="s">
        <v>385</v>
      </c>
      <c r="V73" s="102" t="s">
        <v>385</v>
      </c>
      <c r="W73" s="119">
        <v>1</v>
      </c>
      <c r="X73" s="118">
        <v>5</v>
      </c>
      <c r="Y73" s="143">
        <f t="shared" si="15"/>
        <v>1</v>
      </c>
      <c r="Z73" s="81" t="s">
        <v>428</v>
      </c>
      <c r="AA73" s="146" t="str">
        <f t="shared" si="10"/>
        <v>ATCC</v>
      </c>
      <c r="AD73" s="146" t="str">
        <f t="shared" si="11"/>
        <v>ATCC</v>
      </c>
      <c r="AG73" s="146" t="str">
        <f t="shared" si="12"/>
        <v>ATCC</v>
      </c>
    </row>
    <row r="74" spans="1:36" x14ac:dyDescent="0.3">
      <c r="A74" s="95">
        <v>34</v>
      </c>
      <c r="B74" s="96"/>
      <c r="C74" s="97" t="s">
        <v>81</v>
      </c>
      <c r="D74" s="98">
        <v>4500</v>
      </c>
      <c r="E74" s="98" t="s">
        <v>329</v>
      </c>
      <c r="F74" s="99">
        <v>26000</v>
      </c>
      <c r="G74" s="100">
        <f t="shared" si="16"/>
        <v>117000000</v>
      </c>
      <c r="H74" s="100" t="s">
        <v>375</v>
      </c>
      <c r="I74" s="100" t="s">
        <v>244</v>
      </c>
      <c r="J74" s="119">
        <v>25</v>
      </c>
      <c r="K74" s="118">
        <v>5</v>
      </c>
      <c r="L74" s="104">
        <v>28000</v>
      </c>
      <c r="M74" s="100">
        <f t="shared" si="17"/>
        <v>126000000</v>
      </c>
      <c r="N74" s="148" t="s">
        <v>389</v>
      </c>
      <c r="O74" s="148"/>
      <c r="P74" s="117">
        <v>30</v>
      </c>
      <c r="Q74" s="118">
        <v>4.5</v>
      </c>
      <c r="R74" s="103">
        <f t="shared" si="13"/>
        <v>7.6923076923076872E-2</v>
      </c>
      <c r="S74" s="104">
        <v>163680</v>
      </c>
      <c r="T74" s="100">
        <f t="shared" si="14"/>
        <v>736560000</v>
      </c>
      <c r="U74" s="100" t="s">
        <v>269</v>
      </c>
      <c r="V74" s="102" t="s">
        <v>376</v>
      </c>
      <c r="W74" s="119">
        <v>20</v>
      </c>
      <c r="X74" s="118">
        <v>4</v>
      </c>
      <c r="Y74" s="143">
        <f t="shared" si="15"/>
        <v>1</v>
      </c>
      <c r="Z74" s="81" t="s">
        <v>431</v>
      </c>
      <c r="AA74" s="146" t="str">
        <f t="shared" si="10"/>
        <v xml:space="preserve">ALERE </v>
      </c>
      <c r="AD74" s="146" t="str">
        <f t="shared" si="11"/>
        <v xml:space="preserve">ANNAR </v>
      </c>
      <c r="AG74" s="146" t="str">
        <f t="shared" si="12"/>
        <v xml:space="preserve">ISLA SAS </v>
      </c>
      <c r="AH74" s="81" t="s">
        <v>446</v>
      </c>
      <c r="AI74" s="81" t="s">
        <v>478</v>
      </c>
    </row>
    <row r="75" spans="1:36" x14ac:dyDescent="0.3">
      <c r="A75" s="107"/>
      <c r="B75" s="177" t="s">
        <v>323</v>
      </c>
      <c r="C75" s="177"/>
      <c r="D75" s="108"/>
      <c r="E75" s="108"/>
      <c r="F75" s="178">
        <f>SUBTOTAL(9,G11:G74)</f>
        <v>975961342.68000019</v>
      </c>
      <c r="G75" s="178"/>
      <c r="H75" s="109"/>
      <c r="I75" s="109"/>
      <c r="J75" s="109"/>
      <c r="K75" s="109"/>
      <c r="L75" s="178">
        <f>SUBTOTAL(9,M11:M74)</f>
        <v>910983855.88000011</v>
      </c>
      <c r="M75" s="178"/>
      <c r="N75" s="109">
        <f>L75-F75</f>
        <v>-64977486.800000072</v>
      </c>
      <c r="O75" s="109"/>
      <c r="P75" s="133"/>
      <c r="Q75" s="124"/>
      <c r="R75" s="110">
        <f>L75/F75-1</f>
        <v>-6.6577930865141854E-2</v>
      </c>
      <c r="S75" s="178">
        <f>SUBTOTAL(9,T11:T74)</f>
        <v>1549783450.2800002</v>
      </c>
      <c r="T75" s="178"/>
      <c r="U75" s="109"/>
      <c r="V75" s="109"/>
      <c r="W75" s="141">
        <f>S75-F75</f>
        <v>573822107.60000002</v>
      </c>
      <c r="X75" s="133"/>
      <c r="Y75" s="137">
        <f>+S75/F75-1</f>
        <v>0.58795577499440554</v>
      </c>
      <c r="AA75" s="146"/>
      <c r="AD75" s="146"/>
      <c r="AG75" s="146"/>
    </row>
    <row r="76" spans="1:36" x14ac:dyDescent="0.3">
      <c r="B76" s="111" t="s">
        <v>324</v>
      </c>
      <c r="C76" s="112"/>
    </row>
    <row r="77" spans="1:36" x14ac:dyDescent="0.3">
      <c r="B77" s="113" t="s">
        <v>325</v>
      </c>
      <c r="C77" s="114">
        <f ca="1">TODAY()</f>
        <v>45156</v>
      </c>
    </row>
    <row r="83" spans="4:15" x14ac:dyDescent="0.3">
      <c r="D83" s="115"/>
      <c r="E83" s="115"/>
    </row>
    <row r="84" spans="4:15" x14ac:dyDescent="0.3">
      <c r="D84" s="116"/>
      <c r="E84" s="116"/>
    </row>
    <row r="85" spans="4:15" x14ac:dyDescent="0.3">
      <c r="M85" s="115"/>
      <c r="N85" s="115"/>
      <c r="O85" s="115"/>
    </row>
    <row r="86" spans="4:15" x14ac:dyDescent="0.3">
      <c r="D86" s="115"/>
      <c r="E86" s="115"/>
    </row>
  </sheetData>
  <sortState xmlns:xlrd2="http://schemas.microsoft.com/office/spreadsheetml/2017/richdata2" ref="A11:AJ74">
    <sortCondition ref="AJ11:AJ74"/>
  </sortState>
  <mergeCells count="32">
    <mergeCell ref="AA9:AI9"/>
    <mergeCell ref="AJ9:AJ10"/>
    <mergeCell ref="V9:V10"/>
    <mergeCell ref="X9:X10"/>
    <mergeCell ref="E9:E10"/>
    <mergeCell ref="R9:R10"/>
    <mergeCell ref="S9:T9"/>
    <mergeCell ref="P9:P10"/>
    <mergeCell ref="Z9:Z10"/>
    <mergeCell ref="B75:C75"/>
    <mergeCell ref="F75:G75"/>
    <mergeCell ref="L75:M75"/>
    <mergeCell ref="S75:T75"/>
    <mergeCell ref="I9:I10"/>
    <mergeCell ref="K9:K10"/>
    <mergeCell ref="O9:O10"/>
    <mergeCell ref="Q9:Q10"/>
    <mergeCell ref="A2:T2"/>
    <mergeCell ref="A3:T3"/>
    <mergeCell ref="A5:Y5"/>
    <mergeCell ref="M7:R7"/>
    <mergeCell ref="A9:A10"/>
    <mergeCell ref="B9:B10"/>
    <mergeCell ref="D9:D10"/>
    <mergeCell ref="F9:G9"/>
    <mergeCell ref="H9:H10"/>
    <mergeCell ref="U9:U10"/>
    <mergeCell ref="W9:W10"/>
    <mergeCell ref="Y9:Y10"/>
    <mergeCell ref="J9:J10"/>
    <mergeCell ref="L9:M9"/>
    <mergeCell ref="N9:N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COTIZAR</vt:lpstr>
      <vt:lpstr>NO COTIZAR</vt:lpstr>
      <vt:lpstr>COMPARATIVO </vt:lpstr>
      <vt:lpstr>PRESUPUESTO</vt:lpstr>
      <vt:lpstr>PRESUPUESTO!incBuyerDossierDetaillnkRequestReference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Cabrera</dc:creator>
  <cp:lastModifiedBy>Rodrigo Cabrera</cp:lastModifiedBy>
  <dcterms:created xsi:type="dcterms:W3CDTF">2020-09-10T17:43:22Z</dcterms:created>
  <dcterms:modified xsi:type="dcterms:W3CDTF">2023-08-18T18:51:06Z</dcterms:modified>
</cp:coreProperties>
</file>