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nixlope\Documents\2023\ADECUACIONES SPOA FASE II\ADECUACIONES CHAPARRAL\Cotización Chaparral\"/>
    </mc:Choice>
  </mc:AlternateContent>
  <xr:revisionPtr revIDLastSave="0" documentId="13_ncr:1_{E99A9A86-5C00-480D-802D-E8BA9DBFDAE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Hoja2" sheetId="1" r:id="rId1"/>
    <sheet name="Comparativo Chaparr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64" i="2" l="1"/>
  <c r="J62" i="2"/>
  <c r="I30" i="2"/>
  <c r="J30" i="2" s="1"/>
  <c r="I31" i="2"/>
  <c r="I32" i="2"/>
  <c r="J32" i="2" s="1"/>
  <c r="I33" i="2"/>
  <c r="J33" i="2" s="1"/>
  <c r="I34" i="2"/>
  <c r="J34" i="2" s="1"/>
  <c r="I35" i="2"/>
  <c r="J35" i="2" s="1"/>
  <c r="I36" i="2"/>
  <c r="J36" i="2" s="1"/>
  <c r="I37" i="2"/>
  <c r="J37" i="2" s="1"/>
  <c r="I38" i="2"/>
  <c r="I39" i="2"/>
  <c r="J39" i="2" s="1"/>
  <c r="I40" i="2"/>
  <c r="J40" i="2" s="1"/>
  <c r="I41" i="2"/>
  <c r="I42" i="2"/>
  <c r="J42" i="2" s="1"/>
  <c r="I43" i="2"/>
  <c r="J43" i="2" s="1"/>
  <c r="I44" i="2"/>
  <c r="J44" i="2" s="1"/>
  <c r="I45" i="2"/>
  <c r="J45" i="2" s="1"/>
  <c r="I46" i="2"/>
  <c r="J46" i="2" s="1"/>
  <c r="I47" i="2"/>
  <c r="J47" i="2" s="1"/>
  <c r="I9" i="2"/>
  <c r="I10" i="2"/>
  <c r="I11" i="2"/>
  <c r="I12" i="2"/>
  <c r="I13" i="2"/>
  <c r="I14" i="2"/>
  <c r="I15" i="2"/>
  <c r="I16" i="2"/>
  <c r="I17" i="2"/>
  <c r="J17" i="2" s="1"/>
  <c r="I18" i="2"/>
  <c r="J18" i="2" s="1"/>
  <c r="I19" i="2"/>
  <c r="J19" i="2" s="1"/>
  <c r="I20" i="2"/>
  <c r="I21" i="2"/>
  <c r="I22" i="2"/>
  <c r="J22" i="2" s="1"/>
  <c r="I23" i="2"/>
  <c r="J23" i="2" s="1"/>
  <c r="I24" i="2"/>
  <c r="J24" i="2" s="1"/>
  <c r="I25" i="2"/>
  <c r="J25" i="2" s="1"/>
  <c r="I26" i="2"/>
  <c r="J26" i="2" s="1"/>
  <c r="I27" i="2"/>
  <c r="J27" i="2" s="1"/>
  <c r="H30" i="2" l="1"/>
  <c r="H32" i="2"/>
  <c r="H33" i="2"/>
  <c r="H34" i="2"/>
  <c r="H35" i="2"/>
  <c r="H36" i="2"/>
  <c r="H37" i="2"/>
  <c r="H39" i="2"/>
  <c r="H40" i="2"/>
  <c r="H42" i="2"/>
  <c r="H43" i="2"/>
  <c r="H44" i="2"/>
  <c r="H45" i="2"/>
  <c r="H46" i="2"/>
  <c r="H47" i="2"/>
  <c r="H24" i="2"/>
  <c r="H25" i="2"/>
  <c r="H26" i="2"/>
  <c r="H27" i="2"/>
  <c r="F30" i="2"/>
  <c r="F31" i="2"/>
  <c r="F32" i="2"/>
  <c r="F33" i="2"/>
  <c r="F34" i="2"/>
  <c r="F35" i="2"/>
  <c r="F36" i="2"/>
  <c r="F37" i="2"/>
  <c r="F39" i="2"/>
  <c r="F40" i="2"/>
  <c r="F42" i="2"/>
  <c r="F43" i="2"/>
  <c r="F44" i="2"/>
  <c r="F45" i="2"/>
  <c r="F46" i="2"/>
  <c r="F47" i="2"/>
  <c r="A29" i="2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D41" i="2"/>
  <c r="J41" i="2" s="1"/>
  <c r="D38" i="2"/>
  <c r="F38" i="2" s="1"/>
  <c r="D31" i="2"/>
  <c r="J31" i="2" s="1"/>
  <c r="F24" i="2"/>
  <c r="F25" i="2"/>
  <c r="F26" i="2"/>
  <c r="F27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D21" i="2"/>
  <c r="J21" i="2" s="1"/>
  <c r="D20" i="2"/>
  <c r="J20" i="2" s="1"/>
  <c r="D16" i="2"/>
  <c r="J16" i="2" s="1"/>
  <c r="D15" i="2"/>
  <c r="F15" i="2" s="1"/>
  <c r="D10" i="2"/>
  <c r="D9" i="2"/>
  <c r="F9" i="2" s="1"/>
  <c r="F22" i="2"/>
  <c r="F14" i="2"/>
  <c r="I8" i="2"/>
  <c r="J8" i="2" s="1"/>
  <c r="J12" i="2"/>
  <c r="J13" i="2"/>
  <c r="I29" i="2"/>
  <c r="J29" i="2" s="1"/>
  <c r="I7" i="2"/>
  <c r="I54" i="2"/>
  <c r="I53" i="2"/>
  <c r="I52" i="2"/>
  <c r="F29" i="2"/>
  <c r="F8" i="2"/>
  <c r="F13" i="2"/>
  <c r="F17" i="2"/>
  <c r="F19" i="2"/>
  <c r="F23" i="2"/>
  <c r="H29" i="2"/>
  <c r="H41" i="2" l="1"/>
  <c r="H31" i="2"/>
  <c r="J38" i="2"/>
  <c r="F20" i="2"/>
  <c r="J15" i="2"/>
  <c r="F41" i="2"/>
  <c r="F16" i="2"/>
  <c r="H38" i="2"/>
  <c r="J9" i="2"/>
  <c r="J14" i="2"/>
  <c r="J10" i="2"/>
  <c r="J11" i="2"/>
  <c r="F10" i="2"/>
  <c r="H10" i="2"/>
  <c r="H13" i="2"/>
  <c r="H14" i="2"/>
  <c r="H15" i="2"/>
  <c r="H16" i="2"/>
  <c r="H17" i="2"/>
  <c r="H19" i="2"/>
  <c r="H20" i="2"/>
  <c r="H22" i="2"/>
  <c r="H23" i="2"/>
  <c r="F7" i="2" l="1"/>
  <c r="F11" i="2" l="1"/>
  <c r="H11" i="2"/>
  <c r="F12" i="2"/>
  <c r="H12" i="2"/>
  <c r="F18" i="2"/>
  <c r="H18" i="2"/>
  <c r="F21" i="2"/>
  <c r="H21" i="2"/>
  <c r="J7" i="2"/>
  <c r="D10" i="1"/>
  <c r="D15" i="1"/>
  <c r="D21" i="1"/>
  <c r="H8" i="2" l="1"/>
  <c r="H7" i="2"/>
  <c r="H9" i="2"/>
  <c r="J21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2" i="1"/>
  <c r="J23" i="1"/>
  <c r="J5" i="1"/>
  <c r="J49" i="2" l="1"/>
  <c r="J51" i="2" s="1"/>
  <c r="H49" i="2"/>
  <c r="H51" i="2" s="1"/>
  <c r="F49" i="2"/>
  <c r="F51" i="2" s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F15" i="1"/>
  <c r="H5" i="1"/>
  <c r="F21" i="1"/>
  <c r="F22" i="1"/>
  <c r="F23" i="1"/>
  <c r="F20" i="1"/>
  <c r="F19" i="1"/>
  <c r="F18" i="1"/>
  <c r="F17" i="1"/>
  <c r="F16" i="1"/>
  <c r="F14" i="1"/>
  <c r="F13" i="1"/>
  <c r="F12" i="1"/>
  <c r="F11" i="1"/>
  <c r="F10" i="1"/>
  <c r="D9" i="1"/>
  <c r="F9" i="1" s="1"/>
  <c r="D8" i="1"/>
  <c r="F8" i="1" s="1"/>
  <c r="D7" i="1"/>
  <c r="F7" i="1" s="1"/>
  <c r="D6" i="1"/>
  <c r="F6" i="1" s="1"/>
  <c r="D5" i="1"/>
  <c r="F5" i="1" s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J54" i="2" l="1"/>
  <c r="J55" i="2" s="1"/>
  <c r="J53" i="2"/>
  <c r="J52" i="2"/>
  <c r="F52" i="2"/>
  <c r="F54" i="2"/>
  <c r="F55" i="2" s="1"/>
  <c r="F53" i="2"/>
  <c r="H52" i="2"/>
  <c r="H54" i="2"/>
  <c r="H55" i="2" s="1"/>
  <c r="H53" i="2"/>
  <c r="H24" i="1"/>
  <c r="H26" i="1" s="1"/>
  <c r="F24" i="1"/>
  <c r="F26" i="1" s="1"/>
  <c r="F56" i="2" l="1"/>
  <c r="J56" i="2"/>
  <c r="H56" i="2"/>
  <c r="J24" i="1"/>
  <c r="J26" i="1" s="1"/>
  <c r="J29" i="1" s="1"/>
  <c r="J30" i="1" s="1"/>
  <c r="H29" i="1"/>
  <c r="H30" i="1" s="1"/>
  <c r="H28" i="1"/>
  <c r="H27" i="1"/>
  <c r="F27" i="1"/>
  <c r="F28" i="1"/>
  <c r="F29" i="1"/>
  <c r="F30" i="1" s="1"/>
  <c r="J27" i="1" l="1"/>
  <c r="J28" i="1"/>
  <c r="H31" i="1"/>
  <c r="F31" i="1"/>
  <c r="J31" i="1" l="1"/>
</calcChain>
</file>

<file path=xl/sharedStrings.xml><?xml version="1.0" encoding="utf-8"?>
<sst xmlns="http://schemas.openxmlformats.org/spreadsheetml/2006/main" count="181" uniqueCount="79">
  <si>
    <t>CANTIDADES ADECUACIONES 2022</t>
  </si>
  <si>
    <t xml:space="preserve"> OFICINA FISCALÍA GENERAL</t>
  </si>
  <si>
    <t>NO.</t>
  </si>
  <si>
    <t>ITEM</t>
  </si>
  <si>
    <t>UNIDAD</t>
  </si>
  <si>
    <t xml:space="preserve">CANTIDAD </t>
  </si>
  <si>
    <t xml:space="preserve">VALOR UNITARIO </t>
  </si>
  <si>
    <t>VALOR TOTAL</t>
  </si>
  <si>
    <t>Desmonte de puertas en vidrio y fijos en vidrio templado</t>
  </si>
  <si>
    <t>M2</t>
  </si>
  <si>
    <t>Desmonte de piso vinilico de pega 3mm</t>
  </si>
  <si>
    <t>Demolición de guardaescobas existente</t>
  </si>
  <si>
    <t>ML</t>
  </si>
  <si>
    <t xml:space="preserve">Demolición de muros en drywall, incluye empaque y disposición final certificada. </t>
  </si>
  <si>
    <t>Desmonte  de cieloraso, ajuste de estructura con tensores a placa y modulación con perfileria adicional y laminas adicionales  para el cielo raso que no se desinstala.</t>
  </si>
  <si>
    <t>Desmonte  de archivo muerto, con su correcto desarmado y desinstalacion de anclaje a paredes y pisos</t>
  </si>
  <si>
    <t>Retiro de cableado UTP y electrico</t>
  </si>
  <si>
    <t>Desmonte de salidas de voz y datos</t>
  </si>
  <si>
    <t>UN</t>
  </si>
  <si>
    <t>Desmonte de salidas normales y reguladas</t>
  </si>
  <si>
    <t>Suministro e instalacion de piso en PVC vinilico decoclick texturizado con apariencia madera, tipo Alfa o equivalente, grosor 6mm.</t>
  </si>
  <si>
    <t xml:space="preserve">Suministro e instalacion de puertas en vidrio templado de 8 mm, con perfileria en aluminio anodizado crudo proyectante de 1 1/2" * 1 1/2", incluye pelicula autoadhesiva  sand blasting tipo frost, cerradura de manija accent cromado mate llave exterior y manija interior, y todo lo necesario para su correcto funcionamiento. </t>
  </si>
  <si>
    <t>Reinstalacion de puerta en vidrio templado</t>
  </si>
  <si>
    <t>UND</t>
  </si>
  <si>
    <t>Resane y pintura de huella de muros demolidos</t>
  </si>
  <si>
    <t>GLB</t>
  </si>
  <si>
    <t>Refuerzo en madera 6*4 para puertas y divisiones en vidrio</t>
  </si>
  <si>
    <t xml:space="preserve">SUMINISTRO E INSTALACION DE CIELO RASO PLANO DRY WALL, MACILLADO, LIJADO Y PINTADO A UNA MANO, (INCLUYE, CINTA PAPEL Y CINTA MALLA PARA JUNTAS DE LAMINAS, ESTRUCTURA METALICA DE SOPORTE, ANCLAJES, ACCESORIOS Y TORNILLERIA, PARA SU CORRECTA INSTALACIÓN Y FUNCIONAMIENTO)  </t>
  </si>
  <si>
    <t>Reinstalación de guardaescoba en madera pintado de negro 10cm X1 cm.</t>
  </si>
  <si>
    <t>Pintura interior sobre muros, incluye resanes, filos y dilataciones. Vinilo tipo 1, dos (2) manos</t>
  </si>
  <si>
    <t>Pintura tipo 1 para cielo raso modular y liso en drywall</t>
  </si>
  <si>
    <t>MURO en Drywall de e:12 cm.
Dos caras de cartón yeso de 1/2" marca Gyplac o equivalente + estructura canal en lámina galvanizada base 9 + parales en lámina galvanizada base 6, instalados cada 61 cms + cinta malla fibra de vidrio +  Frescasa en fibra de vidrio interna.
Pintura vinilo tipo  Viniltex blanca tipo 2 a 1 mano y tipo 1 a 2 manos.</t>
  </si>
  <si>
    <t>SUBTOTAL OF. FISCALÍA</t>
  </si>
  <si>
    <t xml:space="preserve">SUBTOTAL </t>
  </si>
  <si>
    <t>A</t>
  </si>
  <si>
    <t>I</t>
  </si>
  <si>
    <t>U</t>
  </si>
  <si>
    <t>IVA/UTILIDAD</t>
  </si>
  <si>
    <t>TOTAL</t>
  </si>
  <si>
    <t>SECOAM</t>
  </si>
  <si>
    <t>ATRIO</t>
  </si>
  <si>
    <t>CONSTRUSAN</t>
  </si>
  <si>
    <t>PROMEDIO</t>
  </si>
  <si>
    <t>K &amp; J</t>
  </si>
  <si>
    <t>un</t>
  </si>
  <si>
    <t>SUBTOTAL</t>
  </si>
  <si>
    <t>m2</t>
  </si>
  <si>
    <t>m</t>
  </si>
  <si>
    <t xml:space="preserve">Suministro e instalación de puerta interior sencilla entamborada sencilla, enchape en triplex okume, acabado en barniz transparente color wengue, con cerradura poma en madera tipo bell wood platinum o similar. Marco en madera color wengue, Incluye todo el material para su correcto funcionamiento </t>
  </si>
  <si>
    <t>Suministro e instalacion de guardaescoba en madera pintiado de negro 10cm X1 cm.</t>
  </si>
  <si>
    <t>MURO en Drywall de e:12 cm.
Dos caras de cartón yeso de 1/2" + estructura canal en lámina galvanizada base 9 + parales en lámina galvanizada base 6, instalados cada 61 cms + cinta malla fibra de vidrio +  Frescasa en fibra de vidrio interna.
Pintura vinilo tipo 2 a 1 mano y tipo 1 a 2 manos.</t>
  </si>
  <si>
    <t>Suministro e instalación de cielo raso en PVC, con estructura cada 60 cm (24"), perfileria rolada calibre 24. Acabado blanco.</t>
  </si>
  <si>
    <t>Suministro e instalación de salida eléctrica normal. Incluye  toma eléctrica  blanca doble  de 15 o 20A, cable  eléctrico  trenzado  (azul, blanco, verde) libre de halogenos #12 AWG, conectores de derivación, regatas y todos  los accesorios para su correcto funcionamiento.</t>
  </si>
  <si>
    <t>Instalación eléctrica general. Incluye acometida desde tablero principal a tableros de distribución ductos, cable, accesorios y todo lo necesario para correcto funcionamiento de red eléctrica normalizada.</t>
  </si>
  <si>
    <t>GL</t>
  </si>
  <si>
    <t>Suministro e instalación de Ducterízación por medio de canaleta plastica certificada de 100x45mm con división. Incluye curvas, uniones, T, tapas finales, cajas para tomas y todo lo necesario para su correcto funcionamiento</t>
  </si>
  <si>
    <t xml:space="preserve">Aseo fino de obra - retoque de areas que han sido construidas dejando listas y en calidad las zonas para entrega. (incluye herramienta, mano de obra, equipos y materiales para su correcta ejecución) </t>
  </si>
  <si>
    <t>Suministro e instalación de salida para interruptor doble. Incluye interruptor doble, incluye caja metalica galvanizada, cableado en, tubería PVC, resanes, conectores Y todos los elementos para su correcto funcionamiento.</t>
  </si>
  <si>
    <t>ÍTEM</t>
  </si>
  <si>
    <t>Desmonte de lámparas instaladas.</t>
  </si>
  <si>
    <t>Cortinas enrollables screen</t>
  </si>
  <si>
    <t>Suministro e instalación de luminaria tipo led cuadrada de 60x60 cms de 45va/120v ip 22 con flujo luminoso de 3200 lm, incluye cable électrico libre de halógenos para su instalación.</t>
  </si>
  <si>
    <t>Adecuación eléctrica para la instalción de 4 aires acondicionados minisplit 12 000 BTU 110V. Incluye ductos, cable, toma corriente accesorios y todo lo necesario para correcto funcionamiento de red eléctrica normalizada.</t>
  </si>
  <si>
    <t xml:space="preserve">Desmonte cubierta existente. Incluye disposición final certifcada. </t>
  </si>
  <si>
    <t>Suministro e intalación de cubierta termoacústica tipo Ecoroof 37 UPVC color verde. Incluye todo lo necesario para su correcto funcionamiento.</t>
  </si>
  <si>
    <t>Demolición de mampostería. Incluye disposición final certificada.</t>
  </si>
  <si>
    <t>Construcción de muro en bloque #4</t>
  </si>
  <si>
    <t xml:space="preserve">Pañete 1:3 , incluye filos y dilataciones lineales </t>
  </si>
  <si>
    <t>Suministro e instalacion de estuco y vinilo tipo1 acabado mate color blanco sobre pañete (3 manos) x m2  (incluye herramienta, mano de obra materiales para su correcta instalación y funcionamiento)</t>
  </si>
  <si>
    <t xml:space="preserve">Suministro e instalacion de guardaescoba en ceramica - nova marfil- similar al existente.  </t>
  </si>
  <si>
    <t xml:space="preserve">Desmonte de cielo raso existente, incluye disposición final certificada. </t>
  </si>
  <si>
    <t xml:space="preserve">Desmonte y retiro de mesón de cocina. Incluye anulación puntos hidráulicos. </t>
  </si>
  <si>
    <t xml:space="preserve">Dintel en mampostería reforzado con varilla de 3/4" de diámetro </t>
  </si>
  <si>
    <t xml:space="preserve">Columneta concreto 21 Mpa confinamiento de vano de puerta, reforzada con varilla de 1/2" de diámetro </t>
  </si>
  <si>
    <t xml:space="preserve">Suministro e instalación de  puertas en lámina cal. 18 pl-01_d=0,85 x 2,30 mt  acabado en pintura electroestatica. Incluye marco y cerradura de seguridad. </t>
  </si>
  <si>
    <t>Adecuación eléctrica para la instalción de 3 aires acondicionados minisplit 12 000 BTU 110V. Incluye ductos, cable, toma corriente accesorios y todo lo necesario para correcto funcionamiento de red eléctrica normalizada.</t>
  </si>
  <si>
    <t>CANTIDADES ADECUACIONES 2023 CHAPARRAL</t>
  </si>
  <si>
    <t>CHAPARRAL</t>
  </si>
  <si>
    <t xml:space="preserve">SALA DE AUDICENCIAS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</si>
</sst>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  <numFmt numFmtId="166" formatCode="_(&quot;$&quot;\ * #,##0_);_(&quot;$&quot;\ * \(#,##0\);_(&quot;$&quot;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 Light"/>
      <family val="2"/>
      <scheme val="major"/>
    </font>
    <font>
      <sz val="11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</cellStyleXfs>
  <cellXfs count="90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4" xfId="0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2" fontId="5" fillId="3" borderId="7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wrapText="1"/>
    </xf>
    <xf numFmtId="4" fontId="7" fillId="0" borderId="8" xfId="0" applyNumberFormat="1" applyFont="1" applyBorder="1" applyAlignment="1">
      <alignment horizontal="left"/>
    </xf>
    <xf numFmtId="4" fontId="6" fillId="3" borderId="8" xfId="0" applyNumberFormat="1" applyFont="1" applyFill="1" applyBorder="1" applyAlignment="1" applyProtection="1">
      <alignment horizontal="left" wrapText="1"/>
      <protection locked="0"/>
    </xf>
    <xf numFmtId="164" fontId="7" fillId="0" borderId="8" xfId="1" applyFont="1" applyBorder="1" applyAlignment="1">
      <alignment horizontal="left"/>
    </xf>
    <xf numFmtId="164" fontId="6" fillId="0" borderId="9" xfId="0" applyNumberFormat="1" applyFont="1" applyBorder="1" applyAlignment="1">
      <alignment horizontal="left"/>
    </xf>
    <xf numFmtId="0" fontId="6" fillId="3" borderId="8" xfId="3" applyFont="1" applyFill="1" applyBorder="1" applyAlignment="1">
      <alignment horizontal="left" wrapText="1"/>
    </xf>
    <xf numFmtId="0" fontId="6" fillId="0" borderId="8" xfId="0" applyFont="1" applyBorder="1" applyAlignment="1">
      <alignment horizontal="left"/>
    </xf>
    <xf numFmtId="0" fontId="7" fillId="0" borderId="8" xfId="0" applyFont="1" applyBorder="1" applyAlignment="1">
      <alignment horizontal="left" wrapText="1"/>
    </xf>
    <xf numFmtId="4" fontId="7" fillId="3" borderId="8" xfId="0" applyNumberFormat="1" applyFont="1" applyFill="1" applyBorder="1" applyAlignment="1" applyProtection="1">
      <alignment horizontal="left" wrapText="1"/>
      <protection locked="0"/>
    </xf>
    <xf numFmtId="164" fontId="7" fillId="0" borderId="9" xfId="0" applyNumberFormat="1" applyFont="1" applyBorder="1" applyAlignment="1">
      <alignment horizontal="left"/>
    </xf>
    <xf numFmtId="0" fontId="7" fillId="3" borderId="8" xfId="0" applyFont="1" applyFill="1" applyBorder="1" applyAlignment="1">
      <alignment horizontal="left" wrapText="1"/>
    </xf>
    <xf numFmtId="4" fontId="6" fillId="0" borderId="8" xfId="0" applyNumberFormat="1" applyFont="1" applyBorder="1" applyAlignment="1" applyProtection="1">
      <alignment horizontal="left" wrapText="1"/>
      <protection locked="0"/>
    </xf>
    <xf numFmtId="0" fontId="7" fillId="0" borderId="8" xfId="0" applyFont="1" applyBorder="1" applyAlignment="1" applyProtection="1">
      <alignment horizontal="left" wrapText="1"/>
      <protection locked="0"/>
    </xf>
    <xf numFmtId="0" fontId="7" fillId="0" borderId="10" xfId="0" applyFont="1" applyBorder="1" applyAlignment="1" applyProtection="1">
      <alignment horizontal="left" wrapText="1"/>
      <protection locked="0"/>
    </xf>
    <xf numFmtId="4" fontId="7" fillId="0" borderId="10" xfId="0" applyNumberFormat="1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164" fontId="7" fillId="0" borderId="10" xfId="1" applyFont="1" applyBorder="1" applyAlignment="1">
      <alignment horizontal="left"/>
    </xf>
    <xf numFmtId="0" fontId="7" fillId="0" borderId="11" xfId="0" applyFont="1" applyBorder="1" applyAlignment="1" applyProtection="1">
      <alignment horizontal="left" wrapText="1"/>
      <protection locked="0"/>
    </xf>
    <xf numFmtId="4" fontId="7" fillId="0" borderId="11" xfId="0" applyNumberFormat="1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164" fontId="7" fillId="0" borderId="11" xfId="1" applyFont="1" applyBorder="1" applyAlignment="1">
      <alignment horizontal="left"/>
    </xf>
    <xf numFmtId="164" fontId="6" fillId="0" borderId="12" xfId="0" applyNumberFormat="1" applyFont="1" applyBorder="1" applyAlignment="1">
      <alignment horizontal="left"/>
    </xf>
    <xf numFmtId="0" fontId="9" fillId="0" borderId="13" xfId="0" applyFont="1" applyBorder="1"/>
    <xf numFmtId="164" fontId="0" fillId="0" borderId="14" xfId="0" applyNumberFormat="1" applyBorder="1"/>
    <xf numFmtId="0" fontId="9" fillId="0" borderId="0" xfId="0" applyFont="1" applyAlignment="1">
      <alignment horizontal="right"/>
    </xf>
    <xf numFmtId="164" fontId="3" fillId="0" borderId="0" xfId="0" applyNumberFormat="1" applyFont="1"/>
    <xf numFmtId="164" fontId="3" fillId="0" borderId="6" xfId="0" applyNumberFormat="1" applyFont="1" applyBorder="1"/>
    <xf numFmtId="0" fontId="3" fillId="0" borderId="7" xfId="0" applyFont="1" applyBorder="1" applyAlignment="1">
      <alignment horizontal="right"/>
    </xf>
    <xf numFmtId="9" fontId="3" fillId="0" borderId="8" xfId="2" applyFont="1" applyBorder="1" applyAlignment="1">
      <alignment horizontal="right"/>
    </xf>
    <xf numFmtId="44" fontId="3" fillId="0" borderId="9" xfId="0" applyNumberFormat="1" applyFont="1" applyBorder="1"/>
    <xf numFmtId="0" fontId="3" fillId="0" borderId="7" xfId="0" applyFont="1" applyBorder="1"/>
    <xf numFmtId="9" fontId="3" fillId="0" borderId="8" xfId="2" applyFont="1" applyBorder="1" applyAlignment="1"/>
    <xf numFmtId="44" fontId="10" fillId="0" borderId="12" xfId="0" applyNumberFormat="1" applyFont="1" applyBorder="1"/>
    <xf numFmtId="0" fontId="4" fillId="0" borderId="0" xfId="0" applyFont="1" applyAlignment="1">
      <alignment horizontal="center" vertical="center"/>
    </xf>
    <xf numFmtId="44" fontId="10" fillId="0" borderId="0" xfId="0" applyNumberFormat="1" applyFont="1"/>
    <xf numFmtId="164" fontId="3" fillId="0" borderId="0" xfId="0" applyNumberFormat="1" applyFont="1" applyAlignment="1">
      <alignment horizontal="right"/>
    </xf>
    <xf numFmtId="164" fontId="6" fillId="6" borderId="9" xfId="0" applyNumberFormat="1" applyFont="1" applyFill="1" applyBorder="1" applyAlignment="1">
      <alignment horizontal="left"/>
    </xf>
    <xf numFmtId="10" fontId="3" fillId="0" borderId="8" xfId="2" applyNumberFormat="1" applyFont="1" applyBorder="1" applyAlignment="1">
      <alignment horizontal="right"/>
    </xf>
    <xf numFmtId="10" fontId="0" fillId="0" borderId="0" xfId="0" applyNumberFormat="1"/>
    <xf numFmtId="165" fontId="10" fillId="0" borderId="12" xfId="0" applyNumberFormat="1" applyFont="1" applyBorder="1"/>
    <xf numFmtId="4" fontId="7" fillId="0" borderId="8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4" fontId="6" fillId="0" borderId="8" xfId="0" applyNumberFormat="1" applyFont="1" applyBorder="1" applyAlignment="1" applyProtection="1">
      <alignment horizontal="center" wrapText="1"/>
      <protection locked="0"/>
    </xf>
    <xf numFmtId="4" fontId="6" fillId="3" borderId="8" xfId="0" applyNumberFormat="1" applyFont="1" applyFill="1" applyBorder="1" applyAlignment="1" applyProtection="1">
      <alignment horizontal="center" wrapText="1"/>
      <protection locked="0"/>
    </xf>
    <xf numFmtId="4" fontId="7" fillId="0" borderId="11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64" fontId="7" fillId="0" borderId="20" xfId="1" applyFont="1" applyFill="1" applyBorder="1" applyAlignment="1">
      <alignment horizontal="left"/>
    </xf>
    <xf numFmtId="166" fontId="6" fillId="0" borderId="9" xfId="0" applyNumberFormat="1" applyFont="1" applyBorder="1" applyAlignment="1">
      <alignment horizontal="left"/>
    </xf>
    <xf numFmtId="166" fontId="0" fillId="0" borderId="14" xfId="0" applyNumberFormat="1" applyBorder="1"/>
    <xf numFmtId="166" fontId="3" fillId="0" borderId="0" xfId="0" applyNumberFormat="1" applyFont="1"/>
    <xf numFmtId="166" fontId="3" fillId="0" borderId="6" xfId="0" applyNumberFormat="1" applyFont="1" applyBorder="1"/>
    <xf numFmtId="166" fontId="3" fillId="0" borderId="9" xfId="0" applyNumberFormat="1" applyFont="1" applyBorder="1"/>
    <xf numFmtId="166" fontId="10" fillId="0" borderId="12" xfId="0" applyNumberFormat="1" applyFont="1" applyBorder="1"/>
    <xf numFmtId="2" fontId="0" fillId="0" borderId="0" xfId="0" applyNumberFormat="1"/>
    <xf numFmtId="164" fontId="0" fillId="0" borderId="0" xfId="1" applyFont="1"/>
    <xf numFmtId="2" fontId="5" fillId="3" borderId="0" xfId="0" applyNumberFormat="1" applyFont="1" applyFill="1" applyAlignment="1">
      <alignment horizontal="center" vertical="center" wrapText="1"/>
    </xf>
    <xf numFmtId="0" fontId="7" fillId="0" borderId="0" xfId="0" applyFont="1" applyAlignment="1" applyProtection="1">
      <alignment horizontal="left" wrapText="1"/>
      <protection locked="0"/>
    </xf>
    <xf numFmtId="4" fontId="7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4" fontId="7" fillId="0" borderId="21" xfId="1" applyFont="1" applyBorder="1" applyAlignment="1">
      <alignment horizontal="left"/>
    </xf>
    <xf numFmtId="164" fontId="6" fillId="0" borderId="22" xfId="0" applyNumberFormat="1" applyFont="1" applyBorder="1" applyAlignment="1">
      <alignment horizontal="left"/>
    </xf>
    <xf numFmtId="166" fontId="6" fillId="0" borderId="22" xfId="0" applyNumberFormat="1" applyFont="1" applyBorder="1" applyAlignment="1">
      <alignment horizontal="left"/>
    </xf>
    <xf numFmtId="0" fontId="11" fillId="2" borderId="16" xfId="0" applyFont="1" applyFill="1" applyBorder="1" applyAlignment="1">
      <alignment horizontal="center"/>
    </xf>
    <xf numFmtId="0" fontId="11" fillId="5" borderId="16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10" fillId="0" borderId="15" xfId="0" applyFont="1" applyBorder="1" applyAlignment="1">
      <alignment horizontal="right"/>
    </xf>
    <xf numFmtId="0" fontId="10" fillId="0" borderId="11" xfId="0" applyFont="1" applyBorder="1" applyAlignment="1">
      <alignment horizontal="right"/>
    </xf>
    <xf numFmtId="0" fontId="11" fillId="0" borderId="2" xfId="0" applyFont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11" fillId="8" borderId="3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</cellXfs>
  <cellStyles count="4">
    <cellStyle name="Moneda" xfId="1" builtinId="4"/>
    <cellStyle name="Normal" xfId="0" builtinId="0"/>
    <cellStyle name="Normal 2" xfId="3" xr:uid="{00000000-0005-0000-0000-000002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opLeftCell="A16" workbookViewId="0">
      <selection activeCell="G10" sqref="G10"/>
    </sheetView>
  </sheetViews>
  <sheetFormatPr baseColWidth="10" defaultRowHeight="15" x14ac:dyDescent="0.25"/>
  <cols>
    <col min="1" max="1" width="5" bestFit="1" customWidth="1"/>
    <col min="2" max="2" width="45.140625" customWidth="1"/>
    <col min="3" max="3" width="8.28515625" bestFit="1" customWidth="1"/>
    <col min="4" max="4" width="13.28515625" bestFit="1" customWidth="1"/>
    <col min="5" max="5" width="18.85546875" bestFit="1" customWidth="1"/>
    <col min="6" max="6" width="17.42578125" bestFit="1" customWidth="1"/>
    <col min="7" max="7" width="18.85546875" bestFit="1" customWidth="1"/>
    <col min="8" max="8" width="17.42578125" bestFit="1" customWidth="1"/>
    <col min="9" max="9" width="18.85546875" bestFit="1" customWidth="1"/>
    <col min="10" max="10" width="17.42578125" bestFit="1" customWidth="1"/>
  </cols>
  <sheetData>
    <row r="1" spans="1:10" ht="15.75" thickBot="1" x14ac:dyDescent="0.3"/>
    <row r="2" spans="1:10" ht="16.5" thickBot="1" x14ac:dyDescent="0.3">
      <c r="A2" s="72" t="s">
        <v>0</v>
      </c>
      <c r="B2" s="73"/>
      <c r="C2" s="73"/>
      <c r="D2" s="73"/>
      <c r="E2" s="73"/>
      <c r="F2" s="74"/>
      <c r="G2" s="39"/>
      <c r="H2" s="39"/>
      <c r="I2" s="39"/>
      <c r="J2" s="39"/>
    </row>
    <row r="3" spans="1:10" ht="15.75" thickBot="1" x14ac:dyDescent="0.3">
      <c r="A3" s="1">
        <v>1</v>
      </c>
      <c r="B3" s="79" t="s">
        <v>1</v>
      </c>
      <c r="C3" s="79"/>
      <c r="D3" s="79"/>
      <c r="E3" s="80" t="s">
        <v>39</v>
      </c>
      <c r="F3" s="80"/>
      <c r="G3" s="70" t="s">
        <v>40</v>
      </c>
      <c r="H3" s="70"/>
      <c r="I3" s="71" t="s">
        <v>41</v>
      </c>
      <c r="J3" s="71"/>
    </row>
    <row r="4" spans="1:10" x14ac:dyDescent="0.25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4" t="s">
        <v>7</v>
      </c>
      <c r="G4" s="3" t="s">
        <v>6</v>
      </c>
      <c r="H4" s="4" t="s">
        <v>7</v>
      </c>
      <c r="I4" s="3" t="s">
        <v>6</v>
      </c>
      <c r="J4" s="4" t="s">
        <v>7</v>
      </c>
    </row>
    <row r="5" spans="1:10" ht="29.25" x14ac:dyDescent="0.25">
      <c r="A5" s="5">
        <f>+A3+0.01</f>
        <v>1.01</v>
      </c>
      <c r="B5" s="6" t="s">
        <v>8</v>
      </c>
      <c r="C5" s="7" t="s">
        <v>9</v>
      </c>
      <c r="D5" s="8">
        <f>(0.6*2.6)+2.5</f>
        <v>4.0600000000000005</v>
      </c>
      <c r="E5" s="9">
        <v>19800</v>
      </c>
      <c r="F5" s="10">
        <f>E5*D5</f>
        <v>80388.000000000015</v>
      </c>
      <c r="G5" s="9">
        <v>20000</v>
      </c>
      <c r="H5" s="10">
        <f>G5*D5</f>
        <v>81200.000000000015</v>
      </c>
      <c r="I5" s="9">
        <v>20000</v>
      </c>
      <c r="J5" s="10">
        <f>I5*D5</f>
        <v>81200.000000000015</v>
      </c>
    </row>
    <row r="6" spans="1:10" x14ac:dyDescent="0.25">
      <c r="A6" s="5">
        <f>A5+0.01</f>
        <v>1.02</v>
      </c>
      <c r="B6" s="6" t="s">
        <v>10</v>
      </c>
      <c r="C6" s="7" t="s">
        <v>9</v>
      </c>
      <c r="D6" s="8">
        <f>19.95+23.5</f>
        <v>43.45</v>
      </c>
      <c r="E6" s="9">
        <v>35000</v>
      </c>
      <c r="F6" s="10">
        <f t="shared" ref="F6:F17" si="0">E6*D6</f>
        <v>1520750</v>
      </c>
      <c r="G6" s="9">
        <v>30000</v>
      </c>
      <c r="H6" s="10">
        <f t="shared" ref="H6:H23" si="1">G6*D6</f>
        <v>1303500</v>
      </c>
      <c r="I6" s="9">
        <v>35000</v>
      </c>
      <c r="J6" s="10">
        <f t="shared" ref="J6:J23" si="2">I6*D6</f>
        <v>1520750</v>
      </c>
    </row>
    <row r="7" spans="1:10" x14ac:dyDescent="0.25">
      <c r="A7" s="5">
        <f t="shared" ref="A7:A23" si="3">+A6+0.01</f>
        <v>1.03</v>
      </c>
      <c r="B7" s="11" t="s">
        <v>11</v>
      </c>
      <c r="C7" s="7" t="s">
        <v>12</v>
      </c>
      <c r="D7" s="12">
        <f>11.2+5</f>
        <v>16.2</v>
      </c>
      <c r="E7" s="9">
        <v>12500</v>
      </c>
      <c r="F7" s="10">
        <f t="shared" si="0"/>
        <v>202500</v>
      </c>
      <c r="G7" s="9">
        <v>12000</v>
      </c>
      <c r="H7" s="10">
        <f t="shared" si="1"/>
        <v>194400</v>
      </c>
      <c r="I7" s="9">
        <v>15000</v>
      </c>
      <c r="J7" s="10">
        <f t="shared" si="2"/>
        <v>243000</v>
      </c>
    </row>
    <row r="8" spans="1:10" ht="29.25" x14ac:dyDescent="0.25">
      <c r="A8" s="5">
        <f t="shared" si="3"/>
        <v>1.04</v>
      </c>
      <c r="B8" s="6" t="s">
        <v>13</v>
      </c>
      <c r="C8" s="7" t="s">
        <v>9</v>
      </c>
      <c r="D8" s="8">
        <f>5.6*2.5</f>
        <v>14</v>
      </c>
      <c r="E8" s="9">
        <v>43000</v>
      </c>
      <c r="F8" s="10">
        <f t="shared" si="0"/>
        <v>602000</v>
      </c>
      <c r="G8" s="9">
        <v>45000</v>
      </c>
      <c r="H8" s="10">
        <f t="shared" si="1"/>
        <v>630000</v>
      </c>
      <c r="I8" s="9">
        <v>45000</v>
      </c>
      <c r="J8" s="10">
        <f t="shared" si="2"/>
        <v>630000</v>
      </c>
    </row>
    <row r="9" spans="1:10" ht="57.75" x14ac:dyDescent="0.25">
      <c r="A9" s="5">
        <f t="shared" si="3"/>
        <v>1.05</v>
      </c>
      <c r="B9" s="6" t="s">
        <v>14</v>
      </c>
      <c r="C9" s="7" t="s">
        <v>9</v>
      </c>
      <c r="D9" s="12">
        <f>6.45*1</f>
        <v>6.45</v>
      </c>
      <c r="E9" s="9">
        <v>57462</v>
      </c>
      <c r="F9" s="10">
        <f t="shared" si="0"/>
        <v>370629.9</v>
      </c>
      <c r="G9" s="9">
        <v>60000</v>
      </c>
      <c r="H9" s="10">
        <f t="shared" si="1"/>
        <v>387000</v>
      </c>
      <c r="I9" s="9">
        <v>65000</v>
      </c>
      <c r="J9" s="10">
        <f t="shared" si="2"/>
        <v>419250</v>
      </c>
    </row>
    <row r="10" spans="1:10" ht="43.5" x14ac:dyDescent="0.25">
      <c r="A10" s="5">
        <f t="shared" si="3"/>
        <v>1.06</v>
      </c>
      <c r="B10" s="6" t="s">
        <v>15</v>
      </c>
      <c r="C10" s="7" t="s">
        <v>12</v>
      </c>
      <c r="D10" s="12">
        <f>3.6</f>
        <v>3.6</v>
      </c>
      <c r="E10" s="9">
        <v>175000</v>
      </c>
      <c r="F10" s="10">
        <f t="shared" si="0"/>
        <v>630000</v>
      </c>
      <c r="G10" s="9">
        <v>156000</v>
      </c>
      <c r="H10" s="10">
        <f t="shared" si="1"/>
        <v>561600</v>
      </c>
      <c r="I10" s="9">
        <v>210000</v>
      </c>
      <c r="J10" s="42">
        <f t="shared" si="2"/>
        <v>756000</v>
      </c>
    </row>
    <row r="11" spans="1:10" x14ac:dyDescent="0.25">
      <c r="A11" s="5">
        <f t="shared" si="3"/>
        <v>1.07</v>
      </c>
      <c r="B11" s="13" t="s">
        <v>16</v>
      </c>
      <c r="C11" s="7" t="s">
        <v>12</v>
      </c>
      <c r="D11" s="14">
        <v>5.6</v>
      </c>
      <c r="E11" s="9">
        <v>35000</v>
      </c>
      <c r="F11" s="15">
        <f t="shared" si="0"/>
        <v>196000</v>
      </c>
      <c r="G11" s="9">
        <v>32500</v>
      </c>
      <c r="H11" s="10">
        <f t="shared" si="1"/>
        <v>182000</v>
      </c>
      <c r="I11" s="9">
        <v>35000</v>
      </c>
      <c r="J11" s="10">
        <f t="shared" si="2"/>
        <v>196000</v>
      </c>
    </row>
    <row r="12" spans="1:10" x14ac:dyDescent="0.25">
      <c r="A12" s="5">
        <f t="shared" si="3"/>
        <v>1.08</v>
      </c>
      <c r="B12" s="13" t="s">
        <v>17</v>
      </c>
      <c r="C12" s="7" t="s">
        <v>18</v>
      </c>
      <c r="D12" s="14">
        <v>5</v>
      </c>
      <c r="E12" s="9">
        <v>15000</v>
      </c>
      <c r="F12" s="15">
        <f t="shared" si="0"/>
        <v>75000</v>
      </c>
      <c r="G12" s="9">
        <v>20000</v>
      </c>
      <c r="H12" s="10">
        <f t="shared" si="1"/>
        <v>100000</v>
      </c>
      <c r="I12" s="9">
        <v>15000</v>
      </c>
      <c r="J12" s="10">
        <f t="shared" si="2"/>
        <v>75000</v>
      </c>
    </row>
    <row r="13" spans="1:10" x14ac:dyDescent="0.25">
      <c r="A13" s="5">
        <f t="shared" si="3"/>
        <v>1.0900000000000001</v>
      </c>
      <c r="B13" s="6" t="s">
        <v>19</v>
      </c>
      <c r="C13" s="7" t="s">
        <v>18</v>
      </c>
      <c r="D13" s="8">
        <v>8</v>
      </c>
      <c r="E13" s="9">
        <v>250000</v>
      </c>
      <c r="F13" s="10">
        <f t="shared" si="0"/>
        <v>2000000</v>
      </c>
      <c r="G13" s="9">
        <v>21000</v>
      </c>
      <c r="H13" s="10">
        <f t="shared" si="1"/>
        <v>168000</v>
      </c>
      <c r="I13" s="9">
        <v>250000</v>
      </c>
      <c r="J13" s="10">
        <f t="shared" si="2"/>
        <v>2000000</v>
      </c>
    </row>
    <row r="14" spans="1:10" ht="43.5" x14ac:dyDescent="0.25">
      <c r="A14" s="5">
        <f t="shared" si="3"/>
        <v>1.1000000000000001</v>
      </c>
      <c r="B14" s="13" t="s">
        <v>20</v>
      </c>
      <c r="C14" s="14" t="s">
        <v>9</v>
      </c>
      <c r="D14" s="14">
        <v>44.17</v>
      </c>
      <c r="E14" s="9">
        <v>160000</v>
      </c>
      <c r="F14" s="15">
        <f t="shared" si="0"/>
        <v>7067200</v>
      </c>
      <c r="G14" s="9">
        <v>175000</v>
      </c>
      <c r="H14" s="10">
        <f t="shared" si="1"/>
        <v>7729750</v>
      </c>
      <c r="I14" s="9">
        <v>185000</v>
      </c>
      <c r="J14" s="10">
        <f t="shared" si="2"/>
        <v>8171450</v>
      </c>
    </row>
    <row r="15" spans="1:10" ht="114.75" x14ac:dyDescent="0.25">
      <c r="A15" s="5">
        <f t="shared" si="3"/>
        <v>1.1100000000000001</v>
      </c>
      <c r="B15" s="13" t="s">
        <v>21</v>
      </c>
      <c r="C15" s="14" t="s">
        <v>9</v>
      </c>
      <c r="D15" s="14">
        <f>1.3*2.5</f>
        <v>3.25</v>
      </c>
      <c r="E15" s="9">
        <v>580000</v>
      </c>
      <c r="F15" s="15">
        <f t="shared" si="0"/>
        <v>1885000</v>
      </c>
      <c r="G15" s="9">
        <v>560000</v>
      </c>
      <c r="H15" s="10">
        <f t="shared" si="1"/>
        <v>1820000</v>
      </c>
      <c r="I15" s="9">
        <v>600000</v>
      </c>
      <c r="J15" s="42">
        <f t="shared" si="2"/>
        <v>1950000</v>
      </c>
    </row>
    <row r="16" spans="1:10" x14ac:dyDescent="0.25">
      <c r="A16" s="5">
        <f t="shared" si="3"/>
        <v>1.1200000000000001</v>
      </c>
      <c r="B16" s="16" t="s">
        <v>22</v>
      </c>
      <c r="C16" s="17" t="s">
        <v>23</v>
      </c>
      <c r="D16" s="8">
        <v>1</v>
      </c>
      <c r="E16" s="9">
        <v>125000</v>
      </c>
      <c r="F16" s="10">
        <f t="shared" si="0"/>
        <v>125000</v>
      </c>
      <c r="G16" s="9">
        <v>130000</v>
      </c>
      <c r="H16" s="10">
        <f t="shared" si="1"/>
        <v>130000</v>
      </c>
      <c r="I16" s="9">
        <v>130000</v>
      </c>
      <c r="J16" s="10">
        <f t="shared" si="2"/>
        <v>130000</v>
      </c>
    </row>
    <row r="17" spans="1:10" ht="29.25" x14ac:dyDescent="0.25">
      <c r="A17" s="5">
        <f t="shared" si="3"/>
        <v>1.1300000000000001</v>
      </c>
      <c r="B17" s="6" t="s">
        <v>24</v>
      </c>
      <c r="C17" s="7" t="s">
        <v>25</v>
      </c>
      <c r="D17" s="8">
        <v>1</v>
      </c>
      <c r="E17" s="9">
        <v>320000</v>
      </c>
      <c r="F17" s="10">
        <f t="shared" si="0"/>
        <v>320000</v>
      </c>
      <c r="G17" s="9">
        <v>350000</v>
      </c>
      <c r="H17" s="10">
        <f t="shared" si="1"/>
        <v>350000</v>
      </c>
      <c r="I17" s="9">
        <v>350000</v>
      </c>
      <c r="J17" s="10">
        <f t="shared" si="2"/>
        <v>350000</v>
      </c>
    </row>
    <row r="18" spans="1:10" ht="29.25" x14ac:dyDescent="0.25">
      <c r="A18" s="5">
        <f t="shared" si="3"/>
        <v>1.1400000000000001</v>
      </c>
      <c r="B18" s="6" t="s">
        <v>26</v>
      </c>
      <c r="C18" s="17" t="s">
        <v>12</v>
      </c>
      <c r="D18" s="8">
        <v>5</v>
      </c>
      <c r="E18" s="9">
        <v>7000</v>
      </c>
      <c r="F18" s="10">
        <f>E18*D18</f>
        <v>35000</v>
      </c>
      <c r="G18" s="9">
        <v>8000</v>
      </c>
      <c r="H18" s="10">
        <f t="shared" si="1"/>
        <v>40000</v>
      </c>
      <c r="I18" s="9">
        <v>10000</v>
      </c>
      <c r="J18" s="10">
        <f t="shared" si="2"/>
        <v>50000</v>
      </c>
    </row>
    <row r="19" spans="1:10" ht="114.75" x14ac:dyDescent="0.25">
      <c r="A19" s="5">
        <f t="shared" si="3"/>
        <v>1.1500000000000001</v>
      </c>
      <c r="B19" s="13" t="s">
        <v>27</v>
      </c>
      <c r="C19" s="7" t="s">
        <v>9</v>
      </c>
      <c r="D19" s="8">
        <v>6.45</v>
      </c>
      <c r="E19" s="9">
        <v>180000</v>
      </c>
      <c r="F19" s="10">
        <f>E19*D19</f>
        <v>1161000</v>
      </c>
      <c r="G19" s="9">
        <v>160000</v>
      </c>
      <c r="H19" s="10">
        <f t="shared" si="1"/>
        <v>1032000</v>
      </c>
      <c r="I19" s="9">
        <v>180000</v>
      </c>
      <c r="J19" s="10">
        <f t="shared" si="2"/>
        <v>1161000</v>
      </c>
    </row>
    <row r="20" spans="1:10" ht="29.25" x14ac:dyDescent="0.25">
      <c r="A20" s="5">
        <f t="shared" si="3"/>
        <v>1.1600000000000001</v>
      </c>
      <c r="B20" s="18" t="s">
        <v>28</v>
      </c>
      <c r="C20" s="7" t="s">
        <v>12</v>
      </c>
      <c r="D20" s="12">
        <v>7</v>
      </c>
      <c r="E20" s="9">
        <v>12000</v>
      </c>
      <c r="F20" s="10">
        <f>E20*D20</f>
        <v>84000</v>
      </c>
      <c r="G20" s="9">
        <v>13000</v>
      </c>
      <c r="H20" s="10">
        <f t="shared" si="1"/>
        <v>91000</v>
      </c>
      <c r="I20" s="9">
        <v>15000</v>
      </c>
      <c r="J20" s="10">
        <f t="shared" si="2"/>
        <v>105000</v>
      </c>
    </row>
    <row r="21" spans="1:10" ht="29.25" x14ac:dyDescent="0.25">
      <c r="A21" s="5">
        <f t="shared" si="3"/>
        <v>1.1700000000000002</v>
      </c>
      <c r="B21" s="19" t="s">
        <v>29</v>
      </c>
      <c r="C21" s="20" t="s">
        <v>9</v>
      </c>
      <c r="D21" s="21">
        <f>19.5*2.5</f>
        <v>48.75</v>
      </c>
      <c r="E21" s="22">
        <v>20000</v>
      </c>
      <c r="F21" s="10">
        <f t="shared" ref="F21:F22" si="4">E21*D21</f>
        <v>975000</v>
      </c>
      <c r="G21" s="22">
        <v>18000</v>
      </c>
      <c r="H21" s="10">
        <f t="shared" si="1"/>
        <v>877500</v>
      </c>
      <c r="I21" s="22">
        <v>20000</v>
      </c>
      <c r="J21" s="42">
        <f t="shared" si="2"/>
        <v>975000</v>
      </c>
    </row>
    <row r="22" spans="1:10" ht="29.25" x14ac:dyDescent="0.25">
      <c r="A22" s="5">
        <f t="shared" si="3"/>
        <v>1.1800000000000002</v>
      </c>
      <c r="B22" s="19" t="s">
        <v>30</v>
      </c>
      <c r="C22" s="20" t="s">
        <v>9</v>
      </c>
      <c r="D22" s="21">
        <v>44.17</v>
      </c>
      <c r="E22" s="22">
        <v>21000</v>
      </c>
      <c r="F22" s="10">
        <f t="shared" si="4"/>
        <v>927570</v>
      </c>
      <c r="G22" s="22">
        <v>19000</v>
      </c>
      <c r="H22" s="10">
        <f t="shared" si="1"/>
        <v>839230</v>
      </c>
      <c r="I22" s="22">
        <v>25000</v>
      </c>
      <c r="J22" s="42">
        <f t="shared" si="2"/>
        <v>1104250</v>
      </c>
    </row>
    <row r="23" spans="1:10" ht="129.75" thickBot="1" x14ac:dyDescent="0.3">
      <c r="A23" s="5">
        <f t="shared" si="3"/>
        <v>1.1900000000000002</v>
      </c>
      <c r="B23" s="23" t="s">
        <v>31</v>
      </c>
      <c r="C23" s="24" t="s">
        <v>9</v>
      </c>
      <c r="D23" s="25">
        <v>2</v>
      </c>
      <c r="E23" s="26">
        <v>170000</v>
      </c>
      <c r="F23" s="27">
        <f>E23*D23</f>
        <v>340000</v>
      </c>
      <c r="G23" s="26">
        <v>195000</v>
      </c>
      <c r="H23" s="10">
        <f t="shared" si="1"/>
        <v>390000</v>
      </c>
      <c r="I23" s="26">
        <v>170000</v>
      </c>
      <c r="J23" s="10">
        <f t="shared" si="2"/>
        <v>340000</v>
      </c>
    </row>
    <row r="24" spans="1:10" ht="15.75" thickBot="1" x14ac:dyDescent="0.3">
      <c r="E24" s="28" t="s">
        <v>32</v>
      </c>
      <c r="F24" s="29">
        <f>SUM(F5:F23)</f>
        <v>18597037.899999999</v>
      </c>
      <c r="G24" s="28" t="s">
        <v>32</v>
      </c>
      <c r="H24" s="29">
        <f>SUM(H5:H23)</f>
        <v>16907180</v>
      </c>
      <c r="I24" s="28" t="s">
        <v>32</v>
      </c>
      <c r="J24" s="29">
        <f>SUM(J5:J23)</f>
        <v>20257900</v>
      </c>
    </row>
    <row r="25" spans="1:10" ht="7.5" customHeight="1" thickBot="1" x14ac:dyDescent="0.3">
      <c r="E25" s="30"/>
      <c r="F25" s="31"/>
      <c r="G25" s="30"/>
      <c r="H25" s="31"/>
      <c r="I25" s="30"/>
      <c r="J25" s="31"/>
    </row>
    <row r="26" spans="1:10" x14ac:dyDescent="0.25">
      <c r="D26" s="75" t="s">
        <v>33</v>
      </c>
      <c r="E26" s="76"/>
      <c r="F26" s="32">
        <f>F24</f>
        <v>18597037.899999999</v>
      </c>
      <c r="G26" s="41" t="s">
        <v>33</v>
      </c>
      <c r="H26" s="32">
        <f>H24</f>
        <v>16907180</v>
      </c>
      <c r="I26" s="41" t="s">
        <v>33</v>
      </c>
      <c r="J26" s="32">
        <f>J24</f>
        <v>20257900</v>
      </c>
    </row>
    <row r="27" spans="1:10" x14ac:dyDescent="0.25">
      <c r="D27" s="33" t="s">
        <v>34</v>
      </c>
      <c r="E27" s="34">
        <v>0.05</v>
      </c>
      <c r="F27" s="35">
        <f>F26*E27</f>
        <v>929851.89500000002</v>
      </c>
      <c r="G27" s="34">
        <v>0.05</v>
      </c>
      <c r="H27" s="35">
        <f>H26*G27</f>
        <v>845359</v>
      </c>
      <c r="I27" s="34">
        <v>0.1</v>
      </c>
      <c r="J27" s="35">
        <f>J26*I27</f>
        <v>2025790</v>
      </c>
    </row>
    <row r="28" spans="1:10" x14ac:dyDescent="0.25">
      <c r="D28" s="33" t="s">
        <v>35</v>
      </c>
      <c r="E28" s="34">
        <v>0.05</v>
      </c>
      <c r="F28" s="35">
        <f>F26*E28</f>
        <v>929851.89500000002</v>
      </c>
      <c r="G28" s="34">
        <v>0.06</v>
      </c>
      <c r="H28" s="35">
        <f>H26*G28</f>
        <v>1014430.7999999999</v>
      </c>
      <c r="I28" s="34">
        <v>0.01</v>
      </c>
      <c r="J28" s="35">
        <f>J26*I28</f>
        <v>202579</v>
      </c>
    </row>
    <row r="29" spans="1:10" x14ac:dyDescent="0.25">
      <c r="D29" s="33" t="s">
        <v>36</v>
      </c>
      <c r="E29" s="34">
        <v>0.05</v>
      </c>
      <c r="F29" s="35">
        <f>F26*E29</f>
        <v>929851.89500000002</v>
      </c>
      <c r="G29" s="34">
        <v>7.0000000000000007E-2</v>
      </c>
      <c r="H29" s="35">
        <f>H26*G29</f>
        <v>1183502.6000000001</v>
      </c>
      <c r="I29" s="34">
        <v>0.04</v>
      </c>
      <c r="J29" s="35">
        <f>J26*I29</f>
        <v>810316</v>
      </c>
    </row>
    <row r="30" spans="1:10" x14ac:dyDescent="0.25">
      <c r="D30" s="36" t="s">
        <v>37</v>
      </c>
      <c r="E30" s="37">
        <v>0.19</v>
      </c>
      <c r="F30" s="35">
        <f>F29*E30</f>
        <v>176671.86005000002</v>
      </c>
      <c r="G30" s="37">
        <v>0.19</v>
      </c>
      <c r="H30" s="35">
        <f>H29*G30</f>
        <v>224865.49400000001</v>
      </c>
      <c r="I30" s="37">
        <v>0.19</v>
      </c>
      <c r="J30" s="35">
        <f>J29*I30</f>
        <v>153960.04</v>
      </c>
    </row>
    <row r="31" spans="1:10" ht="16.5" thickBot="1" x14ac:dyDescent="0.3">
      <c r="D31" s="77" t="s">
        <v>38</v>
      </c>
      <c r="E31" s="78"/>
      <c r="F31" s="38">
        <f>SUM(F26:F30)</f>
        <v>21563265.445049997</v>
      </c>
      <c r="G31" s="40"/>
      <c r="H31" s="38">
        <f>SUM(H26:H30)</f>
        <v>20175337.894000001</v>
      </c>
      <c r="I31" s="40"/>
      <c r="J31" s="38">
        <f>SUM(J26:J30)</f>
        <v>23450545.039999999</v>
      </c>
    </row>
  </sheetData>
  <mergeCells count="7">
    <mergeCell ref="G3:H3"/>
    <mergeCell ref="I3:J3"/>
    <mergeCell ref="A2:F2"/>
    <mergeCell ref="D26:E26"/>
    <mergeCell ref="D31:E31"/>
    <mergeCell ref="B3:D3"/>
    <mergeCell ref="E3:F3"/>
  </mergeCells>
  <printOptions horizontalCentered="1" verticalCentered="1"/>
  <pageMargins left="0.25" right="0.25" top="0.75" bottom="0.75" header="0.3" footer="0.3"/>
  <pageSetup paperSize="122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D0D38-90C1-4D1B-9A83-6D1323767068}">
  <sheetPr>
    <pageSetUpPr fitToPage="1"/>
  </sheetPr>
  <dimension ref="A1:N64"/>
  <sheetViews>
    <sheetView tabSelected="1" workbookViewId="0">
      <selection activeCell="I46" sqref="I46"/>
    </sheetView>
  </sheetViews>
  <sheetFormatPr baseColWidth="10" defaultRowHeight="15" x14ac:dyDescent="0.25"/>
  <cols>
    <col min="1" max="1" width="5" bestFit="1" customWidth="1"/>
    <col min="2" max="2" width="45.140625" customWidth="1"/>
    <col min="3" max="3" width="8.28515625" bestFit="1" customWidth="1"/>
    <col min="4" max="4" width="13.28515625" bestFit="1" customWidth="1"/>
    <col min="5" max="5" width="18.85546875" customWidth="1"/>
    <col min="6" max="6" width="17.42578125" customWidth="1"/>
    <col min="7" max="7" width="18.85546875" customWidth="1"/>
    <col min="8" max="8" width="19.5703125" customWidth="1"/>
    <col min="9" max="9" width="18.85546875" bestFit="1" customWidth="1"/>
    <col min="10" max="10" width="21.7109375" customWidth="1"/>
    <col min="13" max="13" width="19.7109375" customWidth="1"/>
    <col min="14" max="14" width="19.42578125" customWidth="1"/>
  </cols>
  <sheetData>
    <row r="1" spans="1:14" ht="15.75" thickBot="1" x14ac:dyDescent="0.3"/>
    <row r="2" spans="1:14" ht="16.5" thickBot="1" x14ac:dyDescent="0.3">
      <c r="A2" s="72" t="s">
        <v>76</v>
      </c>
      <c r="B2" s="73"/>
      <c r="C2" s="73"/>
      <c r="D2" s="73"/>
      <c r="E2" s="73"/>
      <c r="F2" s="74"/>
      <c r="G2" s="39"/>
      <c r="H2" s="39"/>
      <c r="I2" s="39"/>
      <c r="J2" s="39"/>
    </row>
    <row r="3" spans="1:14" ht="15.75" thickBot="1" x14ac:dyDescent="0.3">
      <c r="A3" s="2" t="s">
        <v>2</v>
      </c>
      <c r="B3" s="3" t="s">
        <v>58</v>
      </c>
      <c r="C3" s="3" t="s">
        <v>4</v>
      </c>
      <c r="D3" s="3" t="s">
        <v>5</v>
      </c>
      <c r="E3" s="3" t="s">
        <v>6</v>
      </c>
      <c r="F3" s="4" t="s">
        <v>7</v>
      </c>
      <c r="G3" s="3" t="s">
        <v>6</v>
      </c>
      <c r="H3" s="4" t="s">
        <v>7</v>
      </c>
      <c r="I3" s="3" t="s">
        <v>6</v>
      </c>
      <c r="J3" s="4" t="s">
        <v>7</v>
      </c>
    </row>
    <row r="4" spans="1:14" ht="15.75" thickBot="1" x14ac:dyDescent="0.3">
      <c r="A4" s="1">
        <v>1</v>
      </c>
      <c r="B4" s="79" t="s">
        <v>77</v>
      </c>
      <c r="C4" s="79"/>
      <c r="D4" s="79"/>
      <c r="E4" s="83" t="s">
        <v>39</v>
      </c>
      <c r="F4" s="84"/>
      <c r="G4" s="85" t="s">
        <v>43</v>
      </c>
      <c r="H4" s="86"/>
      <c r="I4" s="81" t="s">
        <v>42</v>
      </c>
      <c r="J4" s="82"/>
    </row>
    <row r="5" spans="1:14" ht="15.75" thickBot="1" x14ac:dyDescent="0.3">
      <c r="A5" s="2" t="s">
        <v>2</v>
      </c>
      <c r="B5" s="3" t="s">
        <v>58</v>
      </c>
      <c r="C5" s="3" t="s">
        <v>4</v>
      </c>
      <c r="D5" s="3" t="s">
        <v>5</v>
      </c>
      <c r="E5" s="3" t="s">
        <v>6</v>
      </c>
      <c r="F5" s="4" t="s">
        <v>7</v>
      </c>
      <c r="G5" s="3" t="s">
        <v>6</v>
      </c>
      <c r="H5" s="4" t="s">
        <v>7</v>
      </c>
      <c r="I5" s="3" t="s">
        <v>6</v>
      </c>
      <c r="J5" s="4" t="s">
        <v>7</v>
      </c>
    </row>
    <row r="6" spans="1:14" ht="15.75" thickBot="1" x14ac:dyDescent="0.3">
      <c r="A6" s="87"/>
      <c r="B6" s="88"/>
      <c r="C6" s="88"/>
      <c r="D6" s="89"/>
      <c r="E6" s="52"/>
      <c r="F6" s="53"/>
      <c r="G6" s="52"/>
      <c r="H6" s="53"/>
      <c r="I6" s="52"/>
      <c r="J6" s="53"/>
    </row>
    <row r="7" spans="1:14" ht="29.25" x14ac:dyDescent="0.25">
      <c r="A7" s="5">
        <f>A4+0.01</f>
        <v>1.01</v>
      </c>
      <c r="B7" s="6" t="s">
        <v>63</v>
      </c>
      <c r="C7" s="46" t="s">
        <v>46</v>
      </c>
      <c r="D7" s="47">
        <v>75</v>
      </c>
      <c r="E7" s="9">
        <v>45000</v>
      </c>
      <c r="F7" s="10">
        <f>E7*D7</f>
        <v>3375000</v>
      </c>
      <c r="G7" s="9">
        <v>43000</v>
      </c>
      <c r="H7" s="10">
        <f>G7*D7</f>
        <v>3225000</v>
      </c>
      <c r="I7" s="9">
        <f>ROUND(AVERAGE(E7,G7),0)</f>
        <v>44000</v>
      </c>
      <c r="J7" s="55">
        <f>I7*D7</f>
        <v>3300000</v>
      </c>
      <c r="M7" s="61"/>
      <c r="N7" s="61"/>
    </row>
    <row r="8" spans="1:14" ht="57.75" x14ac:dyDescent="0.25">
      <c r="A8" s="5">
        <f>A7+0.01</f>
        <v>1.02</v>
      </c>
      <c r="B8" s="6" t="s">
        <v>64</v>
      </c>
      <c r="C8" s="46" t="s">
        <v>46</v>
      </c>
      <c r="D8" s="47">
        <v>75</v>
      </c>
      <c r="E8" s="9">
        <v>128000</v>
      </c>
      <c r="F8" s="10">
        <f t="shared" ref="F8:F27" si="0">E8*D8</f>
        <v>9600000</v>
      </c>
      <c r="G8" s="9">
        <v>120000</v>
      </c>
      <c r="H8" s="10">
        <f t="shared" ref="H8:H27" si="1">G8*D8</f>
        <v>9000000</v>
      </c>
      <c r="I8" s="9">
        <f t="shared" ref="I8:I47" si="2">ROUND(AVERAGE(E8,G8),0)</f>
        <v>124000</v>
      </c>
      <c r="J8" s="55">
        <f t="shared" ref="J8:J27" si="3">I8*D8</f>
        <v>9300000</v>
      </c>
      <c r="M8" s="61"/>
      <c r="N8" s="61"/>
    </row>
    <row r="9" spans="1:14" ht="29.25" x14ac:dyDescent="0.25">
      <c r="A9" s="5">
        <f t="shared" ref="A9:A16" si="4">A8+0.01</f>
        <v>1.03</v>
      </c>
      <c r="B9" s="6" t="s">
        <v>65</v>
      </c>
      <c r="C9" s="46" t="s">
        <v>46</v>
      </c>
      <c r="D9" s="47">
        <f>1*2.3</f>
        <v>2.2999999999999998</v>
      </c>
      <c r="E9" s="9">
        <v>34000</v>
      </c>
      <c r="F9" s="10">
        <f t="shared" si="0"/>
        <v>78200</v>
      </c>
      <c r="G9" s="9">
        <v>35670</v>
      </c>
      <c r="H9" s="10">
        <f t="shared" si="1"/>
        <v>82041</v>
      </c>
      <c r="I9" s="9">
        <f t="shared" si="2"/>
        <v>34835</v>
      </c>
      <c r="J9" s="55">
        <f t="shared" si="3"/>
        <v>80120.5</v>
      </c>
      <c r="M9" s="61"/>
      <c r="N9" s="61"/>
    </row>
    <row r="10" spans="1:14" x14ac:dyDescent="0.25">
      <c r="A10" s="5">
        <f t="shared" si="4"/>
        <v>1.04</v>
      </c>
      <c r="B10" s="6" t="s">
        <v>66</v>
      </c>
      <c r="C10" s="46" t="s">
        <v>46</v>
      </c>
      <c r="D10" s="47">
        <f>2.5</f>
        <v>2.5</v>
      </c>
      <c r="E10" s="9">
        <v>55000</v>
      </c>
      <c r="F10" s="10">
        <f t="shared" si="0"/>
        <v>137500</v>
      </c>
      <c r="G10" s="9">
        <v>54300</v>
      </c>
      <c r="H10" s="10">
        <f t="shared" si="1"/>
        <v>135750</v>
      </c>
      <c r="I10" s="9">
        <f t="shared" si="2"/>
        <v>54650</v>
      </c>
      <c r="J10" s="55">
        <f t="shared" si="3"/>
        <v>136625</v>
      </c>
      <c r="M10" s="61"/>
      <c r="N10" s="61"/>
    </row>
    <row r="11" spans="1:14" x14ac:dyDescent="0.25">
      <c r="A11" s="5">
        <f t="shared" si="4"/>
        <v>1.05</v>
      </c>
      <c r="B11" s="13" t="s">
        <v>67</v>
      </c>
      <c r="C11" s="46" t="s">
        <v>46</v>
      </c>
      <c r="D11" s="47">
        <v>5</v>
      </c>
      <c r="E11" s="9">
        <v>30000</v>
      </c>
      <c r="F11" s="10">
        <f t="shared" si="0"/>
        <v>150000</v>
      </c>
      <c r="G11" s="9">
        <v>28900</v>
      </c>
      <c r="H11" s="10">
        <f t="shared" si="1"/>
        <v>144500</v>
      </c>
      <c r="I11" s="9">
        <f t="shared" si="2"/>
        <v>29450</v>
      </c>
      <c r="J11" s="55">
        <f t="shared" si="3"/>
        <v>147250</v>
      </c>
      <c r="M11" s="61"/>
      <c r="N11" s="61"/>
    </row>
    <row r="12" spans="1:14" ht="72" x14ac:dyDescent="0.25">
      <c r="A12" s="5">
        <f t="shared" si="4"/>
        <v>1.06</v>
      </c>
      <c r="B12" s="16" t="s">
        <v>68</v>
      </c>
      <c r="C12" s="46" t="s">
        <v>46</v>
      </c>
      <c r="D12" s="47">
        <v>5</v>
      </c>
      <c r="E12" s="9">
        <v>21000</v>
      </c>
      <c r="F12" s="10">
        <f t="shared" si="0"/>
        <v>105000</v>
      </c>
      <c r="G12" s="9">
        <v>21900</v>
      </c>
      <c r="H12" s="10">
        <f t="shared" si="1"/>
        <v>109500</v>
      </c>
      <c r="I12" s="9">
        <f t="shared" si="2"/>
        <v>21450</v>
      </c>
      <c r="J12" s="55">
        <f t="shared" si="3"/>
        <v>107250</v>
      </c>
      <c r="M12" s="61"/>
      <c r="N12" s="61"/>
    </row>
    <row r="13" spans="1:14" ht="29.25" x14ac:dyDescent="0.25">
      <c r="A13" s="5">
        <f t="shared" si="4"/>
        <v>1.07</v>
      </c>
      <c r="B13" s="6" t="s">
        <v>69</v>
      </c>
      <c r="C13" s="46" t="s">
        <v>47</v>
      </c>
      <c r="D13" s="47">
        <v>10</v>
      </c>
      <c r="E13" s="9">
        <v>27500</v>
      </c>
      <c r="F13" s="10">
        <f t="shared" si="0"/>
        <v>275000</v>
      </c>
      <c r="G13" s="9">
        <v>28000</v>
      </c>
      <c r="H13" s="10">
        <f t="shared" si="1"/>
        <v>280000</v>
      </c>
      <c r="I13" s="9">
        <f t="shared" si="2"/>
        <v>27750</v>
      </c>
      <c r="J13" s="55">
        <f t="shared" si="3"/>
        <v>277500</v>
      </c>
      <c r="M13" s="61"/>
      <c r="N13" s="61"/>
    </row>
    <row r="14" spans="1:14" x14ac:dyDescent="0.25">
      <c r="A14" s="5">
        <f t="shared" si="4"/>
        <v>1.08</v>
      </c>
      <c r="B14" s="6" t="s">
        <v>59</v>
      </c>
      <c r="C14" s="48" t="s">
        <v>44</v>
      </c>
      <c r="D14" s="47">
        <v>10</v>
      </c>
      <c r="E14" s="9">
        <v>29000</v>
      </c>
      <c r="F14" s="10">
        <f t="shared" si="0"/>
        <v>290000</v>
      </c>
      <c r="G14" s="9">
        <v>28900</v>
      </c>
      <c r="H14" s="10">
        <f t="shared" si="1"/>
        <v>289000</v>
      </c>
      <c r="I14" s="9">
        <f t="shared" si="2"/>
        <v>28950</v>
      </c>
      <c r="J14" s="55">
        <f t="shared" si="3"/>
        <v>289500</v>
      </c>
      <c r="M14" s="61"/>
      <c r="N14" s="61"/>
    </row>
    <row r="15" spans="1:14" ht="100.5" x14ac:dyDescent="0.25">
      <c r="A15" s="5">
        <f t="shared" si="4"/>
        <v>1.0900000000000001</v>
      </c>
      <c r="B15" s="16" t="s">
        <v>48</v>
      </c>
      <c r="C15" s="46" t="s">
        <v>46</v>
      </c>
      <c r="D15" s="47">
        <f>3*1*2.3</f>
        <v>6.8999999999999995</v>
      </c>
      <c r="E15" s="9">
        <v>328000</v>
      </c>
      <c r="F15" s="10">
        <f t="shared" si="0"/>
        <v>2263200</v>
      </c>
      <c r="G15" s="9">
        <v>329800</v>
      </c>
      <c r="H15" s="10">
        <f t="shared" si="1"/>
        <v>2275620</v>
      </c>
      <c r="I15" s="9">
        <f t="shared" si="2"/>
        <v>328900</v>
      </c>
      <c r="J15" s="55">
        <f t="shared" si="3"/>
        <v>2269410</v>
      </c>
      <c r="M15" s="61"/>
      <c r="N15" s="61"/>
    </row>
    <row r="16" spans="1:14" ht="114.75" x14ac:dyDescent="0.25">
      <c r="A16" s="5">
        <f t="shared" si="4"/>
        <v>1.1000000000000001</v>
      </c>
      <c r="B16" s="6" t="s">
        <v>50</v>
      </c>
      <c r="C16" s="46" t="s">
        <v>46</v>
      </c>
      <c r="D16" s="49">
        <f>2.5*2.3</f>
        <v>5.75</v>
      </c>
      <c r="E16" s="9">
        <v>88000</v>
      </c>
      <c r="F16" s="10">
        <f t="shared" si="0"/>
        <v>506000</v>
      </c>
      <c r="G16" s="9">
        <v>89700</v>
      </c>
      <c r="H16" s="10">
        <f t="shared" si="1"/>
        <v>515775</v>
      </c>
      <c r="I16" s="9">
        <f t="shared" si="2"/>
        <v>88850</v>
      </c>
      <c r="J16" s="55">
        <f t="shared" si="3"/>
        <v>510887.5</v>
      </c>
      <c r="M16" s="61"/>
      <c r="N16" s="61"/>
    </row>
    <row r="17" spans="1:14" ht="29.25" x14ac:dyDescent="0.25">
      <c r="A17" s="5">
        <f>A16+0.01</f>
        <v>1.1100000000000001</v>
      </c>
      <c r="B17" s="6" t="s">
        <v>70</v>
      </c>
      <c r="C17" s="46" t="s">
        <v>46</v>
      </c>
      <c r="D17" s="49">
        <v>32</v>
      </c>
      <c r="E17" s="9">
        <v>26000</v>
      </c>
      <c r="F17" s="10">
        <f t="shared" si="0"/>
        <v>832000</v>
      </c>
      <c r="G17" s="9">
        <v>27900</v>
      </c>
      <c r="H17" s="10">
        <f t="shared" si="1"/>
        <v>892800</v>
      </c>
      <c r="I17" s="9">
        <f t="shared" si="2"/>
        <v>26950</v>
      </c>
      <c r="J17" s="55">
        <f t="shared" si="3"/>
        <v>862400</v>
      </c>
      <c r="M17" s="61"/>
      <c r="N17" s="61"/>
    </row>
    <row r="18" spans="1:14" ht="43.5" x14ac:dyDescent="0.25">
      <c r="A18" s="5">
        <f>A17+0.01</f>
        <v>1.1200000000000001</v>
      </c>
      <c r="B18" s="13" t="s">
        <v>51</v>
      </c>
      <c r="C18" s="46" t="s">
        <v>46</v>
      </c>
      <c r="D18" s="49">
        <v>32</v>
      </c>
      <c r="E18" s="9">
        <v>72000</v>
      </c>
      <c r="F18" s="10">
        <f t="shared" si="0"/>
        <v>2304000</v>
      </c>
      <c r="G18" s="9">
        <v>73400</v>
      </c>
      <c r="H18" s="10">
        <f t="shared" si="1"/>
        <v>2348800</v>
      </c>
      <c r="I18" s="9">
        <f t="shared" si="2"/>
        <v>72700</v>
      </c>
      <c r="J18" s="55">
        <f t="shared" si="3"/>
        <v>2326400</v>
      </c>
      <c r="M18" s="61"/>
      <c r="N18" s="61"/>
    </row>
    <row r="19" spans="1:14" ht="86.25" x14ac:dyDescent="0.25">
      <c r="A19" s="5">
        <f t="shared" ref="A19:A26" si="5">A18+0.01</f>
        <v>1.1300000000000001</v>
      </c>
      <c r="B19" s="13" t="s">
        <v>52</v>
      </c>
      <c r="C19" s="48" t="s">
        <v>44</v>
      </c>
      <c r="D19" s="49">
        <v>8</v>
      </c>
      <c r="E19" s="9">
        <v>56000</v>
      </c>
      <c r="F19" s="10">
        <f t="shared" si="0"/>
        <v>448000</v>
      </c>
      <c r="G19" s="9">
        <v>57390</v>
      </c>
      <c r="H19" s="10">
        <f t="shared" si="1"/>
        <v>459120</v>
      </c>
      <c r="I19" s="9">
        <f t="shared" si="2"/>
        <v>56695</v>
      </c>
      <c r="J19" s="55">
        <f t="shared" si="3"/>
        <v>453560</v>
      </c>
      <c r="M19" s="61"/>
      <c r="N19" s="61"/>
    </row>
    <row r="20" spans="1:14" x14ac:dyDescent="0.25">
      <c r="A20" s="5">
        <f t="shared" si="5"/>
        <v>1.1400000000000001</v>
      </c>
      <c r="B20" s="13" t="s">
        <v>60</v>
      </c>
      <c r="C20" s="46" t="s">
        <v>46</v>
      </c>
      <c r="D20" s="49">
        <f>16*1.7</f>
        <v>27.2</v>
      </c>
      <c r="E20" s="9">
        <v>230000</v>
      </c>
      <c r="F20" s="10">
        <f t="shared" si="0"/>
        <v>6256000</v>
      </c>
      <c r="G20" s="9">
        <v>221490</v>
      </c>
      <c r="H20" s="10">
        <f t="shared" si="1"/>
        <v>6024528</v>
      </c>
      <c r="I20" s="9">
        <f t="shared" si="2"/>
        <v>225745</v>
      </c>
      <c r="J20" s="55">
        <f t="shared" si="3"/>
        <v>6140264</v>
      </c>
      <c r="M20" s="61"/>
      <c r="N20" s="61"/>
    </row>
    <row r="21" spans="1:14" ht="29.25" x14ac:dyDescent="0.25">
      <c r="A21" s="5">
        <f t="shared" si="5"/>
        <v>1.1500000000000001</v>
      </c>
      <c r="B21" s="6" t="s">
        <v>29</v>
      </c>
      <c r="C21" s="46" t="s">
        <v>46</v>
      </c>
      <c r="D21" s="49">
        <f>60*2.3</f>
        <v>138</v>
      </c>
      <c r="E21" s="9">
        <v>19000</v>
      </c>
      <c r="F21" s="10">
        <f t="shared" si="0"/>
        <v>2622000</v>
      </c>
      <c r="G21" s="9">
        <v>18970</v>
      </c>
      <c r="H21" s="10">
        <f t="shared" si="1"/>
        <v>2617860</v>
      </c>
      <c r="I21" s="9">
        <f t="shared" si="2"/>
        <v>18985</v>
      </c>
      <c r="J21" s="55">
        <f t="shared" si="3"/>
        <v>2619930</v>
      </c>
      <c r="M21" s="61"/>
      <c r="N21" s="61"/>
    </row>
    <row r="22" spans="1:14" ht="86.25" x14ac:dyDescent="0.25">
      <c r="A22" s="5">
        <f t="shared" si="5"/>
        <v>1.1600000000000001</v>
      </c>
      <c r="B22" s="6" t="s">
        <v>57</v>
      </c>
      <c r="C22" s="48" t="s">
        <v>44</v>
      </c>
      <c r="D22" s="49">
        <v>8</v>
      </c>
      <c r="E22" s="54">
        <v>61000</v>
      </c>
      <c r="F22" s="10">
        <f t="shared" si="0"/>
        <v>488000</v>
      </c>
      <c r="G22" s="9">
        <v>63200</v>
      </c>
      <c r="H22" s="10">
        <f t="shared" si="1"/>
        <v>505600</v>
      </c>
      <c r="I22" s="9">
        <f t="shared" si="2"/>
        <v>62100</v>
      </c>
      <c r="J22" s="55">
        <f t="shared" si="3"/>
        <v>496800</v>
      </c>
      <c r="M22" s="61"/>
      <c r="N22" s="61"/>
    </row>
    <row r="23" spans="1:14" ht="72" x14ac:dyDescent="0.25">
      <c r="A23" s="5">
        <f t="shared" si="5"/>
        <v>1.1700000000000002</v>
      </c>
      <c r="B23" s="18" t="s">
        <v>53</v>
      </c>
      <c r="C23" s="46" t="s">
        <v>54</v>
      </c>
      <c r="D23" s="49">
        <v>1</v>
      </c>
      <c r="E23" s="9">
        <v>750000</v>
      </c>
      <c r="F23" s="10">
        <f t="shared" si="0"/>
        <v>750000</v>
      </c>
      <c r="G23" s="9">
        <v>423400</v>
      </c>
      <c r="H23" s="10">
        <f t="shared" si="1"/>
        <v>423400</v>
      </c>
      <c r="I23" s="9">
        <f t="shared" si="2"/>
        <v>586700</v>
      </c>
      <c r="J23" s="55">
        <f t="shared" si="3"/>
        <v>586700</v>
      </c>
      <c r="M23" s="61"/>
      <c r="N23" s="61"/>
    </row>
    <row r="24" spans="1:14" ht="72" x14ac:dyDescent="0.25">
      <c r="A24" s="5">
        <f t="shared" si="5"/>
        <v>1.1800000000000002</v>
      </c>
      <c r="B24" s="18" t="s">
        <v>61</v>
      </c>
      <c r="C24" s="46" t="s">
        <v>44</v>
      </c>
      <c r="D24" s="49">
        <v>16</v>
      </c>
      <c r="E24" s="9">
        <v>250000</v>
      </c>
      <c r="F24" s="10">
        <f t="shared" si="0"/>
        <v>4000000</v>
      </c>
      <c r="G24" s="9">
        <v>242390</v>
      </c>
      <c r="H24" s="10">
        <f t="shared" si="1"/>
        <v>3878240</v>
      </c>
      <c r="I24" s="9">
        <f t="shared" si="2"/>
        <v>246195</v>
      </c>
      <c r="J24" s="55">
        <f t="shared" si="3"/>
        <v>3939120</v>
      </c>
      <c r="M24" s="61"/>
    </row>
    <row r="25" spans="1:14" ht="86.25" x14ac:dyDescent="0.25">
      <c r="A25" s="5">
        <f t="shared" si="5"/>
        <v>1.1900000000000002</v>
      </c>
      <c r="B25" s="6" t="s">
        <v>55</v>
      </c>
      <c r="C25" s="48" t="s">
        <v>47</v>
      </c>
      <c r="D25" s="49">
        <v>50</v>
      </c>
      <c r="E25" s="9">
        <v>81000</v>
      </c>
      <c r="F25" s="10">
        <f t="shared" si="0"/>
        <v>4050000</v>
      </c>
      <c r="G25" s="9">
        <v>81290</v>
      </c>
      <c r="H25" s="10">
        <f t="shared" si="1"/>
        <v>4064500</v>
      </c>
      <c r="I25" s="9">
        <f t="shared" si="2"/>
        <v>81145</v>
      </c>
      <c r="J25" s="55">
        <f t="shared" si="3"/>
        <v>4057250</v>
      </c>
      <c r="M25" s="61"/>
    </row>
    <row r="26" spans="1:14" ht="72" x14ac:dyDescent="0.25">
      <c r="A26" s="5">
        <f t="shared" si="5"/>
        <v>1.2000000000000002</v>
      </c>
      <c r="B26" s="18" t="s">
        <v>62</v>
      </c>
      <c r="C26" s="46" t="s">
        <v>54</v>
      </c>
      <c r="D26" s="49">
        <v>1</v>
      </c>
      <c r="E26" s="9">
        <v>1120000</v>
      </c>
      <c r="F26" s="10">
        <f t="shared" si="0"/>
        <v>1120000</v>
      </c>
      <c r="G26" s="9">
        <v>1000000</v>
      </c>
      <c r="H26" s="10">
        <f t="shared" si="1"/>
        <v>1000000</v>
      </c>
      <c r="I26" s="9">
        <f t="shared" si="2"/>
        <v>1060000</v>
      </c>
      <c r="J26" s="55">
        <f t="shared" si="3"/>
        <v>1060000</v>
      </c>
      <c r="M26" s="61"/>
      <c r="N26" s="61"/>
    </row>
    <row r="27" spans="1:14" ht="72.75" thickBot="1" x14ac:dyDescent="0.3">
      <c r="A27" s="5">
        <f>A26+0.01</f>
        <v>1.2100000000000002</v>
      </c>
      <c r="B27" s="23" t="s">
        <v>56</v>
      </c>
      <c r="C27" s="50" t="s">
        <v>54</v>
      </c>
      <c r="D27" s="51">
        <v>1</v>
      </c>
      <c r="E27" s="9">
        <v>800000</v>
      </c>
      <c r="F27" s="10">
        <f t="shared" si="0"/>
        <v>800000</v>
      </c>
      <c r="G27" s="9">
        <v>875900</v>
      </c>
      <c r="H27" s="10">
        <f t="shared" si="1"/>
        <v>875900</v>
      </c>
      <c r="I27" s="9">
        <f t="shared" si="2"/>
        <v>837950</v>
      </c>
      <c r="J27" s="55">
        <f t="shared" si="3"/>
        <v>837950</v>
      </c>
      <c r="M27" s="61"/>
      <c r="N27" s="61"/>
    </row>
    <row r="28" spans="1:14" ht="15.75" thickBot="1" x14ac:dyDescent="0.3">
      <c r="A28" s="1">
        <v>2</v>
      </c>
      <c r="B28" s="79" t="s">
        <v>78</v>
      </c>
      <c r="C28" s="79"/>
      <c r="D28" s="79"/>
      <c r="E28" s="9"/>
      <c r="F28" s="10"/>
      <c r="G28" s="9"/>
      <c r="H28" s="10"/>
      <c r="I28" s="9"/>
      <c r="J28" s="55"/>
      <c r="M28" s="61"/>
      <c r="N28" s="61"/>
    </row>
    <row r="29" spans="1:14" ht="43.5" x14ac:dyDescent="0.25">
      <c r="A29" s="5">
        <f>A28+0.01</f>
        <v>2.0099999999999998</v>
      </c>
      <c r="B29" s="13" t="s">
        <v>51</v>
      </c>
      <c r="C29" s="46" t="s">
        <v>46</v>
      </c>
      <c r="D29" s="49">
        <v>105</v>
      </c>
      <c r="E29" s="9">
        <v>72000</v>
      </c>
      <c r="F29" s="10">
        <f t="shared" ref="F29:F47" si="6">E29*D29</f>
        <v>7560000</v>
      </c>
      <c r="G29" s="9">
        <v>73400</v>
      </c>
      <c r="H29" s="10">
        <f t="shared" ref="H29:H47" si="7">G29*D29</f>
        <v>7707000</v>
      </c>
      <c r="I29" s="9">
        <f t="shared" si="2"/>
        <v>72700</v>
      </c>
      <c r="J29" s="55">
        <f t="shared" ref="J29:J47" si="8">I29*D29</f>
        <v>7633500</v>
      </c>
      <c r="M29" s="61"/>
      <c r="N29" s="61"/>
    </row>
    <row r="30" spans="1:14" ht="29.25" x14ac:dyDescent="0.25">
      <c r="A30" s="5">
        <f>A29+0.01</f>
        <v>2.0199999999999996</v>
      </c>
      <c r="B30" s="13" t="s">
        <v>71</v>
      </c>
      <c r="C30" s="46" t="s">
        <v>44</v>
      </c>
      <c r="D30" s="49">
        <v>1</v>
      </c>
      <c r="E30" s="9">
        <v>220000</v>
      </c>
      <c r="F30" s="10">
        <f t="shared" si="6"/>
        <v>220000</v>
      </c>
      <c r="G30" s="9">
        <v>250000</v>
      </c>
      <c r="H30" s="10">
        <f t="shared" si="7"/>
        <v>250000</v>
      </c>
      <c r="I30" s="9">
        <f t="shared" si="2"/>
        <v>235000</v>
      </c>
      <c r="J30" s="55">
        <f t="shared" si="8"/>
        <v>235000</v>
      </c>
      <c r="M30" s="61"/>
      <c r="N30" s="61"/>
    </row>
    <row r="31" spans="1:14" x14ac:dyDescent="0.25">
      <c r="A31" s="5">
        <f t="shared" ref="A31:A47" si="9">A30+0.01</f>
        <v>2.0299999999999994</v>
      </c>
      <c r="B31" s="6" t="s">
        <v>66</v>
      </c>
      <c r="C31" s="46" t="s">
        <v>46</v>
      </c>
      <c r="D31" s="49">
        <f>6.85*3.8</f>
        <v>26.029999999999998</v>
      </c>
      <c r="E31" s="9">
        <v>55000</v>
      </c>
      <c r="F31" s="10">
        <f t="shared" si="6"/>
        <v>1431649.9999999998</v>
      </c>
      <c r="G31" s="9">
        <v>68700</v>
      </c>
      <c r="H31" s="10">
        <f t="shared" si="7"/>
        <v>1788260.9999999998</v>
      </c>
      <c r="I31" s="9">
        <f t="shared" si="2"/>
        <v>61850</v>
      </c>
      <c r="J31" s="55">
        <f t="shared" si="8"/>
        <v>1609955.4999999998</v>
      </c>
      <c r="M31" s="61"/>
      <c r="N31" s="61"/>
    </row>
    <row r="32" spans="1:14" x14ac:dyDescent="0.25">
      <c r="A32" s="5">
        <f t="shared" si="9"/>
        <v>2.0399999999999991</v>
      </c>
      <c r="B32" s="13" t="s">
        <v>67</v>
      </c>
      <c r="C32" s="46" t="s">
        <v>46</v>
      </c>
      <c r="D32" s="49">
        <v>53</v>
      </c>
      <c r="E32" s="9">
        <v>30000</v>
      </c>
      <c r="F32" s="10">
        <f t="shared" si="6"/>
        <v>1590000</v>
      </c>
      <c r="G32" s="9">
        <v>32190</v>
      </c>
      <c r="H32" s="10">
        <f t="shared" si="7"/>
        <v>1706070</v>
      </c>
      <c r="I32" s="9">
        <f t="shared" si="2"/>
        <v>31095</v>
      </c>
      <c r="J32" s="55">
        <f t="shared" si="8"/>
        <v>1648035</v>
      </c>
      <c r="M32" s="61"/>
      <c r="N32" s="61"/>
    </row>
    <row r="33" spans="1:14" ht="72" x14ac:dyDescent="0.25">
      <c r="A33" s="5">
        <f t="shared" si="9"/>
        <v>2.0499999999999989</v>
      </c>
      <c r="B33" s="16" t="s">
        <v>68</v>
      </c>
      <c r="C33" s="46" t="s">
        <v>46</v>
      </c>
      <c r="D33" s="49">
        <v>53</v>
      </c>
      <c r="E33" s="9">
        <v>21000</v>
      </c>
      <c r="F33" s="10">
        <f t="shared" si="6"/>
        <v>1113000</v>
      </c>
      <c r="G33" s="9">
        <v>23490</v>
      </c>
      <c r="H33" s="10">
        <f t="shared" si="7"/>
        <v>1244970</v>
      </c>
      <c r="I33" s="9">
        <f t="shared" si="2"/>
        <v>22245</v>
      </c>
      <c r="J33" s="55">
        <f t="shared" si="8"/>
        <v>1178985</v>
      </c>
      <c r="M33" s="61"/>
      <c r="N33" s="61"/>
    </row>
    <row r="34" spans="1:14" ht="29.25" x14ac:dyDescent="0.25">
      <c r="A34" s="5">
        <f t="shared" si="9"/>
        <v>2.0599999999999987</v>
      </c>
      <c r="B34" s="16" t="s">
        <v>49</v>
      </c>
      <c r="C34" s="46" t="s">
        <v>47</v>
      </c>
      <c r="D34" s="49">
        <v>28</v>
      </c>
      <c r="E34" s="9">
        <v>27500</v>
      </c>
      <c r="F34" s="10">
        <f t="shared" si="6"/>
        <v>770000</v>
      </c>
      <c r="G34" s="9">
        <v>29800</v>
      </c>
      <c r="H34" s="10">
        <f t="shared" si="7"/>
        <v>834400</v>
      </c>
      <c r="I34" s="9">
        <f t="shared" si="2"/>
        <v>28650</v>
      </c>
      <c r="J34" s="55">
        <f t="shared" si="8"/>
        <v>802200</v>
      </c>
      <c r="M34" s="61"/>
      <c r="N34" s="61"/>
    </row>
    <row r="35" spans="1:14" ht="29.25" x14ac:dyDescent="0.25">
      <c r="A35" s="5">
        <f t="shared" si="9"/>
        <v>2.0699999999999985</v>
      </c>
      <c r="B35" s="18" t="s">
        <v>72</v>
      </c>
      <c r="C35" s="46" t="s">
        <v>47</v>
      </c>
      <c r="D35" s="49">
        <v>3</v>
      </c>
      <c r="E35" s="9">
        <v>58000</v>
      </c>
      <c r="F35" s="10">
        <f t="shared" si="6"/>
        <v>174000</v>
      </c>
      <c r="G35" s="9">
        <v>59800</v>
      </c>
      <c r="H35" s="10">
        <f t="shared" si="7"/>
        <v>179400</v>
      </c>
      <c r="I35" s="9">
        <f t="shared" si="2"/>
        <v>58900</v>
      </c>
      <c r="J35" s="55">
        <f t="shared" si="8"/>
        <v>176700</v>
      </c>
      <c r="M35" s="61"/>
      <c r="N35" s="61"/>
    </row>
    <row r="36" spans="1:14" ht="43.5" x14ac:dyDescent="0.25">
      <c r="A36" s="5">
        <f t="shared" si="9"/>
        <v>2.0799999999999983</v>
      </c>
      <c r="B36" s="18" t="s">
        <v>73</v>
      </c>
      <c r="C36" s="46" t="s">
        <v>47</v>
      </c>
      <c r="D36" s="47">
        <v>10</v>
      </c>
      <c r="E36" s="9">
        <v>74000</v>
      </c>
      <c r="F36" s="10">
        <f t="shared" si="6"/>
        <v>740000</v>
      </c>
      <c r="G36" s="9">
        <v>75980</v>
      </c>
      <c r="H36" s="10">
        <f t="shared" si="7"/>
        <v>759800</v>
      </c>
      <c r="I36" s="9">
        <f t="shared" si="2"/>
        <v>74990</v>
      </c>
      <c r="J36" s="55">
        <f t="shared" si="8"/>
        <v>749900</v>
      </c>
      <c r="M36" s="61"/>
      <c r="N36" s="61"/>
    </row>
    <row r="37" spans="1:14" ht="57.75" x14ac:dyDescent="0.25">
      <c r="A37" s="5">
        <f t="shared" si="9"/>
        <v>2.0899999999999981</v>
      </c>
      <c r="B37" s="18" t="s">
        <v>74</v>
      </c>
      <c r="C37" s="46" t="s">
        <v>44</v>
      </c>
      <c r="D37" s="47">
        <v>1</v>
      </c>
      <c r="E37" s="9">
        <v>2500000</v>
      </c>
      <c r="F37" s="10">
        <f t="shared" si="6"/>
        <v>2500000</v>
      </c>
      <c r="G37" s="9">
        <v>2400000</v>
      </c>
      <c r="H37" s="10">
        <f t="shared" si="7"/>
        <v>2400000</v>
      </c>
      <c r="I37" s="9">
        <f t="shared" si="2"/>
        <v>2450000</v>
      </c>
      <c r="J37" s="55">
        <f t="shared" si="8"/>
        <v>2450000</v>
      </c>
      <c r="M37" s="61"/>
      <c r="N37" s="61"/>
    </row>
    <row r="38" spans="1:14" ht="100.5" x14ac:dyDescent="0.25">
      <c r="A38" s="5">
        <f t="shared" si="9"/>
        <v>2.0999999999999979</v>
      </c>
      <c r="B38" s="16" t="s">
        <v>48</v>
      </c>
      <c r="C38" s="46" t="s">
        <v>46</v>
      </c>
      <c r="D38" s="47">
        <f>1*2.3*2</f>
        <v>4.5999999999999996</v>
      </c>
      <c r="E38" s="9">
        <v>328000</v>
      </c>
      <c r="F38" s="10">
        <f t="shared" si="6"/>
        <v>1508799.9999999998</v>
      </c>
      <c r="G38" s="9">
        <v>329800</v>
      </c>
      <c r="H38" s="10">
        <f t="shared" si="7"/>
        <v>1517079.9999999998</v>
      </c>
      <c r="I38" s="9">
        <f t="shared" si="2"/>
        <v>328900</v>
      </c>
      <c r="J38" s="55">
        <f t="shared" si="8"/>
        <v>1512939.9999999998</v>
      </c>
      <c r="M38" s="61"/>
      <c r="N38" s="61"/>
    </row>
    <row r="39" spans="1:14" ht="86.25" x14ac:dyDescent="0.25">
      <c r="A39" s="5">
        <f>A38+0.01</f>
        <v>2.1099999999999977</v>
      </c>
      <c r="B39" s="13" t="s">
        <v>52</v>
      </c>
      <c r="C39" s="48" t="s">
        <v>44</v>
      </c>
      <c r="D39" s="49">
        <v>14</v>
      </c>
      <c r="E39" s="9">
        <v>56000</v>
      </c>
      <c r="F39" s="10">
        <f t="shared" si="6"/>
        <v>784000</v>
      </c>
      <c r="G39" s="9">
        <v>66780</v>
      </c>
      <c r="H39" s="10">
        <f t="shared" si="7"/>
        <v>934920</v>
      </c>
      <c r="I39" s="9">
        <f t="shared" si="2"/>
        <v>61390</v>
      </c>
      <c r="J39" s="55">
        <f t="shared" si="8"/>
        <v>859460</v>
      </c>
      <c r="M39" s="61"/>
      <c r="N39" s="61"/>
    </row>
    <row r="40" spans="1:14" x14ac:dyDescent="0.25">
      <c r="A40" s="5">
        <f t="shared" si="9"/>
        <v>2.1199999999999974</v>
      </c>
      <c r="B40" s="13" t="s">
        <v>60</v>
      </c>
      <c r="C40" s="46" t="s">
        <v>46</v>
      </c>
      <c r="D40" s="49">
        <v>8</v>
      </c>
      <c r="E40" s="9">
        <v>230000</v>
      </c>
      <c r="F40" s="10">
        <f t="shared" si="6"/>
        <v>1840000</v>
      </c>
      <c r="G40" s="9">
        <v>221490</v>
      </c>
      <c r="H40" s="10">
        <f t="shared" si="7"/>
        <v>1771920</v>
      </c>
      <c r="I40" s="9">
        <f t="shared" si="2"/>
        <v>225745</v>
      </c>
      <c r="J40" s="55">
        <f t="shared" si="8"/>
        <v>1805960</v>
      </c>
      <c r="M40" s="61"/>
      <c r="N40" s="61"/>
    </row>
    <row r="41" spans="1:14" ht="29.25" x14ac:dyDescent="0.25">
      <c r="A41" s="5">
        <f t="shared" si="9"/>
        <v>2.1299999999999972</v>
      </c>
      <c r="B41" s="6" t="s">
        <v>29</v>
      </c>
      <c r="C41" s="46" t="s">
        <v>46</v>
      </c>
      <c r="D41" s="49">
        <f>92*2.3</f>
        <v>211.6</v>
      </c>
      <c r="E41" s="9">
        <v>19000</v>
      </c>
      <c r="F41" s="10">
        <f t="shared" si="6"/>
        <v>4020400</v>
      </c>
      <c r="G41" s="9">
        <v>18970</v>
      </c>
      <c r="H41" s="10">
        <f t="shared" si="7"/>
        <v>4014052</v>
      </c>
      <c r="I41" s="9">
        <f t="shared" si="2"/>
        <v>18985</v>
      </c>
      <c r="J41" s="55">
        <f t="shared" si="8"/>
        <v>4017226</v>
      </c>
      <c r="M41" s="61"/>
      <c r="N41" s="61"/>
    </row>
    <row r="42" spans="1:14" ht="86.25" x14ac:dyDescent="0.25">
      <c r="A42" s="5">
        <f t="shared" si="9"/>
        <v>2.139999999999997</v>
      </c>
      <c r="B42" s="6" t="s">
        <v>57</v>
      </c>
      <c r="C42" s="48" t="s">
        <v>44</v>
      </c>
      <c r="D42" s="49">
        <v>4</v>
      </c>
      <c r="E42" s="54">
        <v>61000</v>
      </c>
      <c r="F42" s="10">
        <f t="shared" si="6"/>
        <v>244000</v>
      </c>
      <c r="G42" s="9">
        <v>63200</v>
      </c>
      <c r="H42" s="10">
        <f t="shared" si="7"/>
        <v>252800</v>
      </c>
      <c r="I42" s="9">
        <f t="shared" si="2"/>
        <v>62100</v>
      </c>
      <c r="J42" s="55">
        <f t="shared" si="8"/>
        <v>248400</v>
      </c>
      <c r="M42" s="61"/>
      <c r="N42" s="61"/>
    </row>
    <row r="43" spans="1:14" ht="72" x14ac:dyDescent="0.25">
      <c r="A43" s="5">
        <f t="shared" si="9"/>
        <v>2.1499999999999968</v>
      </c>
      <c r="B43" s="18" t="s">
        <v>53</v>
      </c>
      <c r="C43" s="46" t="s">
        <v>54</v>
      </c>
      <c r="D43" s="47">
        <v>1</v>
      </c>
      <c r="E43" s="9">
        <v>750000</v>
      </c>
      <c r="F43" s="10">
        <f t="shared" si="6"/>
        <v>750000</v>
      </c>
      <c r="G43" s="9">
        <v>423400</v>
      </c>
      <c r="H43" s="10">
        <f t="shared" si="7"/>
        <v>423400</v>
      </c>
      <c r="I43" s="9">
        <f t="shared" si="2"/>
        <v>586700</v>
      </c>
      <c r="J43" s="55">
        <f t="shared" si="8"/>
        <v>586700</v>
      </c>
      <c r="M43" s="61"/>
      <c r="N43" s="61"/>
    </row>
    <row r="44" spans="1:14" ht="60" customHeight="1" x14ac:dyDescent="0.25">
      <c r="A44" s="5">
        <f t="shared" si="9"/>
        <v>2.1599999999999966</v>
      </c>
      <c r="B44" s="18" t="s">
        <v>61</v>
      </c>
      <c r="C44" s="46" t="s">
        <v>44</v>
      </c>
      <c r="D44" s="47">
        <v>18</v>
      </c>
      <c r="E44" s="9">
        <v>250000</v>
      </c>
      <c r="F44" s="10">
        <f t="shared" si="6"/>
        <v>4500000</v>
      </c>
      <c r="G44" s="9">
        <v>242390</v>
      </c>
      <c r="H44" s="10">
        <f t="shared" si="7"/>
        <v>4363020</v>
      </c>
      <c r="I44" s="9">
        <f t="shared" si="2"/>
        <v>246195</v>
      </c>
      <c r="J44" s="55">
        <f t="shared" si="8"/>
        <v>4431510</v>
      </c>
      <c r="M44" s="61"/>
      <c r="N44" s="61"/>
    </row>
    <row r="45" spans="1:14" ht="86.25" x14ac:dyDescent="0.25">
      <c r="A45" s="5">
        <f t="shared" si="9"/>
        <v>2.1699999999999964</v>
      </c>
      <c r="B45" s="6" t="s">
        <v>55</v>
      </c>
      <c r="C45" s="48" t="s">
        <v>47</v>
      </c>
      <c r="D45" s="47">
        <v>40</v>
      </c>
      <c r="E45" s="9">
        <v>81000</v>
      </c>
      <c r="F45" s="10">
        <f t="shared" si="6"/>
        <v>3240000</v>
      </c>
      <c r="G45" s="9">
        <v>81290</v>
      </c>
      <c r="H45" s="10">
        <f t="shared" si="7"/>
        <v>3251600</v>
      </c>
      <c r="I45" s="9">
        <f t="shared" si="2"/>
        <v>81145</v>
      </c>
      <c r="J45" s="55">
        <f t="shared" si="8"/>
        <v>3245800</v>
      </c>
      <c r="M45" s="61"/>
      <c r="N45" s="61"/>
    </row>
    <row r="46" spans="1:14" ht="72" x14ac:dyDescent="0.25">
      <c r="A46" s="5">
        <f t="shared" si="9"/>
        <v>2.1799999999999962</v>
      </c>
      <c r="B46" s="18" t="s">
        <v>75</v>
      </c>
      <c r="C46" s="46" t="s">
        <v>54</v>
      </c>
      <c r="D46" s="47">
        <v>1</v>
      </c>
      <c r="E46" s="9">
        <v>840000</v>
      </c>
      <c r="F46" s="10">
        <f t="shared" si="6"/>
        <v>840000</v>
      </c>
      <c r="G46" s="9">
        <v>750000</v>
      </c>
      <c r="H46" s="10">
        <f t="shared" si="7"/>
        <v>750000</v>
      </c>
      <c r="I46" s="9">
        <f t="shared" si="2"/>
        <v>795000</v>
      </c>
      <c r="J46" s="55">
        <f t="shared" si="8"/>
        <v>795000</v>
      </c>
      <c r="M46" s="61"/>
      <c r="N46" s="61"/>
    </row>
    <row r="47" spans="1:14" ht="72.75" thickBot="1" x14ac:dyDescent="0.3">
      <c r="A47" s="5">
        <f t="shared" si="9"/>
        <v>2.1899999999999959</v>
      </c>
      <c r="B47" s="23" t="s">
        <v>56</v>
      </c>
      <c r="C47" s="50" t="s">
        <v>54</v>
      </c>
      <c r="D47" s="51">
        <v>1</v>
      </c>
      <c r="E47" s="9">
        <v>800000</v>
      </c>
      <c r="F47" s="10">
        <f t="shared" si="6"/>
        <v>800000</v>
      </c>
      <c r="G47" s="9">
        <v>875900</v>
      </c>
      <c r="H47" s="10">
        <f t="shared" si="7"/>
        <v>875900</v>
      </c>
      <c r="I47" s="9">
        <f t="shared" si="2"/>
        <v>837950</v>
      </c>
      <c r="J47" s="55">
        <f t="shared" si="8"/>
        <v>837950</v>
      </c>
      <c r="M47" s="61"/>
      <c r="N47" s="61"/>
    </row>
    <row r="48" spans="1:14" ht="15.75" thickBot="1" x14ac:dyDescent="0.3">
      <c r="A48" s="63"/>
      <c r="B48" s="64"/>
      <c r="C48" s="65"/>
      <c r="D48" s="66"/>
      <c r="E48" s="67"/>
      <c r="F48" s="68"/>
      <c r="G48" s="67"/>
      <c r="H48" s="68"/>
      <c r="I48" s="67"/>
      <c r="J48" s="69"/>
      <c r="M48" s="61"/>
      <c r="N48" s="61"/>
    </row>
    <row r="49" spans="4:14" ht="15.75" thickBot="1" x14ac:dyDescent="0.3">
      <c r="E49" s="28" t="s">
        <v>45</v>
      </c>
      <c r="F49" s="29">
        <f>SUM(F7:F47)</f>
        <v>75075750</v>
      </c>
      <c r="G49" s="28" t="s">
        <v>45</v>
      </c>
      <c r="H49" s="29">
        <f>SUM(H7:H47)</f>
        <v>74172527</v>
      </c>
      <c r="I49" s="28" t="s">
        <v>45</v>
      </c>
      <c r="J49" s="56">
        <f>SUM(J7:J47)</f>
        <v>74624138.5</v>
      </c>
      <c r="M49" s="62"/>
      <c r="N49" s="62"/>
    </row>
    <row r="50" spans="4:14" ht="7.5" customHeight="1" thickBot="1" x14ac:dyDescent="0.3">
      <c r="E50" s="30"/>
      <c r="F50" s="31"/>
      <c r="G50" s="30"/>
      <c r="H50" s="31"/>
      <c r="I50" s="30"/>
      <c r="J50" s="57"/>
    </row>
    <row r="51" spans="4:14" x14ac:dyDescent="0.25">
      <c r="D51" s="75" t="s">
        <v>33</v>
      </c>
      <c r="E51" s="76"/>
      <c r="F51" s="32">
        <f>F49</f>
        <v>75075750</v>
      </c>
      <c r="G51" s="41" t="s">
        <v>33</v>
      </c>
      <c r="H51" s="32">
        <f>H49</f>
        <v>74172527</v>
      </c>
      <c r="I51" s="41" t="s">
        <v>33</v>
      </c>
      <c r="J51" s="58">
        <f>J49</f>
        <v>74624138.5</v>
      </c>
    </row>
    <row r="52" spans="4:14" x14ac:dyDescent="0.25">
      <c r="D52" s="33" t="s">
        <v>34</v>
      </c>
      <c r="E52" s="34">
        <v>0.1</v>
      </c>
      <c r="F52" s="35">
        <f>F51*E52</f>
        <v>7507575</v>
      </c>
      <c r="G52" s="34">
        <v>0.12</v>
      </c>
      <c r="H52" s="35">
        <f>H51*G52</f>
        <v>8900703.2400000002</v>
      </c>
      <c r="I52" s="43">
        <f>ROUND(AVERAGE(E52,G52),2)</f>
        <v>0.11</v>
      </c>
      <c r="J52" s="59">
        <f>J51*I52</f>
        <v>8208655.2350000003</v>
      </c>
    </row>
    <row r="53" spans="4:14" x14ac:dyDescent="0.25">
      <c r="D53" s="33" t="s">
        <v>35</v>
      </c>
      <c r="E53" s="34">
        <v>0.05</v>
      </c>
      <c r="F53" s="35">
        <f>F51*E53</f>
        <v>3753787.5</v>
      </c>
      <c r="G53" s="34">
        <v>0.05</v>
      </c>
      <c r="H53" s="35">
        <f>H51*G53</f>
        <v>3708626.35</v>
      </c>
      <c r="I53" s="43">
        <f>ROUND(AVERAGE(E53,G53),2)</f>
        <v>0.05</v>
      </c>
      <c r="J53" s="59">
        <f>J51*I53</f>
        <v>3731206.9250000003</v>
      </c>
    </row>
    <row r="54" spans="4:14" x14ac:dyDescent="0.25">
      <c r="D54" s="33" t="s">
        <v>36</v>
      </c>
      <c r="E54" s="34">
        <v>0.05</v>
      </c>
      <c r="F54" s="35">
        <f>F51*E54</f>
        <v>3753787.5</v>
      </c>
      <c r="G54" s="34">
        <v>0.05</v>
      </c>
      <c r="H54" s="35">
        <f>H51*G54</f>
        <v>3708626.35</v>
      </c>
      <c r="I54" s="43">
        <f>ROUND(AVERAGE(E54,G54),2)</f>
        <v>0.05</v>
      </c>
      <c r="J54" s="59">
        <f>J51*I54</f>
        <v>3731206.9250000003</v>
      </c>
    </row>
    <row r="55" spans="4:14" x14ac:dyDescent="0.25">
      <c r="D55" s="36" t="s">
        <v>37</v>
      </c>
      <c r="E55" s="37">
        <v>0.19</v>
      </c>
      <c r="F55" s="35">
        <f>F54*E55</f>
        <v>713219.625</v>
      </c>
      <c r="G55" s="37">
        <v>0.19</v>
      </c>
      <c r="H55" s="35">
        <f>H54*G55</f>
        <v>704639.00650000002</v>
      </c>
      <c r="I55" s="37">
        <v>0.19</v>
      </c>
      <c r="J55" s="59">
        <f>J54*I55</f>
        <v>708929.31575000007</v>
      </c>
    </row>
    <row r="56" spans="4:14" ht="16.5" thickBot="1" x14ac:dyDescent="0.3">
      <c r="D56" s="77" t="s">
        <v>38</v>
      </c>
      <c r="E56" s="78"/>
      <c r="F56" s="45">
        <f>ROUND((SUM(F51:F55)),0)</f>
        <v>90804120</v>
      </c>
      <c r="G56" s="40"/>
      <c r="H56" s="45">
        <f>SUM(H51:H55)</f>
        <v>91195121.946499988</v>
      </c>
      <c r="I56" s="40"/>
      <c r="J56" s="60">
        <f>SUM(J51:J55)</f>
        <v>91004136.900749996</v>
      </c>
    </row>
    <row r="60" spans="4:14" x14ac:dyDescent="0.25">
      <c r="J60">
        <v>91004137</v>
      </c>
    </row>
    <row r="62" spans="4:14" x14ac:dyDescent="0.25">
      <c r="J62">
        <f>J60/1160000</f>
        <v>78.45184224137931</v>
      </c>
    </row>
    <row r="64" spans="4:14" x14ac:dyDescent="0.25">
      <c r="I64" s="44"/>
      <c r="J64" s="62">
        <f>J60*0.6</f>
        <v>54602482.199999996</v>
      </c>
    </row>
  </sheetData>
  <mergeCells count="9">
    <mergeCell ref="D56:E56"/>
    <mergeCell ref="I4:J4"/>
    <mergeCell ref="A2:F2"/>
    <mergeCell ref="B4:D4"/>
    <mergeCell ref="E4:F4"/>
    <mergeCell ref="G4:H4"/>
    <mergeCell ref="D51:E51"/>
    <mergeCell ref="A6:D6"/>
    <mergeCell ref="B28:D28"/>
  </mergeCells>
  <printOptions horizontalCentered="1" verticalCentered="1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Comparativo Chaparral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NIXON</dc:creator>
  <cp:lastModifiedBy>Nixon Hernando Lopez Perdigon</cp:lastModifiedBy>
  <cp:lastPrinted>2022-07-15T19:05:23Z</cp:lastPrinted>
  <dcterms:created xsi:type="dcterms:W3CDTF">2022-07-13T02:59:07Z</dcterms:created>
  <dcterms:modified xsi:type="dcterms:W3CDTF">2023-06-09T16:37:31Z</dcterms:modified>
</cp:coreProperties>
</file>