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defaultThemeVersion="166925"/>
  <mc:AlternateContent xmlns:mc="http://schemas.openxmlformats.org/markup-compatibility/2006">
    <mc:Choice Requires="x15">
      <x15ac:absPath xmlns:x15ac="http://schemas.microsoft.com/office/spreadsheetml/2010/11/ac" url="C:\Users\mauricio.novoa\Desktop\mauricio.novoa\Desktop\Backup\Recuperado\Escritorio\CONTRATO 1916-2022\PAGOS\ENERO 2023 Y FEB\"/>
    </mc:Choice>
  </mc:AlternateContent>
  <xr:revisionPtr revIDLastSave="0" documentId="8_{D725735C-A36A-4383-ABBE-C127611BEB42}" xr6:coauthVersionLast="47" xr6:coauthVersionMax="47" xr10:uidLastSave="{00000000-0000-0000-0000-000000000000}"/>
  <bookViews>
    <workbookView xWindow="-120" yWindow="-120" windowWidth="20730" windowHeight="11160" tabRatio="805" activeTab="40" xr2:uid="{00000000-000D-0000-FFFF-FFFF00000000}"/>
  </bookViews>
  <sheets>
    <sheet name="23 JUNIO" sheetId="2" state="hidden" r:id="rId1"/>
    <sheet name="24 JUNIO " sheetId="5" state="hidden" r:id="rId2"/>
    <sheet name="07 AGOSTO  " sheetId="6" state="hidden" r:id="rId3"/>
    <sheet name="11 AGOSTO" sheetId="59" state="hidden" r:id="rId4"/>
    <sheet name="14 AGOSTO " sheetId="60" state="hidden" r:id="rId5"/>
    <sheet name="15 AGOSTO" sheetId="61" state="hidden" r:id="rId6"/>
    <sheet name="21 AGOSTO" sheetId="62" state="hidden" r:id="rId7"/>
    <sheet name="28 AGOSTO" sheetId="63" state="hidden" r:id="rId8"/>
    <sheet name="04 SEPTIEMBRE " sheetId="64" state="hidden" r:id="rId9"/>
    <sheet name="11 SEPTIEMBRE" sheetId="65" state="hidden" r:id="rId10"/>
    <sheet name="18 SEPTIEMBRE " sheetId="66" state="hidden" r:id="rId11"/>
    <sheet name="22 SEPTIEMBRE MAÑANA" sheetId="67" state="hidden" r:id="rId12"/>
    <sheet name="22 SEPTIEMBRE TARDE" sheetId="68" state="hidden" r:id="rId13"/>
    <sheet name="25 SEPTIEMBRE  " sheetId="69" state="hidden" r:id="rId14"/>
    <sheet name="02 OCTUBRE" sheetId="70" state="hidden" r:id="rId15"/>
    <sheet name="09 OCTUBRE" sheetId="71" state="hidden" r:id="rId16"/>
    <sheet name="16 OCTUBRE " sheetId="72" state="hidden" r:id="rId17"/>
    <sheet name="17 OCTUBRE " sheetId="73" state="hidden" r:id="rId18"/>
    <sheet name="23 OCTUBRE" sheetId="74" state="hidden" r:id="rId19"/>
    <sheet name="30 OCTUBRE" sheetId="75" state="hidden" r:id="rId20"/>
    <sheet name="06 NOVIEMBRE" sheetId="76" state="hidden" r:id="rId21"/>
    <sheet name="07 NOVIEMBRE " sheetId="77" state="hidden" r:id="rId22"/>
    <sheet name="13 NOVIEMBRE" sheetId="78" state="hidden" r:id="rId23"/>
    <sheet name="14 NOVIEMBRE  " sheetId="79" state="hidden" r:id="rId24"/>
    <sheet name="20 NOVIEMBRE " sheetId="80" state="hidden" r:id="rId25"/>
    <sheet name="27 NOVIEMBRE " sheetId="81" state="hidden" r:id="rId26"/>
    <sheet name="04 DICIEMBRE " sheetId="82" state="hidden" r:id="rId27"/>
    <sheet name="08 DICIEMBRE" sheetId="84" state="hidden" r:id="rId28"/>
    <sheet name="11 DICIEMBRE " sheetId="85" state="hidden" r:id="rId29"/>
    <sheet name="15 DICIEMBRE " sheetId="83" state="hidden" r:id="rId30"/>
    <sheet name="18 DICIEMBRE " sheetId="86" state="hidden" r:id="rId31"/>
    <sheet name="25 DICIEMBRE " sheetId="87" state="hidden" r:id="rId32"/>
    <sheet name="8 ENERO" sheetId="88" r:id="rId33"/>
    <sheet name="9 ENERO " sheetId="89" r:id="rId34"/>
    <sheet name="15 ENERO" sheetId="90" r:id="rId35"/>
    <sheet name="22 ENERO" sheetId="92" r:id="rId36"/>
    <sheet name="29 ENERO " sheetId="93" r:id="rId37"/>
    <sheet name="02 FEBRERO MAÑANA " sheetId="94" r:id="rId38"/>
    <sheet name="02 FEBRERO TARDE" sheetId="95" r:id="rId39"/>
    <sheet name="05 FEBRERO   " sheetId="96" r:id="rId40"/>
    <sheet name="INFORME FINAL ENE - FEB" sheetId="91" r:id="rId41"/>
    <sheet name="SALDOS POR PROYECTO" sheetId="97" r:id="rId42"/>
    <sheet name="PLANTILLA" sheetId="98" r:id="rId43"/>
    <sheet name="HORARIOS Y BODEGAS " sheetId="58"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xlnm._FilterDatabase" localSheetId="40" hidden="1">'INFORME FINAL ENE - FEB'!$G$82:$G$164</definedName>
    <definedName name="_xlnm.Print_Area" localSheetId="37">'02 FEBRERO MAÑANA '!$A$1:$Y$79</definedName>
    <definedName name="_xlnm.Print_Area" localSheetId="38">'02 FEBRERO TARDE'!$A$1:$Y$79</definedName>
    <definedName name="_xlnm.Print_Area" localSheetId="14">'02 OCTUBRE'!$A$1:$Y$79</definedName>
    <definedName name="_xlnm.Print_Area" localSheetId="26">'04 DICIEMBRE '!$A$1:$Y$79</definedName>
    <definedName name="_xlnm.Print_Area" localSheetId="8">'04 SEPTIEMBRE '!$A$1:$Y$79</definedName>
    <definedName name="_xlnm.Print_Area" localSheetId="39">'05 FEBRERO   '!$A$1:$Y$79</definedName>
    <definedName name="_xlnm.Print_Area" localSheetId="20">'06 NOVIEMBRE'!$A$1:$Y$79</definedName>
    <definedName name="_xlnm.Print_Area" localSheetId="2">'07 AGOSTO  '!$A$1:$Y$79</definedName>
    <definedName name="_xlnm.Print_Area" localSheetId="21">'07 NOVIEMBRE '!$A$1:$Y$79</definedName>
    <definedName name="_xlnm.Print_Area" localSheetId="27">'08 DICIEMBRE'!$A$1:$Y$79</definedName>
    <definedName name="_xlnm.Print_Area" localSheetId="15">'09 OCTUBRE'!$A$1:$Y$79</definedName>
    <definedName name="_xlnm.Print_Area" localSheetId="3">'11 AGOSTO'!$A$1:$Y$79</definedName>
    <definedName name="_xlnm.Print_Area" localSheetId="28">'11 DICIEMBRE '!$A$1:$Y$79</definedName>
    <definedName name="_xlnm.Print_Area" localSheetId="9">'11 SEPTIEMBRE'!$A$1:$Y$79</definedName>
    <definedName name="_xlnm.Print_Area" localSheetId="22">'13 NOVIEMBRE'!$A$1:$Y$79</definedName>
    <definedName name="_xlnm.Print_Area" localSheetId="4">'14 AGOSTO '!$A$1:$Y$79</definedName>
    <definedName name="_xlnm.Print_Area" localSheetId="23">'14 NOVIEMBRE  '!$A$1:$Y$79</definedName>
    <definedName name="_xlnm.Print_Area" localSheetId="5">'15 AGOSTO'!$A$1:$Y$79</definedName>
    <definedName name="_xlnm.Print_Area" localSheetId="29">'15 DICIEMBRE '!$A$1:$Y$80</definedName>
    <definedName name="_xlnm.Print_Area" localSheetId="34">'15 ENERO'!$A$1:$Y$79</definedName>
    <definedName name="_xlnm.Print_Area" localSheetId="16">'16 OCTUBRE '!$A$1:$Y$79</definedName>
    <definedName name="_xlnm.Print_Area" localSheetId="17">'17 OCTUBRE '!$A$1:$Y$79</definedName>
    <definedName name="_xlnm.Print_Area" localSheetId="30">'18 DICIEMBRE '!$A$1:$Y$79</definedName>
    <definedName name="_xlnm.Print_Area" localSheetId="10">'18 SEPTIEMBRE '!$A$1:$Y$79</definedName>
    <definedName name="_xlnm.Print_Area" localSheetId="24">'20 NOVIEMBRE '!$A$1:$Y$79</definedName>
    <definedName name="_xlnm.Print_Area" localSheetId="6">'21 AGOSTO'!$A$1:$Y$79</definedName>
    <definedName name="_xlnm.Print_Area" localSheetId="35">'22 ENERO'!$A$1:$Y$79</definedName>
    <definedName name="_xlnm.Print_Area" localSheetId="11">'22 SEPTIEMBRE MAÑANA'!$A$1:$Y$79</definedName>
    <definedName name="_xlnm.Print_Area" localSheetId="12">'22 SEPTIEMBRE TARDE'!$A$1:$Y$79</definedName>
    <definedName name="_xlnm.Print_Area" localSheetId="0">'23 JUNIO'!$A$1:$Y$72</definedName>
    <definedName name="_xlnm.Print_Area" localSheetId="18">'23 OCTUBRE'!$A$1:$Y$79</definedName>
    <definedName name="_xlnm.Print_Area" localSheetId="1">'24 JUNIO '!$A$1:$Y$72</definedName>
    <definedName name="_xlnm.Print_Area" localSheetId="31">'25 DICIEMBRE '!$A$1:$Y$79</definedName>
    <definedName name="_xlnm.Print_Area" localSheetId="13">'25 SEPTIEMBRE  '!$A$1:$Y$79</definedName>
    <definedName name="_xlnm.Print_Area" localSheetId="25">'27 NOVIEMBRE '!$A$1:$Y$79</definedName>
    <definedName name="_xlnm.Print_Area" localSheetId="7">'28 AGOSTO'!$A$1:$Y$79</definedName>
    <definedName name="_xlnm.Print_Area" localSheetId="36">'29 ENERO '!$A$1:$Y$79</definedName>
    <definedName name="_xlnm.Print_Area" localSheetId="19">'30 OCTUBRE'!$A$1:$Y$79</definedName>
    <definedName name="_xlnm.Print_Area" localSheetId="32">'8 ENERO'!$A$1:$Y$79</definedName>
    <definedName name="_xlnm.Print_Area" localSheetId="33">'9 ENERO '!$A$1:$Y$79</definedName>
    <definedName name="_xlnm.Print_Area" localSheetId="42">PLANTILLA!$A$1:$Y$79</definedName>
    <definedName name="d">[1]DATOS!$H$4:$H$12</definedName>
    <definedName name="dep">[1]DATOS!$D$3:$D$6</definedName>
    <definedName name="Deportes1" localSheetId="40">[2]DATOS!$H$4:$H$12</definedName>
    <definedName name="Deportes1">[3]DATOS!$H$4:$H$12</definedName>
    <definedName name="Deportes2" localSheetId="40">[2]DATOS!$I$4:$I$11</definedName>
    <definedName name="Deportes2">[3]DATOS!$I$4:$I$11</definedName>
    <definedName name="Deportes3" localSheetId="40">[2]DATOS!$K$4:$K$8</definedName>
    <definedName name="Deportes3">[3]DATOS!$K$4:$K$8</definedName>
    <definedName name="FF">[4]DATOS!$K$4:$K$8</definedName>
    <definedName name="INCLUIYENTE">[5]DATOS!$H$4:$H$12</definedName>
    <definedName name="INCLUYENTE">[5]DATOS!$J$4:$J$12</definedName>
    <definedName name="JUVENTUD">[6]DATOS!$J$4:$J$12</definedName>
    <definedName name="OTRPO">[7]DATOS!$D$3:$D$6</definedName>
    <definedName name="Proyecto" localSheetId="40">[2]DATOS!$D$3:$D$6</definedName>
    <definedName name="Proyecto">[3]DATOS!$D$3:$D$6</definedName>
    <definedName name="Recreacion" localSheetId="40">[2]DATOS!$J$4:$J$12</definedName>
    <definedName name="Recreacion">[3]DATOS!$J$4:$J$12</definedName>
    <definedName name="TEC">[8]DATOS!$I$4:$I$11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6" i="97" l="1"/>
  <c r="D15" i="97"/>
  <c r="D14" i="97"/>
  <c r="D13" i="97"/>
  <c r="D12" i="97"/>
  <c r="N79" i="91" l="1"/>
  <c r="M79" i="91"/>
  <c r="L79" i="91"/>
  <c r="Y16" i="96" l="1"/>
  <c r="Y15" i="96"/>
  <c r="K164" i="91"/>
  <c r="K163" i="91"/>
  <c r="K162" i="91"/>
  <c r="K161" i="91"/>
  <c r="K160" i="91"/>
  <c r="K159" i="91"/>
  <c r="K158" i="91"/>
  <c r="K157" i="91"/>
  <c r="K156" i="91"/>
  <c r="K155" i="91"/>
  <c r="K154" i="91"/>
  <c r="K153" i="91"/>
  <c r="K152" i="91"/>
  <c r="K151" i="91"/>
  <c r="K150" i="91"/>
  <c r="K149" i="91"/>
  <c r="K148" i="91"/>
  <c r="K147" i="91"/>
  <c r="K146" i="91"/>
  <c r="K145" i="91"/>
  <c r="K144" i="91"/>
  <c r="K143" i="91"/>
  <c r="K142" i="91"/>
  <c r="K141" i="91"/>
  <c r="K140" i="91"/>
  <c r="K139" i="91"/>
  <c r="K138" i="91"/>
  <c r="K137" i="91"/>
  <c r="K136" i="91"/>
  <c r="K135" i="91"/>
  <c r="K134" i="91"/>
  <c r="K133" i="91"/>
  <c r="K132" i="91"/>
  <c r="K131" i="91"/>
  <c r="K130" i="91"/>
  <c r="K129" i="91"/>
  <c r="K128" i="91"/>
  <c r="K127" i="91"/>
  <c r="K126" i="91"/>
  <c r="K125" i="91"/>
  <c r="K124" i="91"/>
  <c r="K123" i="91"/>
  <c r="K122" i="91"/>
  <c r="K121" i="91"/>
  <c r="K120" i="91"/>
  <c r="K119" i="91"/>
  <c r="D51" i="97" s="1"/>
  <c r="K118" i="91"/>
  <c r="K117" i="91"/>
  <c r="K116" i="91"/>
  <c r="K115" i="91"/>
  <c r="K114" i="91"/>
  <c r="K113" i="91"/>
  <c r="K112" i="91"/>
  <c r="K111" i="91"/>
  <c r="K110" i="91"/>
  <c r="K109" i="91"/>
  <c r="K108" i="91"/>
  <c r="K107" i="91"/>
  <c r="K106" i="91"/>
  <c r="K105" i="91"/>
  <c r="K104" i="91"/>
  <c r="K103" i="91"/>
  <c r="K102" i="91"/>
  <c r="K101" i="91"/>
  <c r="K100" i="91"/>
  <c r="K99" i="91"/>
  <c r="K98" i="91"/>
  <c r="K97" i="91"/>
  <c r="K96" i="91"/>
  <c r="K95" i="91"/>
  <c r="K94" i="91"/>
  <c r="K93" i="91"/>
  <c r="K92" i="91"/>
  <c r="K91" i="91"/>
  <c r="K90" i="91"/>
  <c r="K89" i="91"/>
  <c r="K88" i="91"/>
  <c r="K87" i="91"/>
  <c r="K86" i="91"/>
  <c r="K85" i="91"/>
  <c r="K84" i="91"/>
  <c r="K83" i="91"/>
  <c r="I191" i="98"/>
  <c r="I190" i="98"/>
  <c r="I189" i="98"/>
  <c r="I188" i="98"/>
  <c r="I187" i="98"/>
  <c r="N186" i="98"/>
  <c r="I186" i="98"/>
  <c r="N185" i="98"/>
  <c r="N184" i="98"/>
  <c r="N183" i="98"/>
  <c r="N182" i="98"/>
  <c r="N181" i="98"/>
  <c r="N180" i="98"/>
  <c r="N179" i="98"/>
  <c r="N178" i="98"/>
  <c r="N177" i="98"/>
  <c r="N176" i="98"/>
  <c r="N175" i="98"/>
  <c r="N174" i="98"/>
  <c r="N173" i="98"/>
  <c r="N172" i="98"/>
  <c r="N171" i="98"/>
  <c r="N170" i="98"/>
  <c r="N169" i="98"/>
  <c r="N168" i="98"/>
  <c r="N167" i="98"/>
  <c r="N166" i="98"/>
  <c r="N165" i="98"/>
  <c r="N164" i="98"/>
  <c r="N163" i="98"/>
  <c r="N162" i="98"/>
  <c r="N161" i="98"/>
  <c r="N160" i="98"/>
  <c r="N159" i="98"/>
  <c r="N158" i="98"/>
  <c r="N157" i="98"/>
  <c r="N156" i="98"/>
  <c r="N155" i="98"/>
  <c r="N154" i="98"/>
  <c r="N153" i="98"/>
  <c r="N152" i="98"/>
  <c r="N151" i="98"/>
  <c r="N150" i="98"/>
  <c r="N149" i="98"/>
  <c r="N148" i="98"/>
  <c r="N147" i="98"/>
  <c r="N146" i="98"/>
  <c r="N145" i="98"/>
  <c r="N144" i="98"/>
  <c r="N143" i="98"/>
  <c r="N142" i="98"/>
  <c r="N141" i="98"/>
  <c r="N140" i="98"/>
  <c r="N139" i="98"/>
  <c r="D67" i="98"/>
  <c r="C65" i="98"/>
  <c r="G63" i="98"/>
  <c r="E63" i="98"/>
  <c r="B63" i="98"/>
  <c r="G62" i="98"/>
  <c r="E62" i="98"/>
  <c r="B62" i="98"/>
  <c r="G61" i="98"/>
  <c r="E61" i="98"/>
  <c r="B61" i="98"/>
  <c r="G60" i="98"/>
  <c r="E60" i="98"/>
  <c r="B60" i="98"/>
  <c r="G59" i="98"/>
  <c r="E59" i="98"/>
  <c r="B59" i="98"/>
  <c r="G58" i="98"/>
  <c r="E58" i="98"/>
  <c r="B58" i="98"/>
  <c r="G57" i="98"/>
  <c r="E57" i="98"/>
  <c r="B57" i="98"/>
  <c r="G56" i="98"/>
  <c r="E56" i="98"/>
  <c r="B56" i="98"/>
  <c r="G55" i="98"/>
  <c r="E55" i="98"/>
  <c r="B55" i="98"/>
  <c r="G54" i="98"/>
  <c r="G65" i="98" s="1"/>
  <c r="E54" i="98"/>
  <c r="B54" i="98"/>
  <c r="B65" i="98" s="1"/>
  <c r="E40" i="98"/>
  <c r="C40" i="98"/>
  <c r="C67" i="98" s="1"/>
  <c r="G38" i="98"/>
  <c r="E38" i="98"/>
  <c r="B38" i="98"/>
  <c r="G37" i="98"/>
  <c r="E37" i="98"/>
  <c r="B37" i="98"/>
  <c r="G36" i="98"/>
  <c r="E36" i="98"/>
  <c r="B36" i="98"/>
  <c r="G35" i="98"/>
  <c r="E35" i="98"/>
  <c r="B35" i="98"/>
  <c r="G34" i="98"/>
  <c r="E34" i="98"/>
  <c r="B34" i="98"/>
  <c r="G28" i="98"/>
  <c r="E28" i="98"/>
  <c r="B28" i="98"/>
  <c r="G27" i="98"/>
  <c r="E27" i="98"/>
  <c r="B27" i="98"/>
  <c r="G26" i="98"/>
  <c r="G40" i="98" s="1"/>
  <c r="N70" i="98" s="1"/>
  <c r="E26" i="98"/>
  <c r="B26" i="98"/>
  <c r="B40" i="98" s="1"/>
  <c r="U25" i="98"/>
  <c r="L25" i="98"/>
  <c r="K25" i="98"/>
  <c r="Y23" i="98"/>
  <c r="W23" i="98"/>
  <c r="Y22" i="98"/>
  <c r="W22" i="98"/>
  <c r="C22" i="98"/>
  <c r="Y21" i="98"/>
  <c r="W21" i="98"/>
  <c r="Y20" i="98"/>
  <c r="W20" i="98"/>
  <c r="P19" i="98"/>
  <c r="N19" i="98"/>
  <c r="P18" i="98"/>
  <c r="N18" i="98"/>
  <c r="Y16" i="98"/>
  <c r="W16" i="98"/>
  <c r="G16" i="98"/>
  <c r="E16" i="98"/>
  <c r="B16" i="98"/>
  <c r="B22" i="98" s="1"/>
  <c r="Y15" i="98"/>
  <c r="W15" i="98"/>
  <c r="C13" i="98"/>
  <c r="G10" i="98"/>
  <c r="E10" i="98"/>
  <c r="B10" i="98"/>
  <c r="B13" i="98" s="1"/>
  <c r="G9" i="98"/>
  <c r="E9" i="98"/>
  <c r="B9" i="98"/>
  <c r="U8" i="98"/>
  <c r="P8" i="98"/>
  <c r="G8" i="98"/>
  <c r="E8" i="98"/>
  <c r="B8" i="98"/>
  <c r="Y7" i="98"/>
  <c r="P7" i="98"/>
  <c r="G7" i="98"/>
  <c r="E7" i="98"/>
  <c r="B7" i="98"/>
  <c r="Y6" i="98"/>
  <c r="W6" i="98"/>
  <c r="T6" i="98"/>
  <c r="P6" i="98"/>
  <c r="N6" i="98"/>
  <c r="G6" i="98"/>
  <c r="E6" i="98"/>
  <c r="B6" i="98"/>
  <c r="Y5" i="98"/>
  <c r="W5" i="98"/>
  <c r="T5" i="98"/>
  <c r="P5" i="98"/>
  <c r="N5" i="98"/>
  <c r="G5" i="98"/>
  <c r="E5" i="98"/>
  <c r="B5" i="98"/>
  <c r="Y4" i="98"/>
  <c r="Y25" i="98" s="1"/>
  <c r="W4" i="98"/>
  <c r="T4" i="98"/>
  <c r="T25" i="98" s="1"/>
  <c r="P4" i="98"/>
  <c r="P25" i="98" s="1"/>
  <c r="N4" i="98"/>
  <c r="G4" i="98"/>
  <c r="G13" i="98" s="1"/>
  <c r="G22" i="98" s="1"/>
  <c r="E4" i="98"/>
  <c r="B4" i="98"/>
  <c r="Y23" i="96"/>
  <c r="Y22" i="96"/>
  <c r="Y21" i="96"/>
  <c r="Y20" i="96"/>
  <c r="Y6" i="96"/>
  <c r="Y5" i="96"/>
  <c r="Y4" i="96"/>
  <c r="P19" i="96"/>
  <c r="P18" i="96"/>
  <c r="P8" i="96"/>
  <c r="P7" i="96"/>
  <c r="P6" i="96"/>
  <c r="P5" i="96"/>
  <c r="P4" i="96"/>
  <c r="I111" i="91"/>
  <c r="G4" i="96"/>
  <c r="G63" i="96"/>
  <c r="G62" i="96"/>
  <c r="G61" i="96"/>
  <c r="G60" i="96"/>
  <c r="G59" i="96"/>
  <c r="G58" i="96"/>
  <c r="G57" i="96"/>
  <c r="G56" i="96"/>
  <c r="G55" i="96"/>
  <c r="G54" i="96"/>
  <c r="G38" i="96"/>
  <c r="G37" i="96"/>
  <c r="G36" i="96"/>
  <c r="G35" i="96"/>
  <c r="G34" i="96"/>
  <c r="G28" i="96"/>
  <c r="G27" i="96"/>
  <c r="G26" i="96"/>
  <c r="G16" i="96"/>
  <c r="G10" i="96"/>
  <c r="G9" i="96"/>
  <c r="G8" i="96"/>
  <c r="G7" i="96"/>
  <c r="G6" i="96"/>
  <c r="G5" i="96"/>
  <c r="I191" i="96"/>
  <c r="I189" i="96"/>
  <c r="I188" i="96"/>
  <c r="I190" i="96"/>
  <c r="I187" i="96"/>
  <c r="I186" i="96"/>
  <c r="D50" i="97" l="1"/>
  <c r="D49" i="97"/>
  <c r="B67" i="98"/>
  <c r="K68" i="98" s="1"/>
  <c r="M70" i="98"/>
  <c r="G67" i="98"/>
  <c r="K70" i="98" s="1"/>
  <c r="K69" i="98"/>
  <c r="O70" i="98"/>
  <c r="I110" i="91"/>
  <c r="P70" i="98" l="1"/>
  <c r="I84" i="91"/>
  <c r="I85" i="91"/>
  <c r="I86" i="91"/>
  <c r="I87" i="91"/>
  <c r="I88" i="91"/>
  <c r="I89" i="91"/>
  <c r="I90" i="91"/>
  <c r="I91" i="91"/>
  <c r="I92" i="91"/>
  <c r="I93" i="91"/>
  <c r="I94" i="91"/>
  <c r="I95" i="91"/>
  <c r="I96" i="91"/>
  <c r="I97" i="91"/>
  <c r="I98" i="91"/>
  <c r="I99" i="91"/>
  <c r="I100" i="91"/>
  <c r="I101" i="91"/>
  <c r="I102" i="91"/>
  <c r="I103" i="91"/>
  <c r="I104" i="91"/>
  <c r="I105" i="91"/>
  <c r="I106" i="91"/>
  <c r="I107" i="91"/>
  <c r="I108" i="91"/>
  <c r="I109" i="91"/>
  <c r="I112" i="91"/>
  <c r="I113" i="91"/>
  <c r="I114" i="91"/>
  <c r="I115" i="91"/>
  <c r="G65" i="95"/>
  <c r="G67" i="95" s="1"/>
  <c r="H62" i="91"/>
  <c r="D62" i="91"/>
  <c r="D61" i="91"/>
  <c r="C61" i="91"/>
  <c r="T25" i="95"/>
  <c r="T4" i="95"/>
  <c r="C60" i="91"/>
  <c r="H53" i="91"/>
  <c r="D53" i="91"/>
  <c r="C53" i="91"/>
  <c r="C52" i="91"/>
  <c r="H51" i="91"/>
  <c r="D51" i="91"/>
  <c r="C51" i="91"/>
  <c r="H44" i="91"/>
  <c r="D44" i="91"/>
  <c r="C44" i="91"/>
  <c r="H43" i="91"/>
  <c r="D43" i="91"/>
  <c r="C43" i="91"/>
  <c r="H42" i="91"/>
  <c r="D42" i="91"/>
  <c r="C42" i="91"/>
  <c r="H35" i="91"/>
  <c r="D35" i="91"/>
  <c r="C35" i="91"/>
  <c r="H34" i="91"/>
  <c r="D34" i="91"/>
  <c r="C34" i="91"/>
  <c r="H33" i="91"/>
  <c r="D33" i="91"/>
  <c r="C33" i="91"/>
  <c r="H26" i="91"/>
  <c r="D26" i="91"/>
  <c r="C26" i="91"/>
  <c r="H25" i="91"/>
  <c r="D25" i="91"/>
  <c r="C25" i="91"/>
  <c r="H24" i="91"/>
  <c r="D24" i="91"/>
  <c r="C24" i="91"/>
  <c r="W8" i="95"/>
  <c r="Y8" i="95"/>
  <c r="H17" i="91"/>
  <c r="D17" i="91"/>
  <c r="C17" i="91"/>
  <c r="H16" i="91"/>
  <c r="D16" i="91"/>
  <c r="C16" i="91"/>
  <c r="H15" i="91"/>
  <c r="D15" i="91"/>
  <c r="C15" i="91"/>
  <c r="H8" i="91"/>
  <c r="H7" i="91"/>
  <c r="H6" i="91"/>
  <c r="D8" i="91"/>
  <c r="C8" i="91"/>
  <c r="D7" i="91"/>
  <c r="C7" i="91"/>
  <c r="D6" i="91"/>
  <c r="C6" i="91"/>
  <c r="D54" i="97"/>
  <c r="D42" i="97"/>
  <c r="D41" i="97"/>
  <c r="D40" i="97"/>
  <c r="D39" i="97"/>
  <c r="D45" i="97" s="1"/>
  <c r="D34" i="97"/>
  <c r="D33" i="97"/>
  <c r="D32" i="97"/>
  <c r="D31" i="97"/>
  <c r="D30" i="97"/>
  <c r="D36" i="97" s="1"/>
  <c r="D27" i="97"/>
  <c r="D18" i="97"/>
  <c r="C9" i="97"/>
  <c r="E7" i="97"/>
  <c r="C16" i="97" s="1"/>
  <c r="E16" i="97" s="1"/>
  <c r="C25" i="97" s="1"/>
  <c r="E25" i="97" s="1"/>
  <c r="C34" i="97" s="1"/>
  <c r="E34" i="97" s="1"/>
  <c r="C43" i="97" s="1"/>
  <c r="E43" i="97" s="1"/>
  <c r="C52" i="97" s="1"/>
  <c r="E52" i="97" s="1"/>
  <c r="D7" i="97"/>
  <c r="E6" i="97"/>
  <c r="C15" i="97" s="1"/>
  <c r="E15" i="97" s="1"/>
  <c r="C24" i="97" s="1"/>
  <c r="E24" i="97" s="1"/>
  <c r="C33" i="97" s="1"/>
  <c r="E33" i="97" s="1"/>
  <c r="C42" i="97" s="1"/>
  <c r="E42" i="97" s="1"/>
  <c r="C51" i="97" s="1"/>
  <c r="E51" i="97" s="1"/>
  <c r="D5" i="97"/>
  <c r="E5" i="97" s="1"/>
  <c r="C14" i="97" s="1"/>
  <c r="E14" i="97" s="1"/>
  <c r="C23" i="97" s="1"/>
  <c r="E23" i="97" s="1"/>
  <c r="C32" i="97" s="1"/>
  <c r="E32" i="97" s="1"/>
  <c r="C41" i="97" s="1"/>
  <c r="E41" i="97" s="1"/>
  <c r="C50" i="97" s="1"/>
  <c r="E50" i="97" s="1"/>
  <c r="D4" i="97"/>
  <c r="E4" i="97" s="1"/>
  <c r="C13" i="97" s="1"/>
  <c r="E13" i="97" s="1"/>
  <c r="C22" i="97" s="1"/>
  <c r="E22" i="97" s="1"/>
  <c r="C31" i="97" s="1"/>
  <c r="E31" i="97" s="1"/>
  <c r="C40" i="97" s="1"/>
  <c r="E40" i="97" s="1"/>
  <c r="C49" i="97" s="1"/>
  <c r="E49" i="97" s="1"/>
  <c r="D3" i="97"/>
  <c r="D9" i="97" s="1"/>
  <c r="J11" i="97" l="1"/>
  <c r="E3" i="97"/>
  <c r="C12" i="97" l="1"/>
  <c r="E8" i="97"/>
  <c r="C18" i="97" l="1"/>
  <c r="E12" i="97"/>
  <c r="C21" i="97" l="1"/>
  <c r="E17" i="97"/>
  <c r="C27" i="97" l="1"/>
  <c r="E21" i="97"/>
  <c r="C30" i="97" l="1"/>
  <c r="E30" i="97" s="1"/>
  <c r="E26" i="97"/>
  <c r="C36" i="97" s="1"/>
  <c r="C39" i="97" l="1"/>
  <c r="E39" i="97" s="1"/>
  <c r="E35" i="97"/>
  <c r="E44" i="97" l="1"/>
  <c r="C54" i="97" s="1"/>
  <c r="C48" i="97"/>
  <c r="E48" i="97" s="1"/>
  <c r="E53" i="97" s="1"/>
  <c r="C45" i="97"/>
  <c r="I11" i="97"/>
  <c r="K11" i="97" s="1"/>
  <c r="I75" i="91" l="1"/>
  <c r="E75" i="91"/>
  <c r="G36" i="95"/>
  <c r="G67" i="94"/>
  <c r="G65" i="94"/>
  <c r="G36" i="94"/>
  <c r="G40" i="94" s="1"/>
  <c r="G8" i="93"/>
  <c r="G8" i="92"/>
  <c r="N186" i="96"/>
  <c r="N185" i="96"/>
  <c r="N184" i="96"/>
  <c r="N183" i="96"/>
  <c r="N182" i="96"/>
  <c r="N181" i="96"/>
  <c r="N180" i="96"/>
  <c r="N179" i="96"/>
  <c r="N178" i="96"/>
  <c r="N177" i="96"/>
  <c r="N176" i="96"/>
  <c r="N175" i="96"/>
  <c r="N174" i="96"/>
  <c r="N173" i="96"/>
  <c r="N172" i="96"/>
  <c r="N171" i="96"/>
  <c r="N170" i="96"/>
  <c r="N169" i="96"/>
  <c r="N168" i="96"/>
  <c r="N167" i="96"/>
  <c r="N166" i="96"/>
  <c r="N165" i="96"/>
  <c r="N164" i="96"/>
  <c r="N163" i="96"/>
  <c r="N162" i="96"/>
  <c r="N161" i="96"/>
  <c r="N160" i="96"/>
  <c r="N159" i="96"/>
  <c r="N158" i="96"/>
  <c r="N157" i="96"/>
  <c r="N156" i="96"/>
  <c r="N155" i="96"/>
  <c r="N154" i="96"/>
  <c r="N153" i="96"/>
  <c r="N152" i="96"/>
  <c r="N151" i="96"/>
  <c r="N150" i="96"/>
  <c r="N149" i="96"/>
  <c r="N148" i="96"/>
  <c r="N147" i="96"/>
  <c r="N146" i="96"/>
  <c r="N145" i="96"/>
  <c r="N144" i="96"/>
  <c r="N143" i="96"/>
  <c r="N142" i="96"/>
  <c r="N141" i="96"/>
  <c r="N140" i="96"/>
  <c r="N139" i="96"/>
  <c r="D67" i="96"/>
  <c r="C65" i="96"/>
  <c r="E63" i="96"/>
  <c r="B63" i="96"/>
  <c r="E62" i="96"/>
  <c r="B62" i="96"/>
  <c r="E61" i="96"/>
  <c r="B61" i="96"/>
  <c r="E60" i="96"/>
  <c r="B60" i="96"/>
  <c r="E59" i="96"/>
  <c r="B59" i="96"/>
  <c r="E58" i="96"/>
  <c r="B58" i="96"/>
  <c r="E57" i="96"/>
  <c r="B57" i="96"/>
  <c r="E56" i="96"/>
  <c r="B56" i="96"/>
  <c r="E55" i="96"/>
  <c r="B55" i="96"/>
  <c r="E54" i="96"/>
  <c r="B54" i="96"/>
  <c r="E40" i="96"/>
  <c r="C40" i="96"/>
  <c r="E38" i="96"/>
  <c r="B38" i="96"/>
  <c r="E37" i="96"/>
  <c r="B37" i="96"/>
  <c r="E36" i="96"/>
  <c r="B36" i="96"/>
  <c r="E35" i="96"/>
  <c r="B35" i="96"/>
  <c r="E34" i="96"/>
  <c r="B34" i="96"/>
  <c r="E28" i="96"/>
  <c r="B28" i="96"/>
  <c r="E27" i="96"/>
  <c r="B27" i="96"/>
  <c r="E26" i="96"/>
  <c r="B26" i="96"/>
  <c r="U25" i="96"/>
  <c r="C70" i="91" s="1"/>
  <c r="L25" i="96"/>
  <c r="K25" i="96"/>
  <c r="D71" i="91" s="1"/>
  <c r="W23" i="96"/>
  <c r="W22" i="96"/>
  <c r="C22" i="96"/>
  <c r="W21" i="96"/>
  <c r="W20" i="96"/>
  <c r="N19" i="96"/>
  <c r="N18" i="96"/>
  <c r="W16" i="96"/>
  <c r="E16" i="96"/>
  <c r="B16" i="96"/>
  <c r="W15" i="96"/>
  <c r="C13" i="96"/>
  <c r="E10" i="96"/>
  <c r="B10" i="96"/>
  <c r="E9" i="96"/>
  <c r="B9" i="96"/>
  <c r="U8" i="96"/>
  <c r="E8" i="96"/>
  <c r="B8" i="96"/>
  <c r="Y7" i="96"/>
  <c r="E7" i="96"/>
  <c r="B7" i="96"/>
  <c r="W6" i="96"/>
  <c r="T6" i="96"/>
  <c r="N6" i="96"/>
  <c r="E6" i="96"/>
  <c r="B6" i="96"/>
  <c r="W5" i="96"/>
  <c r="T5" i="96"/>
  <c r="N5" i="96"/>
  <c r="E5" i="96"/>
  <c r="B5" i="96"/>
  <c r="W4" i="96"/>
  <c r="T4" i="96"/>
  <c r="P25" i="96"/>
  <c r="N4" i="96"/>
  <c r="E4" i="96"/>
  <c r="B4" i="96"/>
  <c r="N186" i="95"/>
  <c r="N185" i="95"/>
  <c r="N184" i="95"/>
  <c r="N183" i="95"/>
  <c r="N182" i="95"/>
  <c r="N181" i="95"/>
  <c r="N180" i="95"/>
  <c r="N179" i="95"/>
  <c r="N178" i="95"/>
  <c r="N177" i="95"/>
  <c r="N176" i="95"/>
  <c r="N175" i="95"/>
  <c r="N174" i="95"/>
  <c r="N173" i="95"/>
  <c r="N172" i="95"/>
  <c r="N171" i="95"/>
  <c r="N170" i="95"/>
  <c r="N169" i="95"/>
  <c r="N168" i="95"/>
  <c r="N167" i="95"/>
  <c r="N166" i="95"/>
  <c r="N165" i="95"/>
  <c r="N164" i="95"/>
  <c r="N163" i="95"/>
  <c r="N162" i="95"/>
  <c r="N161" i="95"/>
  <c r="N160" i="95"/>
  <c r="N159" i="95"/>
  <c r="N158" i="95"/>
  <c r="N157" i="95"/>
  <c r="N156" i="95"/>
  <c r="N155" i="95"/>
  <c r="N154" i="95"/>
  <c r="N153" i="95"/>
  <c r="N152" i="95"/>
  <c r="N151" i="95"/>
  <c r="N150" i="95"/>
  <c r="N149" i="95"/>
  <c r="N148" i="95"/>
  <c r="N147" i="95"/>
  <c r="N146" i="95"/>
  <c r="N145" i="95"/>
  <c r="N144" i="95"/>
  <c r="N143" i="95"/>
  <c r="N142" i="95"/>
  <c r="N141" i="95"/>
  <c r="N140" i="95"/>
  <c r="N139" i="95"/>
  <c r="D67" i="95"/>
  <c r="C65" i="95"/>
  <c r="C67" i="95" s="1"/>
  <c r="G63" i="95"/>
  <c r="E63" i="95"/>
  <c r="G62" i="95"/>
  <c r="E62" i="95"/>
  <c r="G61" i="95"/>
  <c r="E61" i="95"/>
  <c r="B61" i="95"/>
  <c r="G60" i="95"/>
  <c r="E60" i="95"/>
  <c r="B60" i="95"/>
  <c r="G59" i="95"/>
  <c r="E59" i="95"/>
  <c r="G58" i="95"/>
  <c r="E58" i="95"/>
  <c r="G57" i="95"/>
  <c r="E57" i="95"/>
  <c r="G56" i="95"/>
  <c r="E56" i="95"/>
  <c r="B56" i="95"/>
  <c r="G55" i="95"/>
  <c r="E55" i="95"/>
  <c r="B55" i="95"/>
  <c r="G54" i="95"/>
  <c r="E54" i="95"/>
  <c r="B54" i="95"/>
  <c r="B65" i="95" s="1"/>
  <c r="G49" i="95"/>
  <c r="E49" i="95"/>
  <c r="G48" i="95"/>
  <c r="E48" i="95"/>
  <c r="G47" i="95"/>
  <c r="E47" i="95"/>
  <c r="G46" i="95"/>
  <c r="E46" i="95"/>
  <c r="E40" i="95"/>
  <c r="C40" i="95"/>
  <c r="G38" i="95"/>
  <c r="E38" i="95"/>
  <c r="B38" i="95"/>
  <c r="G37" i="95"/>
  <c r="E37" i="95"/>
  <c r="E36" i="95"/>
  <c r="B36" i="95"/>
  <c r="G35" i="95"/>
  <c r="E35" i="95"/>
  <c r="B35" i="95"/>
  <c r="G34" i="95"/>
  <c r="E34" i="95"/>
  <c r="B34" i="95"/>
  <c r="G28" i="95"/>
  <c r="E28" i="95"/>
  <c r="G27" i="95"/>
  <c r="E27" i="95"/>
  <c r="G26" i="95"/>
  <c r="E26" i="95"/>
  <c r="B26" i="95"/>
  <c r="B40" i="95" s="1"/>
  <c r="U25" i="95"/>
  <c r="L25" i="95"/>
  <c r="C62" i="91" s="1"/>
  <c r="Y24" i="95"/>
  <c r="W24" i="95"/>
  <c r="Y23" i="95"/>
  <c r="W23" i="95"/>
  <c r="Y22" i="95"/>
  <c r="W22" i="95"/>
  <c r="C22" i="95"/>
  <c r="Y21" i="95"/>
  <c r="W21" i="95"/>
  <c r="Y20" i="95"/>
  <c r="W20" i="95"/>
  <c r="P18" i="95"/>
  <c r="N18" i="95"/>
  <c r="K18" i="95"/>
  <c r="Y16" i="95"/>
  <c r="W16" i="95"/>
  <c r="G16" i="95"/>
  <c r="E16" i="95"/>
  <c r="Y15" i="95"/>
  <c r="Y25" i="95" s="1"/>
  <c r="H61" i="91" s="1"/>
  <c r="W15" i="95"/>
  <c r="C13" i="95"/>
  <c r="G11" i="95"/>
  <c r="E11" i="95"/>
  <c r="B11" i="95"/>
  <c r="G10" i="95"/>
  <c r="E10" i="95"/>
  <c r="B10" i="95"/>
  <c r="G9" i="95"/>
  <c r="E9" i="95"/>
  <c r="B9" i="95"/>
  <c r="P8" i="95"/>
  <c r="N8" i="95"/>
  <c r="G8" i="95"/>
  <c r="E8" i="95"/>
  <c r="P7" i="95"/>
  <c r="N7" i="95"/>
  <c r="G7" i="95"/>
  <c r="E7" i="95"/>
  <c r="P6" i="95"/>
  <c r="N6" i="95"/>
  <c r="G6" i="95"/>
  <c r="E6" i="95"/>
  <c r="P5" i="95"/>
  <c r="N5" i="95"/>
  <c r="G5" i="95"/>
  <c r="E5" i="95"/>
  <c r="Y4" i="95"/>
  <c r="W4" i="95"/>
  <c r="P4" i="95"/>
  <c r="P25" i="95" s="1"/>
  <c r="N4" i="95"/>
  <c r="K4" i="95"/>
  <c r="K25" i="95" s="1"/>
  <c r="G4" i="95"/>
  <c r="G13" i="95" s="1"/>
  <c r="G22" i="95" s="1"/>
  <c r="E4" i="95"/>
  <c r="N186" i="94"/>
  <c r="N185" i="94"/>
  <c r="N184" i="94"/>
  <c r="N183" i="94"/>
  <c r="N182" i="94"/>
  <c r="N181" i="94"/>
  <c r="N180" i="94"/>
  <c r="N179" i="94"/>
  <c r="N178" i="94"/>
  <c r="N177" i="94"/>
  <c r="N176" i="94"/>
  <c r="N175" i="94"/>
  <c r="N174" i="94"/>
  <c r="N173" i="94"/>
  <c r="N172" i="94"/>
  <c r="N171" i="94"/>
  <c r="N170" i="94"/>
  <c r="N169" i="94"/>
  <c r="N168" i="94"/>
  <c r="N167" i="94"/>
  <c r="N166" i="94"/>
  <c r="N165" i="94"/>
  <c r="N164" i="94"/>
  <c r="N163" i="94"/>
  <c r="N162" i="94"/>
  <c r="N161" i="94"/>
  <c r="N160" i="94"/>
  <c r="N159" i="94"/>
  <c r="N158" i="94"/>
  <c r="N157" i="94"/>
  <c r="N156" i="94"/>
  <c r="N155" i="94"/>
  <c r="N154" i="94"/>
  <c r="N153" i="94"/>
  <c r="N152" i="94"/>
  <c r="N151" i="94"/>
  <c r="N150" i="94"/>
  <c r="N149" i="94"/>
  <c r="N148" i="94"/>
  <c r="N147" i="94"/>
  <c r="N146" i="94"/>
  <c r="N145" i="94"/>
  <c r="N144" i="94"/>
  <c r="N143" i="94"/>
  <c r="N142" i="94"/>
  <c r="N141" i="94"/>
  <c r="N140" i="94"/>
  <c r="N139" i="94"/>
  <c r="D67" i="94"/>
  <c r="C65" i="94"/>
  <c r="C67" i="94" s="1"/>
  <c r="K69" i="94" s="1"/>
  <c r="G63" i="94"/>
  <c r="E63" i="94"/>
  <c r="G62" i="94"/>
  <c r="E62" i="94"/>
  <c r="G61" i="94"/>
  <c r="E61" i="94"/>
  <c r="B61" i="94"/>
  <c r="G60" i="94"/>
  <c r="E60" i="94"/>
  <c r="B60" i="94"/>
  <c r="G59" i="94"/>
  <c r="E59" i="94"/>
  <c r="G58" i="94"/>
  <c r="E58" i="94"/>
  <c r="G57" i="94"/>
  <c r="E57" i="94"/>
  <c r="G56" i="94"/>
  <c r="E56" i="94"/>
  <c r="B56" i="94"/>
  <c r="G55" i="94"/>
  <c r="E55" i="94"/>
  <c r="B55" i="94"/>
  <c r="G54" i="94"/>
  <c r="E54" i="94"/>
  <c r="B54" i="94"/>
  <c r="B65" i="94" s="1"/>
  <c r="G49" i="94"/>
  <c r="E49" i="94"/>
  <c r="G48" i="94"/>
  <c r="E48" i="94"/>
  <c r="G47" i="94"/>
  <c r="E47" i="94"/>
  <c r="G46" i="94"/>
  <c r="E46" i="94"/>
  <c r="E40" i="94"/>
  <c r="C40" i="94"/>
  <c r="G38" i="94"/>
  <c r="E38" i="94"/>
  <c r="B38" i="94"/>
  <c r="G37" i="94"/>
  <c r="E37" i="94"/>
  <c r="E36" i="94"/>
  <c r="B36" i="94"/>
  <c r="G35" i="94"/>
  <c r="E35" i="94"/>
  <c r="B35" i="94"/>
  <c r="G34" i="94"/>
  <c r="E34" i="94"/>
  <c r="B34" i="94"/>
  <c r="G28" i="94"/>
  <c r="E28" i="94"/>
  <c r="G27" i="94"/>
  <c r="E27" i="94"/>
  <c r="G26" i="94"/>
  <c r="E26" i="94"/>
  <c r="B26" i="94"/>
  <c r="B40" i="94" s="1"/>
  <c r="U25" i="94"/>
  <c r="L25" i="94"/>
  <c r="Y24" i="94"/>
  <c r="W24" i="94"/>
  <c r="Y23" i="94"/>
  <c r="W23" i="94"/>
  <c r="Y22" i="94"/>
  <c r="W22" i="94"/>
  <c r="C22" i="94"/>
  <c r="Y21" i="94"/>
  <c r="W21" i="94"/>
  <c r="Y20" i="94"/>
  <c r="W20" i="94"/>
  <c r="P18" i="94"/>
  <c r="N18" i="94"/>
  <c r="K18" i="94"/>
  <c r="Y16" i="94"/>
  <c r="W16" i="94"/>
  <c r="G16" i="94"/>
  <c r="E16" i="94"/>
  <c r="Y15" i="94"/>
  <c r="W15" i="94"/>
  <c r="C13" i="94"/>
  <c r="G11" i="94"/>
  <c r="E11" i="94"/>
  <c r="B11" i="94"/>
  <c r="B13" i="94" s="1"/>
  <c r="G10" i="94"/>
  <c r="E10" i="94"/>
  <c r="B10" i="94"/>
  <c r="G9" i="94"/>
  <c r="E9" i="94"/>
  <c r="B9" i="94"/>
  <c r="U8" i="94"/>
  <c r="P8" i="94"/>
  <c r="N8" i="94"/>
  <c r="G8" i="94"/>
  <c r="E8" i="94"/>
  <c r="Y7" i="94"/>
  <c r="P7" i="94"/>
  <c r="N7" i="94"/>
  <c r="G7" i="94"/>
  <c r="E7" i="94"/>
  <c r="Y6" i="94"/>
  <c r="W6" i="94"/>
  <c r="T6" i="94"/>
  <c r="P6" i="94"/>
  <c r="N6" i="94"/>
  <c r="G6" i="94"/>
  <c r="E6" i="94"/>
  <c r="Y5" i="94"/>
  <c r="W5" i="94"/>
  <c r="T5" i="94"/>
  <c r="P5" i="94"/>
  <c r="N5" i="94"/>
  <c r="G5" i="94"/>
  <c r="E5" i="94"/>
  <c r="Y4" i="94"/>
  <c r="W4" i="94"/>
  <c r="T4" i="94"/>
  <c r="T25" i="94" s="1"/>
  <c r="D52" i="91" s="1"/>
  <c r="P4" i="94"/>
  <c r="P25" i="94" s="1"/>
  <c r="N4" i="94"/>
  <c r="K4" i="94"/>
  <c r="K25" i="94" s="1"/>
  <c r="G4" i="94"/>
  <c r="G13" i="94" s="1"/>
  <c r="G22" i="94" s="1"/>
  <c r="E4" i="94"/>
  <c r="N186" i="93"/>
  <c r="N185" i="93"/>
  <c r="N184" i="93"/>
  <c r="N183" i="93"/>
  <c r="N182" i="93"/>
  <c r="N181" i="93"/>
  <c r="N180" i="93"/>
  <c r="N179" i="93"/>
  <c r="N178" i="93"/>
  <c r="N177" i="93"/>
  <c r="N176" i="93"/>
  <c r="N175" i="93"/>
  <c r="N174" i="93"/>
  <c r="N173" i="93"/>
  <c r="N172" i="93"/>
  <c r="N171" i="93"/>
  <c r="N170" i="93"/>
  <c r="N169" i="93"/>
  <c r="N168" i="93"/>
  <c r="N167" i="93"/>
  <c r="N166" i="93"/>
  <c r="N165" i="93"/>
  <c r="N164" i="93"/>
  <c r="N163" i="93"/>
  <c r="N162" i="93"/>
  <c r="N161" i="93"/>
  <c r="N160" i="93"/>
  <c r="N159" i="93"/>
  <c r="N158" i="93"/>
  <c r="N157" i="93"/>
  <c r="N156" i="93"/>
  <c r="N155" i="93"/>
  <c r="N154" i="93"/>
  <c r="N153" i="93"/>
  <c r="N152" i="93"/>
  <c r="N151" i="93"/>
  <c r="N150" i="93"/>
  <c r="N149" i="93"/>
  <c r="N148" i="93"/>
  <c r="N147" i="93"/>
  <c r="N146" i="93"/>
  <c r="N145" i="93"/>
  <c r="N144" i="93"/>
  <c r="N143" i="93"/>
  <c r="N142" i="93"/>
  <c r="N141" i="93"/>
  <c r="N140" i="93"/>
  <c r="N139" i="93"/>
  <c r="D67" i="93"/>
  <c r="C65" i="93"/>
  <c r="C67" i="93" s="1"/>
  <c r="K69" i="93" s="1"/>
  <c r="G63" i="93"/>
  <c r="E63" i="93"/>
  <c r="B63" i="93"/>
  <c r="G62" i="93"/>
  <c r="E62" i="93"/>
  <c r="B62" i="93"/>
  <c r="G61" i="93"/>
  <c r="E61" i="93"/>
  <c r="B61" i="93"/>
  <c r="G60" i="93"/>
  <c r="E60" i="93"/>
  <c r="B60" i="93"/>
  <c r="G59" i="93"/>
  <c r="E59" i="93"/>
  <c r="B59" i="93"/>
  <c r="G58" i="93"/>
  <c r="E58" i="93"/>
  <c r="B58" i="93"/>
  <c r="G57" i="93"/>
  <c r="E57" i="93"/>
  <c r="B57" i="93"/>
  <c r="G56" i="93"/>
  <c r="E56" i="93"/>
  <c r="B56" i="93"/>
  <c r="B65" i="93" s="1"/>
  <c r="G55" i="93"/>
  <c r="E55" i="93"/>
  <c r="B55" i="93"/>
  <c r="G54" i="93"/>
  <c r="E54" i="93"/>
  <c r="B54" i="93"/>
  <c r="E40" i="93"/>
  <c r="C40" i="93"/>
  <c r="G38" i="93"/>
  <c r="E38" i="93"/>
  <c r="B38" i="93"/>
  <c r="G37" i="93"/>
  <c r="E37" i="93"/>
  <c r="B37" i="93"/>
  <c r="G36" i="93"/>
  <c r="E36" i="93"/>
  <c r="B36" i="93"/>
  <c r="G35" i="93"/>
  <c r="E35" i="93"/>
  <c r="B35" i="93"/>
  <c r="G34" i="93"/>
  <c r="E34" i="93"/>
  <c r="B34" i="93"/>
  <c r="G28" i="93"/>
  <c r="E28" i="93"/>
  <c r="B28" i="93"/>
  <c r="G27" i="93"/>
  <c r="E27" i="93"/>
  <c r="B27" i="93"/>
  <c r="G26" i="93"/>
  <c r="E26" i="93"/>
  <c r="B26" i="93"/>
  <c r="U25" i="93"/>
  <c r="L25" i="93"/>
  <c r="K25" i="93"/>
  <c r="Y23" i="93"/>
  <c r="W23" i="93"/>
  <c r="Y22" i="93"/>
  <c r="W22" i="93"/>
  <c r="C22" i="93"/>
  <c r="Y21" i="93"/>
  <c r="W21" i="93"/>
  <c r="Y20" i="93"/>
  <c r="W20" i="93"/>
  <c r="N19" i="93"/>
  <c r="P18" i="93"/>
  <c r="N18" i="93"/>
  <c r="Y16" i="93"/>
  <c r="W16" i="93"/>
  <c r="G16" i="93"/>
  <c r="E16" i="93"/>
  <c r="B16" i="93"/>
  <c r="Y15" i="93"/>
  <c r="W15" i="93"/>
  <c r="C13" i="93"/>
  <c r="G10" i="93"/>
  <c r="E10" i="93"/>
  <c r="B10" i="93"/>
  <c r="G9" i="93"/>
  <c r="E9" i="93"/>
  <c r="B9" i="93"/>
  <c r="U8" i="93"/>
  <c r="P8" i="93"/>
  <c r="E8" i="93"/>
  <c r="B8" i="93"/>
  <c r="Y7" i="93"/>
  <c r="P7" i="93"/>
  <c r="G7" i="93"/>
  <c r="E7" i="93"/>
  <c r="B7" i="93"/>
  <c r="B13" i="93" s="1"/>
  <c r="Y6" i="93"/>
  <c r="W6" i="93"/>
  <c r="T6" i="93"/>
  <c r="P6" i="93"/>
  <c r="N6" i="93"/>
  <c r="G6" i="93"/>
  <c r="E6" i="93"/>
  <c r="B6" i="93"/>
  <c r="Y5" i="93"/>
  <c r="W5" i="93"/>
  <c r="T5" i="93"/>
  <c r="P5" i="93"/>
  <c r="N5" i="93"/>
  <c r="G5" i="93"/>
  <c r="E5" i="93"/>
  <c r="B5" i="93"/>
  <c r="Y4" i="93"/>
  <c r="Y25" i="93" s="1"/>
  <c r="W4" i="93"/>
  <c r="T4" i="93"/>
  <c r="T25" i="93" s="1"/>
  <c r="P4" i="93"/>
  <c r="P25" i="93" s="1"/>
  <c r="N4" i="93"/>
  <c r="G4" i="93"/>
  <c r="E4" i="93"/>
  <c r="B4" i="93"/>
  <c r="B22" i="93" s="1"/>
  <c r="N186" i="92"/>
  <c r="N185" i="92"/>
  <c r="N184" i="92"/>
  <c r="N183" i="92"/>
  <c r="N182" i="92"/>
  <c r="N181" i="92"/>
  <c r="N180" i="92"/>
  <c r="N179" i="92"/>
  <c r="N178" i="92"/>
  <c r="N177" i="92"/>
  <c r="N176" i="92"/>
  <c r="N175" i="92"/>
  <c r="N174" i="92"/>
  <c r="N173" i="92"/>
  <c r="N172" i="92"/>
  <c r="N171" i="92"/>
  <c r="N170" i="92"/>
  <c r="N169" i="92"/>
  <c r="N168" i="92"/>
  <c r="N167" i="92"/>
  <c r="N166" i="92"/>
  <c r="N165" i="92"/>
  <c r="N164" i="92"/>
  <c r="N163" i="92"/>
  <c r="N162" i="92"/>
  <c r="N161" i="92"/>
  <c r="N160" i="92"/>
  <c r="N159" i="92"/>
  <c r="N158" i="92"/>
  <c r="N157" i="92"/>
  <c r="N156" i="92"/>
  <c r="N155" i="92"/>
  <c r="N154" i="92"/>
  <c r="N153" i="92"/>
  <c r="N152" i="92"/>
  <c r="N151" i="92"/>
  <c r="N150" i="92"/>
  <c r="N149" i="92"/>
  <c r="N148" i="92"/>
  <c r="N147" i="92"/>
  <c r="N146" i="92"/>
  <c r="N145" i="92"/>
  <c r="N144" i="92"/>
  <c r="N143" i="92"/>
  <c r="N142" i="92"/>
  <c r="N141" i="92"/>
  <c r="N140" i="92"/>
  <c r="N139" i="92"/>
  <c r="D67" i="92"/>
  <c r="C65" i="92"/>
  <c r="C67" i="92" s="1"/>
  <c r="G63" i="92"/>
  <c r="E63" i="92"/>
  <c r="B63" i="92"/>
  <c r="G62" i="92"/>
  <c r="E62" i="92"/>
  <c r="B62" i="92"/>
  <c r="G61" i="92"/>
  <c r="E61" i="92"/>
  <c r="B61" i="92"/>
  <c r="G60" i="92"/>
  <c r="E60" i="92"/>
  <c r="B60" i="92"/>
  <c r="G59" i="92"/>
  <c r="E59" i="92"/>
  <c r="B59" i="92"/>
  <c r="G58" i="92"/>
  <c r="E58" i="92"/>
  <c r="B58" i="92"/>
  <c r="G57" i="92"/>
  <c r="E57" i="92"/>
  <c r="B57" i="92"/>
  <c r="G56" i="92"/>
  <c r="E56" i="92"/>
  <c r="B56" i="92"/>
  <c r="G55" i="92"/>
  <c r="E55" i="92"/>
  <c r="B55" i="92"/>
  <c r="G54" i="92"/>
  <c r="O70" i="92" s="1"/>
  <c r="E54" i="92"/>
  <c r="B54" i="92"/>
  <c r="B65" i="92" s="1"/>
  <c r="E40" i="92"/>
  <c r="C40" i="92"/>
  <c r="G38" i="92"/>
  <c r="E38" i="92"/>
  <c r="B38" i="92"/>
  <c r="G37" i="92"/>
  <c r="E37" i="92"/>
  <c r="B37" i="92"/>
  <c r="G36" i="92"/>
  <c r="E36" i="92"/>
  <c r="B36" i="92"/>
  <c r="G35" i="92"/>
  <c r="E35" i="92"/>
  <c r="B35" i="92"/>
  <c r="G34" i="92"/>
  <c r="E34" i="92"/>
  <c r="B34" i="92"/>
  <c r="G28" i="92"/>
  <c r="E28" i="92"/>
  <c r="B28" i="92"/>
  <c r="G27" i="92"/>
  <c r="E27" i="92"/>
  <c r="B27" i="92"/>
  <c r="G26" i="92"/>
  <c r="E26" i="92"/>
  <c r="B26" i="92"/>
  <c r="U25" i="92"/>
  <c r="L25" i="92"/>
  <c r="K69" i="92" s="1"/>
  <c r="K25" i="92"/>
  <c r="Y23" i="92"/>
  <c r="W23" i="92"/>
  <c r="Y22" i="92"/>
  <c r="W22" i="92"/>
  <c r="C22" i="92"/>
  <c r="Y21" i="92"/>
  <c r="W21" i="92"/>
  <c r="Y20" i="92"/>
  <c r="W20" i="92"/>
  <c r="P18" i="92"/>
  <c r="N18" i="92"/>
  <c r="Y16" i="92"/>
  <c r="W16" i="92"/>
  <c r="G16" i="92"/>
  <c r="E16" i="92"/>
  <c r="B16" i="92"/>
  <c r="Y15" i="92"/>
  <c r="W15" i="92"/>
  <c r="C13" i="92"/>
  <c r="G10" i="92"/>
  <c r="E10" i="92"/>
  <c r="B10" i="92"/>
  <c r="G9" i="92"/>
  <c r="E9" i="92"/>
  <c r="B9" i="92"/>
  <c r="U8" i="92"/>
  <c r="P8" i="92"/>
  <c r="E8" i="92"/>
  <c r="B8" i="92"/>
  <c r="Y7" i="92"/>
  <c r="P7" i="92"/>
  <c r="G7" i="92"/>
  <c r="E7" i="92"/>
  <c r="B7" i="92"/>
  <c r="Y6" i="92"/>
  <c r="W6" i="92"/>
  <c r="T6" i="92"/>
  <c r="P6" i="92"/>
  <c r="N6" i="92"/>
  <c r="G6" i="92"/>
  <c r="E6" i="92"/>
  <c r="B6" i="92"/>
  <c r="Y5" i="92"/>
  <c r="W5" i="92"/>
  <c r="T5" i="92"/>
  <c r="P5" i="92"/>
  <c r="N5" i="92"/>
  <c r="G5" i="92"/>
  <c r="E5" i="92"/>
  <c r="B5" i="92"/>
  <c r="Y4" i="92"/>
  <c r="W4" i="92"/>
  <c r="T4" i="92"/>
  <c r="P4" i="92"/>
  <c r="N4" i="92"/>
  <c r="G4" i="92"/>
  <c r="E4" i="92"/>
  <c r="B4" i="92"/>
  <c r="T25" i="96" l="1"/>
  <c r="D70" i="91" s="1"/>
  <c r="B40" i="96"/>
  <c r="C67" i="96"/>
  <c r="C69" i="91" s="1"/>
  <c r="B65" i="96"/>
  <c r="K69" i="96"/>
  <c r="C71" i="91"/>
  <c r="C75" i="91" s="1"/>
  <c r="Y25" i="94"/>
  <c r="H52" i="91" s="1"/>
  <c r="G40" i="96"/>
  <c r="N70" i="96" s="1"/>
  <c r="G40" i="95"/>
  <c r="K69" i="95"/>
  <c r="O70" i="95"/>
  <c r="Y25" i="96"/>
  <c r="H70" i="91" s="1"/>
  <c r="H71" i="91"/>
  <c r="O70" i="96"/>
  <c r="B13" i="96"/>
  <c r="B22" i="96" s="1"/>
  <c r="G13" i="96"/>
  <c r="G22" i="96" s="1"/>
  <c r="M70" i="96" s="1"/>
  <c r="N70" i="95"/>
  <c r="O70" i="94"/>
  <c r="N70" i="94"/>
  <c r="K70" i="94"/>
  <c r="O70" i="93"/>
  <c r="G40" i="93"/>
  <c r="N70" i="93" s="1"/>
  <c r="B40" i="93"/>
  <c r="G13" i="93"/>
  <c r="G22" i="93" s="1"/>
  <c r="M70" i="93" s="1"/>
  <c r="P70" i="93" s="1"/>
  <c r="T25" i="92"/>
  <c r="Y25" i="92"/>
  <c r="P25" i="92"/>
  <c r="G40" i="92"/>
  <c r="N70" i="92" s="1"/>
  <c r="B40" i="92"/>
  <c r="G13" i="92"/>
  <c r="G22" i="92" s="1"/>
  <c r="M70" i="92" s="1"/>
  <c r="B13" i="92"/>
  <c r="B22" i="92" s="1"/>
  <c r="G65" i="96"/>
  <c r="M70" i="95"/>
  <c r="B13" i="95"/>
  <c r="B22" i="95" s="1"/>
  <c r="B67" i="95" s="1"/>
  <c r="B22" i="94"/>
  <c r="B67" i="94" s="1"/>
  <c r="K68" i="94" s="1"/>
  <c r="M70" i="94"/>
  <c r="B67" i="93"/>
  <c r="K68" i="93" s="1"/>
  <c r="G65" i="93"/>
  <c r="G65" i="92"/>
  <c r="G67" i="92" s="1"/>
  <c r="G67" i="96" l="1"/>
  <c r="K70" i="96" s="1"/>
  <c r="B67" i="96"/>
  <c r="K68" i="95"/>
  <c r="D60" i="91"/>
  <c r="D66" i="91" s="1"/>
  <c r="K70" i="95"/>
  <c r="H60" i="91"/>
  <c r="H66" i="91" s="1"/>
  <c r="P70" i="95"/>
  <c r="P70" i="96"/>
  <c r="P70" i="94"/>
  <c r="G67" i="93"/>
  <c r="K70" i="93" s="1"/>
  <c r="K70" i="92"/>
  <c r="P70" i="92"/>
  <c r="B67" i="92"/>
  <c r="K68" i="92" s="1"/>
  <c r="O70" i="90"/>
  <c r="N70" i="90"/>
  <c r="M70" i="90"/>
  <c r="K70" i="90"/>
  <c r="O70" i="89"/>
  <c r="M70" i="89"/>
  <c r="G4" i="89"/>
  <c r="I164" i="91"/>
  <c r="I163" i="91"/>
  <c r="I162" i="91"/>
  <c r="I161" i="91"/>
  <c r="I160" i="91"/>
  <c r="I159" i="91"/>
  <c r="I158" i="91"/>
  <c r="I157" i="91"/>
  <c r="I156" i="91"/>
  <c r="I155" i="91"/>
  <c r="I154" i="91"/>
  <c r="I153" i="91"/>
  <c r="I152" i="91"/>
  <c r="I151" i="91"/>
  <c r="I150" i="91"/>
  <c r="I149" i="91"/>
  <c r="I148" i="91"/>
  <c r="I147" i="91"/>
  <c r="I146" i="91"/>
  <c r="I145" i="91"/>
  <c r="I144" i="91"/>
  <c r="I143" i="91"/>
  <c r="I142" i="91"/>
  <c r="I141" i="91"/>
  <c r="I140" i="91"/>
  <c r="I139" i="91"/>
  <c r="I138" i="91"/>
  <c r="I137" i="91"/>
  <c r="I136" i="91"/>
  <c r="I135" i="91"/>
  <c r="I134" i="91"/>
  <c r="I133" i="91"/>
  <c r="I132" i="91"/>
  <c r="I131" i="91"/>
  <c r="I130" i="91"/>
  <c r="I129" i="91"/>
  <c r="I128" i="91"/>
  <c r="I127" i="91"/>
  <c r="I126" i="91"/>
  <c r="I125" i="91"/>
  <c r="I124" i="91"/>
  <c r="I123" i="91"/>
  <c r="I122" i="91"/>
  <c r="I121" i="91"/>
  <c r="I120" i="91"/>
  <c r="I119" i="91"/>
  <c r="I118" i="91"/>
  <c r="I117" i="91"/>
  <c r="I116" i="91"/>
  <c r="I83" i="91"/>
  <c r="G80" i="91"/>
  <c r="L82" i="91" s="1"/>
  <c r="J78" i="91"/>
  <c r="I66" i="91"/>
  <c r="E66" i="91"/>
  <c r="C66" i="91"/>
  <c r="L64" i="91"/>
  <c r="I57" i="91"/>
  <c r="E57" i="91"/>
  <c r="H57" i="91"/>
  <c r="I48" i="91"/>
  <c r="E48" i="91"/>
  <c r="I39" i="91"/>
  <c r="E39" i="91"/>
  <c r="C39" i="91"/>
  <c r="I30" i="91"/>
  <c r="E30" i="91"/>
  <c r="E21" i="91"/>
  <c r="I12" i="91"/>
  <c r="E12" i="91"/>
  <c r="H69" i="91" l="1"/>
  <c r="H75" i="91" s="1"/>
  <c r="H78" i="91" s="1"/>
  <c r="G79" i="91" s="1"/>
  <c r="K68" i="96"/>
  <c r="D69" i="91"/>
  <c r="D75" i="91" s="1"/>
  <c r="D21" i="91"/>
  <c r="D57" i="91"/>
  <c r="D39" i="91"/>
  <c r="C21" i="91"/>
  <c r="L55" i="91"/>
  <c r="C30" i="91"/>
  <c r="K166" i="91"/>
  <c r="L11" i="91"/>
  <c r="D12" i="91"/>
  <c r="E78" i="91"/>
  <c r="O79" i="91"/>
  <c r="L19" i="91"/>
  <c r="D30" i="91"/>
  <c r="H39" i="91"/>
  <c r="D48" i="91"/>
  <c r="C48" i="91"/>
  <c r="L28" i="91"/>
  <c r="H48" i="91"/>
  <c r="C12" i="91"/>
  <c r="I78" i="91"/>
  <c r="C57" i="91"/>
  <c r="H30" i="91"/>
  <c r="H21" i="91"/>
  <c r="L46" i="91"/>
  <c r="H12" i="91"/>
  <c r="L37" i="91"/>
  <c r="L73" i="91" l="1"/>
  <c r="D78" i="91"/>
  <c r="C78" i="91"/>
  <c r="I168" i="91"/>
  <c r="M11" i="91"/>
  <c r="O70" i="88"/>
  <c r="N70" i="88"/>
  <c r="M70" i="88"/>
  <c r="K70" i="88"/>
  <c r="N186" i="90"/>
  <c r="N185" i="90"/>
  <c r="N184" i="90"/>
  <c r="N183" i="90"/>
  <c r="N182" i="90"/>
  <c r="N181" i="90"/>
  <c r="N180" i="90"/>
  <c r="N179" i="90"/>
  <c r="N178" i="90"/>
  <c r="N177" i="90"/>
  <c r="N176" i="90"/>
  <c r="N175" i="90"/>
  <c r="N174" i="90"/>
  <c r="N173" i="90"/>
  <c r="N172" i="90"/>
  <c r="N171" i="90"/>
  <c r="N170" i="90"/>
  <c r="N169" i="90"/>
  <c r="N168" i="90"/>
  <c r="N167" i="90"/>
  <c r="N166" i="90"/>
  <c r="N165" i="90"/>
  <c r="N164" i="90"/>
  <c r="N163" i="90"/>
  <c r="N162" i="90"/>
  <c r="N161" i="90"/>
  <c r="N160" i="90"/>
  <c r="N159" i="90"/>
  <c r="N158" i="90"/>
  <c r="N157" i="90"/>
  <c r="N156" i="90"/>
  <c r="N155" i="90"/>
  <c r="N154" i="90"/>
  <c r="N153" i="90"/>
  <c r="N152" i="90"/>
  <c r="N151" i="90"/>
  <c r="N150" i="90"/>
  <c r="N149" i="90"/>
  <c r="N148" i="90"/>
  <c r="N147" i="90"/>
  <c r="N146" i="90"/>
  <c r="N145" i="90"/>
  <c r="N144" i="90"/>
  <c r="N143" i="90"/>
  <c r="N142" i="90"/>
  <c r="N141" i="90"/>
  <c r="N140" i="90"/>
  <c r="N139" i="90"/>
  <c r="D67" i="90"/>
  <c r="C65" i="90"/>
  <c r="C67" i="90" s="1"/>
  <c r="G63" i="90"/>
  <c r="E63" i="90"/>
  <c r="B63" i="90"/>
  <c r="G62" i="90"/>
  <c r="E62" i="90"/>
  <c r="B62" i="90"/>
  <c r="G61" i="90"/>
  <c r="E61" i="90"/>
  <c r="B61" i="90"/>
  <c r="G60" i="90"/>
  <c r="E60" i="90"/>
  <c r="B60" i="90"/>
  <c r="G59" i="90"/>
  <c r="E59" i="90"/>
  <c r="B59" i="90"/>
  <c r="G58" i="90"/>
  <c r="E58" i="90"/>
  <c r="B58" i="90"/>
  <c r="G57" i="90"/>
  <c r="E57" i="90"/>
  <c r="B57" i="90"/>
  <c r="G56" i="90"/>
  <c r="E56" i="90"/>
  <c r="B56" i="90"/>
  <c r="G55" i="90"/>
  <c r="E55" i="90"/>
  <c r="B55" i="90"/>
  <c r="G54" i="90"/>
  <c r="E54" i="90"/>
  <c r="B54" i="90"/>
  <c r="E40" i="90"/>
  <c r="C40" i="90"/>
  <c r="G38" i="90"/>
  <c r="E38" i="90"/>
  <c r="B38" i="90"/>
  <c r="G37" i="90"/>
  <c r="E37" i="90"/>
  <c r="B37" i="90"/>
  <c r="G36" i="90"/>
  <c r="E36" i="90"/>
  <c r="B36" i="90"/>
  <c r="G35" i="90"/>
  <c r="E35" i="90"/>
  <c r="B35" i="90"/>
  <c r="G34" i="90"/>
  <c r="E34" i="90"/>
  <c r="B34" i="90"/>
  <c r="G28" i="90"/>
  <c r="E28" i="90"/>
  <c r="B28" i="90"/>
  <c r="G27" i="90"/>
  <c r="E27" i="90"/>
  <c r="B27" i="90"/>
  <c r="G26" i="90"/>
  <c r="E26" i="90"/>
  <c r="B26" i="90"/>
  <c r="B40" i="90" s="1"/>
  <c r="U25" i="90"/>
  <c r="L25" i="90"/>
  <c r="K69" i="90" s="1"/>
  <c r="Y23" i="90"/>
  <c r="W23" i="90"/>
  <c r="Y22" i="90"/>
  <c r="W22" i="90"/>
  <c r="C22" i="90"/>
  <c r="Y21" i="90"/>
  <c r="W21" i="90"/>
  <c r="Y20" i="90"/>
  <c r="W20" i="90"/>
  <c r="P18" i="90"/>
  <c r="N18" i="90"/>
  <c r="Y16" i="90"/>
  <c r="W16" i="90"/>
  <c r="G16" i="90"/>
  <c r="E16" i="90"/>
  <c r="B16" i="90"/>
  <c r="B22" i="90" s="1"/>
  <c r="Y15" i="90"/>
  <c r="W15" i="90"/>
  <c r="C13" i="90"/>
  <c r="G10" i="90"/>
  <c r="E10" i="90"/>
  <c r="B10" i="90"/>
  <c r="B13" i="90" s="1"/>
  <c r="G9" i="90"/>
  <c r="E9" i="90"/>
  <c r="B9" i="90"/>
  <c r="U8" i="90"/>
  <c r="P8" i="90"/>
  <c r="G8" i="90"/>
  <c r="E8" i="90"/>
  <c r="B8" i="90"/>
  <c r="Y7" i="90"/>
  <c r="P7" i="90"/>
  <c r="G7" i="90"/>
  <c r="E7" i="90"/>
  <c r="B7" i="90"/>
  <c r="Y6" i="90"/>
  <c r="W6" i="90"/>
  <c r="T6" i="90"/>
  <c r="P6" i="90"/>
  <c r="N6" i="90"/>
  <c r="G6" i="90"/>
  <c r="E6" i="90"/>
  <c r="B6" i="90"/>
  <c r="Y5" i="90"/>
  <c r="W5" i="90"/>
  <c r="T5" i="90"/>
  <c r="P5" i="90"/>
  <c r="N5" i="90"/>
  <c r="K5" i="90"/>
  <c r="K25" i="90" s="1"/>
  <c r="G5" i="90"/>
  <c r="E5" i="90"/>
  <c r="B5" i="90"/>
  <c r="Y4" i="90"/>
  <c r="W4" i="90"/>
  <c r="T4" i="90"/>
  <c r="P4" i="90"/>
  <c r="P25" i="90" s="1"/>
  <c r="N4" i="90"/>
  <c r="G4" i="90"/>
  <c r="E4" i="90"/>
  <c r="B4" i="90"/>
  <c r="N186" i="89"/>
  <c r="N185" i="89"/>
  <c r="N184" i="89"/>
  <c r="N183" i="89"/>
  <c r="N182" i="89"/>
  <c r="N181" i="89"/>
  <c r="N180" i="89"/>
  <c r="N179" i="89"/>
  <c r="N178" i="89"/>
  <c r="N177" i="89"/>
  <c r="N176" i="89"/>
  <c r="N175" i="89"/>
  <c r="N174" i="89"/>
  <c r="N173" i="89"/>
  <c r="N172" i="89"/>
  <c r="N171" i="89"/>
  <c r="N170" i="89"/>
  <c r="N169" i="89"/>
  <c r="N168" i="89"/>
  <c r="N167" i="89"/>
  <c r="N166" i="89"/>
  <c r="N165" i="89"/>
  <c r="N164" i="89"/>
  <c r="N163" i="89"/>
  <c r="N162" i="89"/>
  <c r="N161" i="89"/>
  <c r="N160" i="89"/>
  <c r="N159" i="89"/>
  <c r="N158" i="89"/>
  <c r="N157" i="89"/>
  <c r="N156" i="89"/>
  <c r="N155" i="89"/>
  <c r="N154" i="89"/>
  <c r="N153" i="89"/>
  <c r="N152" i="89"/>
  <c r="N151" i="89"/>
  <c r="N150" i="89"/>
  <c r="N149" i="89"/>
  <c r="N148" i="89"/>
  <c r="N147" i="89"/>
  <c r="N146" i="89"/>
  <c r="N145" i="89"/>
  <c r="N144" i="89"/>
  <c r="N143" i="89"/>
  <c r="N142" i="89"/>
  <c r="N141" i="89"/>
  <c r="N140" i="89"/>
  <c r="N139" i="89"/>
  <c r="D67" i="89"/>
  <c r="C65" i="89"/>
  <c r="C67" i="89" s="1"/>
  <c r="G63" i="89"/>
  <c r="G62" i="89"/>
  <c r="G61" i="89"/>
  <c r="E61" i="89"/>
  <c r="G60" i="89"/>
  <c r="E60" i="89"/>
  <c r="G59" i="89"/>
  <c r="E59" i="89"/>
  <c r="G58" i="89"/>
  <c r="E58" i="89"/>
  <c r="B58" i="89"/>
  <c r="G57" i="89"/>
  <c r="E57" i="89"/>
  <c r="B57" i="89"/>
  <c r="G56" i="89"/>
  <c r="E56" i="89"/>
  <c r="B56" i="89"/>
  <c r="B65" i="89" s="1"/>
  <c r="G55" i="89"/>
  <c r="E55" i="89"/>
  <c r="B55" i="89"/>
  <c r="G54" i="89"/>
  <c r="E54" i="89"/>
  <c r="B54" i="89"/>
  <c r="E40" i="89"/>
  <c r="C40" i="89"/>
  <c r="G38" i="89"/>
  <c r="E38" i="89"/>
  <c r="B38" i="89"/>
  <c r="G37" i="89"/>
  <c r="E37" i="89"/>
  <c r="B37" i="89"/>
  <c r="G36" i="89"/>
  <c r="E36" i="89"/>
  <c r="B36" i="89"/>
  <c r="G35" i="89"/>
  <c r="E35" i="89"/>
  <c r="B35" i="89"/>
  <c r="G34" i="89"/>
  <c r="E34" i="89"/>
  <c r="B34" i="89"/>
  <c r="G28" i="89"/>
  <c r="E28" i="89"/>
  <c r="B28" i="89"/>
  <c r="G27" i="89"/>
  <c r="E27" i="89"/>
  <c r="B27" i="89"/>
  <c r="G26" i="89"/>
  <c r="G40" i="89" s="1"/>
  <c r="E26" i="89"/>
  <c r="B26" i="89"/>
  <c r="U25" i="89"/>
  <c r="L25" i="89"/>
  <c r="K69" i="89" s="1"/>
  <c r="K25" i="89"/>
  <c r="Y23" i="89"/>
  <c r="W23" i="89"/>
  <c r="Y22" i="89"/>
  <c r="W22" i="89"/>
  <c r="C22" i="89"/>
  <c r="Y21" i="89"/>
  <c r="W21" i="89"/>
  <c r="Y20" i="89"/>
  <c r="W20" i="89"/>
  <c r="P18" i="89"/>
  <c r="N18" i="89"/>
  <c r="Y16" i="89"/>
  <c r="W16" i="89"/>
  <c r="G16" i="89"/>
  <c r="E16" i="89"/>
  <c r="B16" i="89"/>
  <c r="Y15" i="89"/>
  <c r="W15" i="89"/>
  <c r="C13" i="89"/>
  <c r="G10" i="89"/>
  <c r="E10" i="89"/>
  <c r="B10" i="89"/>
  <c r="G9" i="89"/>
  <c r="E9" i="89"/>
  <c r="B9" i="89"/>
  <c r="U8" i="89"/>
  <c r="P8" i="89"/>
  <c r="N8" i="89"/>
  <c r="G8" i="89"/>
  <c r="E8" i="89"/>
  <c r="B8" i="89"/>
  <c r="Y7" i="89"/>
  <c r="P7" i="89"/>
  <c r="N7" i="89"/>
  <c r="G7" i="89"/>
  <c r="E7" i="89"/>
  <c r="B7" i="89"/>
  <c r="Y6" i="89"/>
  <c r="W6" i="89"/>
  <c r="T6" i="89"/>
  <c r="P6" i="89"/>
  <c r="N6" i="89"/>
  <c r="G6" i="89"/>
  <c r="E6" i="89"/>
  <c r="B6" i="89"/>
  <c r="Y5" i="89"/>
  <c r="W5" i="89"/>
  <c r="T5" i="89"/>
  <c r="P5" i="89"/>
  <c r="N5" i="89"/>
  <c r="K5" i="89"/>
  <c r="G5" i="89"/>
  <c r="E5" i="89"/>
  <c r="B5" i="89"/>
  <c r="Y4" i="89"/>
  <c r="W4" i="89"/>
  <c r="T4" i="89"/>
  <c r="P4" i="89"/>
  <c r="P25" i="89" s="1"/>
  <c r="N4" i="89"/>
  <c r="E4" i="89"/>
  <c r="B4" i="89"/>
  <c r="N186" i="88"/>
  <c r="N185" i="88"/>
  <c r="N184" i="88"/>
  <c r="N183" i="88"/>
  <c r="N182" i="88"/>
  <c r="N181" i="88"/>
  <c r="N180" i="88"/>
  <c r="N179" i="88"/>
  <c r="N178" i="88"/>
  <c r="N177" i="88"/>
  <c r="N176" i="88"/>
  <c r="N175" i="88"/>
  <c r="N174" i="88"/>
  <c r="N173" i="88"/>
  <c r="N172" i="88"/>
  <c r="N171" i="88"/>
  <c r="N170" i="88"/>
  <c r="N169" i="88"/>
  <c r="N168" i="88"/>
  <c r="N167" i="88"/>
  <c r="N166" i="88"/>
  <c r="N165" i="88"/>
  <c r="N164" i="88"/>
  <c r="N163" i="88"/>
  <c r="N162" i="88"/>
  <c r="N161" i="88"/>
  <c r="N160" i="88"/>
  <c r="N159" i="88"/>
  <c r="N158" i="88"/>
  <c r="N157" i="88"/>
  <c r="N156" i="88"/>
  <c r="N155" i="88"/>
  <c r="N154" i="88"/>
  <c r="N153" i="88"/>
  <c r="N152" i="88"/>
  <c r="N151" i="88"/>
  <c r="N150" i="88"/>
  <c r="N149" i="88"/>
  <c r="N148" i="88"/>
  <c r="N147" i="88"/>
  <c r="N146" i="88"/>
  <c r="N145" i="88"/>
  <c r="N144" i="88"/>
  <c r="N143" i="88"/>
  <c r="N142" i="88"/>
  <c r="N141" i="88"/>
  <c r="N140" i="88"/>
  <c r="N139" i="88"/>
  <c r="D67" i="88"/>
  <c r="C65" i="88"/>
  <c r="C67" i="88" s="1"/>
  <c r="G63" i="88"/>
  <c r="E63" i="88"/>
  <c r="B63" i="88"/>
  <c r="G62" i="88"/>
  <c r="E62" i="88"/>
  <c r="B62" i="88"/>
  <c r="G61" i="88"/>
  <c r="E61" i="88"/>
  <c r="B61" i="88"/>
  <c r="G60" i="88"/>
  <c r="E60" i="88"/>
  <c r="B60" i="88"/>
  <c r="G59" i="88"/>
  <c r="E59" i="88"/>
  <c r="B59" i="88"/>
  <c r="G58" i="88"/>
  <c r="E58" i="88"/>
  <c r="B58" i="88"/>
  <c r="G57" i="88"/>
  <c r="E57" i="88"/>
  <c r="B57" i="88"/>
  <c r="G56" i="88"/>
  <c r="E56" i="88"/>
  <c r="B56" i="88"/>
  <c r="G55" i="88"/>
  <c r="E55" i="88"/>
  <c r="B55" i="88"/>
  <c r="G54" i="88"/>
  <c r="E54" i="88"/>
  <c r="B54" i="88"/>
  <c r="E40" i="88"/>
  <c r="C40" i="88"/>
  <c r="G38" i="88"/>
  <c r="E38" i="88"/>
  <c r="B38" i="88"/>
  <c r="G37" i="88"/>
  <c r="E37" i="88"/>
  <c r="B37" i="88"/>
  <c r="G36" i="88"/>
  <c r="E36" i="88"/>
  <c r="B36" i="88"/>
  <c r="G35" i="88"/>
  <c r="E35" i="88"/>
  <c r="B35" i="88"/>
  <c r="G34" i="88"/>
  <c r="E34" i="88"/>
  <c r="B34" i="88"/>
  <c r="G28" i="88"/>
  <c r="E28" i="88"/>
  <c r="B28" i="88"/>
  <c r="G27" i="88"/>
  <c r="E27" i="88"/>
  <c r="B27" i="88"/>
  <c r="G26" i="88"/>
  <c r="G40" i="88" s="1"/>
  <c r="E26" i="88"/>
  <c r="B26" i="88"/>
  <c r="B40" i="88" s="1"/>
  <c r="U25" i="88"/>
  <c r="L25" i="88"/>
  <c r="K69" i="88" s="1"/>
  <c r="Y23" i="88"/>
  <c r="W23" i="88"/>
  <c r="Y22" i="88"/>
  <c r="W22" i="88"/>
  <c r="C22" i="88"/>
  <c r="Y21" i="88"/>
  <c r="W21" i="88"/>
  <c r="Y20" i="88"/>
  <c r="W20" i="88"/>
  <c r="P18" i="88"/>
  <c r="N18" i="88"/>
  <c r="Y16" i="88"/>
  <c r="W16" i="88"/>
  <c r="G16" i="88"/>
  <c r="E16" i="88"/>
  <c r="B16" i="88"/>
  <c r="Y15" i="88"/>
  <c r="W15" i="88"/>
  <c r="C13" i="88"/>
  <c r="G10" i="88"/>
  <c r="E10" i="88"/>
  <c r="B10" i="88"/>
  <c r="G9" i="88"/>
  <c r="E9" i="88"/>
  <c r="B9" i="88"/>
  <c r="U8" i="88"/>
  <c r="P8" i="88"/>
  <c r="G8" i="88"/>
  <c r="E8" i="88"/>
  <c r="B8" i="88"/>
  <c r="Y7" i="88"/>
  <c r="P7" i="88"/>
  <c r="G7" i="88"/>
  <c r="E7" i="88"/>
  <c r="B7" i="88"/>
  <c r="Y6" i="88"/>
  <c r="W6" i="88"/>
  <c r="T6" i="88"/>
  <c r="P6" i="88"/>
  <c r="N6" i="88"/>
  <c r="G6" i="88"/>
  <c r="E6" i="88"/>
  <c r="B6" i="88"/>
  <c r="Y5" i="88"/>
  <c r="W5" i="88"/>
  <c r="T5" i="88"/>
  <c r="P5" i="88"/>
  <c r="N5" i="88"/>
  <c r="K5" i="88"/>
  <c r="K25" i="88" s="1"/>
  <c r="G5" i="88"/>
  <c r="E5" i="88"/>
  <c r="B5" i="88"/>
  <c r="Y4" i="88"/>
  <c r="W4" i="88"/>
  <c r="T4" i="88"/>
  <c r="P4" i="88"/>
  <c r="P25" i="88" s="1"/>
  <c r="N4" i="88"/>
  <c r="G4" i="88"/>
  <c r="E4" i="88"/>
  <c r="B4" i="88"/>
  <c r="I193" i="87"/>
  <c r="I192" i="87"/>
  <c r="I191" i="87"/>
  <c r="I190" i="87"/>
  <c r="I189" i="87"/>
  <c r="I188" i="87"/>
  <c r="I187" i="87"/>
  <c r="N186" i="87"/>
  <c r="I186" i="87"/>
  <c r="N185" i="87"/>
  <c r="N184" i="87"/>
  <c r="N183" i="87"/>
  <c r="N182" i="87"/>
  <c r="N181" i="87"/>
  <c r="N180" i="87"/>
  <c r="N179" i="87"/>
  <c r="N178" i="87"/>
  <c r="N177" i="87"/>
  <c r="N176" i="87"/>
  <c r="N175" i="87"/>
  <c r="N174" i="87"/>
  <c r="N173" i="87"/>
  <c r="N172" i="87"/>
  <c r="N171" i="87"/>
  <c r="N170" i="87"/>
  <c r="N169" i="87"/>
  <c r="N168" i="87"/>
  <c r="N167" i="87"/>
  <c r="N166" i="87"/>
  <c r="N165" i="87"/>
  <c r="N164" i="87"/>
  <c r="N163" i="87"/>
  <c r="N162" i="87"/>
  <c r="N161" i="87"/>
  <c r="N160" i="87"/>
  <c r="N159" i="87"/>
  <c r="N158" i="87"/>
  <c r="N157" i="87"/>
  <c r="N156" i="87"/>
  <c r="N155" i="87"/>
  <c r="N154" i="87"/>
  <c r="N153" i="87"/>
  <c r="N152" i="87"/>
  <c r="N151" i="87"/>
  <c r="N150" i="87"/>
  <c r="N149" i="87"/>
  <c r="N148" i="87"/>
  <c r="N147" i="87"/>
  <c r="N146" i="87"/>
  <c r="N145" i="87"/>
  <c r="N144" i="87"/>
  <c r="N143" i="87"/>
  <c r="N142" i="87"/>
  <c r="N141" i="87"/>
  <c r="N140" i="87"/>
  <c r="N139" i="87"/>
  <c r="D67" i="87"/>
  <c r="C67" i="87"/>
  <c r="C65" i="87"/>
  <c r="G63" i="87"/>
  <c r="E63" i="87"/>
  <c r="B63" i="87"/>
  <c r="G62" i="87"/>
  <c r="E62" i="87"/>
  <c r="B62" i="87"/>
  <c r="G61" i="87"/>
  <c r="E61" i="87"/>
  <c r="B61" i="87"/>
  <c r="G60" i="87"/>
  <c r="E60" i="87"/>
  <c r="B60" i="87"/>
  <c r="G59" i="87"/>
  <c r="E59" i="87"/>
  <c r="B59" i="87"/>
  <c r="G58" i="87"/>
  <c r="E58" i="87"/>
  <c r="B58" i="87"/>
  <c r="G57" i="87"/>
  <c r="E57" i="87"/>
  <c r="B57" i="87"/>
  <c r="G56" i="87"/>
  <c r="E56" i="87"/>
  <c r="B56" i="87"/>
  <c r="B65" i="87" s="1"/>
  <c r="G55" i="87"/>
  <c r="E55" i="87"/>
  <c r="B55" i="87"/>
  <c r="G54" i="87"/>
  <c r="G65" i="87" s="1"/>
  <c r="E54" i="87"/>
  <c r="B54" i="87"/>
  <c r="E40" i="87"/>
  <c r="C40" i="87"/>
  <c r="G38" i="87"/>
  <c r="E38" i="87"/>
  <c r="B38" i="87"/>
  <c r="G37" i="87"/>
  <c r="E37" i="87"/>
  <c r="B37" i="87"/>
  <c r="G36" i="87"/>
  <c r="E36" i="87"/>
  <c r="B36" i="87"/>
  <c r="G35" i="87"/>
  <c r="E35" i="87"/>
  <c r="B35" i="87"/>
  <c r="G34" i="87"/>
  <c r="E34" i="87"/>
  <c r="B34" i="87"/>
  <c r="G28" i="87"/>
  <c r="E28" i="87"/>
  <c r="B28" i="87"/>
  <c r="G27" i="87"/>
  <c r="E27" i="87"/>
  <c r="B27" i="87"/>
  <c r="G26" i="87"/>
  <c r="G40" i="87" s="1"/>
  <c r="E26" i="87"/>
  <c r="B26" i="87"/>
  <c r="B40" i="87" s="1"/>
  <c r="U25" i="87"/>
  <c r="L25" i="87"/>
  <c r="Y23" i="87"/>
  <c r="W23" i="87"/>
  <c r="Y22" i="87"/>
  <c r="W22" i="87"/>
  <c r="C22" i="87"/>
  <c r="Y21" i="87"/>
  <c r="W21" i="87"/>
  <c r="Y20" i="87"/>
  <c r="W20" i="87"/>
  <c r="N19" i="87"/>
  <c r="P18" i="87"/>
  <c r="N18" i="87"/>
  <c r="Y16" i="87"/>
  <c r="W16" i="87"/>
  <c r="G16" i="87"/>
  <c r="E16" i="87"/>
  <c r="B16" i="87"/>
  <c r="B22" i="87" s="1"/>
  <c r="Y15" i="87"/>
  <c r="W15" i="87"/>
  <c r="C13" i="87"/>
  <c r="G10" i="87"/>
  <c r="E10" i="87"/>
  <c r="B10" i="87"/>
  <c r="G9" i="87"/>
  <c r="E9" i="87"/>
  <c r="B9" i="87"/>
  <c r="U8" i="87"/>
  <c r="P8" i="87"/>
  <c r="G8" i="87"/>
  <c r="E8" i="87"/>
  <c r="B8" i="87"/>
  <c r="Y7" i="87"/>
  <c r="P7" i="87"/>
  <c r="G7" i="87"/>
  <c r="E7" i="87"/>
  <c r="B7" i="87"/>
  <c r="B13" i="87" s="1"/>
  <c r="Y6" i="87"/>
  <c r="W6" i="87"/>
  <c r="T6" i="87"/>
  <c r="P6" i="87"/>
  <c r="N6" i="87"/>
  <c r="G6" i="87"/>
  <c r="E6" i="87"/>
  <c r="B6" i="87"/>
  <c r="Y5" i="87"/>
  <c r="W5" i="87"/>
  <c r="T5" i="87"/>
  <c r="P5" i="87"/>
  <c r="N5" i="87"/>
  <c r="K25" i="87"/>
  <c r="G5" i="87"/>
  <c r="E5" i="87"/>
  <c r="B5" i="87"/>
  <c r="Y4" i="87"/>
  <c r="Y25" i="87" s="1"/>
  <c r="W4" i="87"/>
  <c r="T4" i="87"/>
  <c r="T25" i="87" s="1"/>
  <c r="P4" i="87"/>
  <c r="N4" i="87"/>
  <c r="G4" i="87"/>
  <c r="G13" i="87" s="1"/>
  <c r="G22" i="87" s="1"/>
  <c r="M70" i="87" s="1"/>
  <c r="E4" i="87"/>
  <c r="B4" i="87"/>
  <c r="Y25" i="90" l="1"/>
  <c r="T25" i="90"/>
  <c r="B65" i="90"/>
  <c r="B67" i="90" s="1"/>
  <c r="K68" i="90" s="1"/>
  <c r="G65" i="90"/>
  <c r="G40" i="90"/>
  <c r="G13" i="90"/>
  <c r="G22" i="90" s="1"/>
  <c r="Y25" i="89"/>
  <c r="K70" i="89" s="1"/>
  <c r="N70" i="89"/>
  <c r="T25" i="89"/>
  <c r="G65" i="89"/>
  <c r="B40" i="89"/>
  <c r="G13" i="89"/>
  <c r="G22" i="89" s="1"/>
  <c r="B13" i="89"/>
  <c r="B22" i="89" s="1"/>
  <c r="B67" i="89" s="1"/>
  <c r="K68" i="89" s="1"/>
  <c r="T25" i="88"/>
  <c r="Y25" i="88"/>
  <c r="B65" i="88"/>
  <c r="G65" i="88"/>
  <c r="G13" i="88"/>
  <c r="G22" i="88" s="1"/>
  <c r="B13" i="88"/>
  <c r="B22" i="88" s="1"/>
  <c r="B67" i="88" s="1"/>
  <c r="K68" i="88" s="1"/>
  <c r="G67" i="89"/>
  <c r="P25" i="87"/>
  <c r="N70" i="87" s="1"/>
  <c r="P70" i="87" s="1"/>
  <c r="K69" i="87"/>
  <c r="B67" i="87"/>
  <c r="K68" i="87" s="1"/>
  <c r="O70" i="87"/>
  <c r="G67" i="87"/>
  <c r="N186" i="86"/>
  <c r="N185" i="86"/>
  <c r="N184" i="86"/>
  <c r="N183" i="86"/>
  <c r="N182" i="86"/>
  <c r="N181" i="86"/>
  <c r="N180" i="86"/>
  <c r="N179" i="86"/>
  <c r="N178" i="86"/>
  <c r="N177" i="86"/>
  <c r="N176" i="86"/>
  <c r="N175" i="86"/>
  <c r="N174" i="86"/>
  <c r="N173" i="86"/>
  <c r="N172" i="86"/>
  <c r="N171" i="86"/>
  <c r="N170" i="86"/>
  <c r="N169" i="86"/>
  <c r="N168" i="86"/>
  <c r="N167" i="86"/>
  <c r="N166" i="86"/>
  <c r="N165" i="86"/>
  <c r="N164" i="86"/>
  <c r="N163" i="86"/>
  <c r="N162" i="86"/>
  <c r="N161" i="86"/>
  <c r="N160" i="86"/>
  <c r="N159" i="86"/>
  <c r="N158" i="86"/>
  <c r="N157" i="86"/>
  <c r="N156" i="86"/>
  <c r="N155" i="86"/>
  <c r="N154" i="86"/>
  <c r="N153" i="86"/>
  <c r="N152" i="86"/>
  <c r="N151" i="86"/>
  <c r="N150" i="86"/>
  <c r="N149" i="86"/>
  <c r="N148" i="86"/>
  <c r="N147" i="86"/>
  <c r="N146" i="86"/>
  <c r="N145" i="86"/>
  <c r="N144" i="86"/>
  <c r="N143" i="86"/>
  <c r="N142" i="86"/>
  <c r="N141" i="86"/>
  <c r="N140" i="86"/>
  <c r="N139" i="86"/>
  <c r="D67" i="86"/>
  <c r="C65" i="86"/>
  <c r="C67" i="86" s="1"/>
  <c r="G63" i="86"/>
  <c r="E63" i="86"/>
  <c r="B63" i="86"/>
  <c r="G62" i="86"/>
  <c r="E62" i="86"/>
  <c r="B62" i="86"/>
  <c r="G61" i="86"/>
  <c r="E61" i="86"/>
  <c r="B61" i="86"/>
  <c r="G60" i="86"/>
  <c r="E60" i="86"/>
  <c r="B60" i="86"/>
  <c r="G59" i="86"/>
  <c r="E59" i="86"/>
  <c r="B59" i="86"/>
  <c r="G58" i="86"/>
  <c r="E58" i="86"/>
  <c r="B58" i="86"/>
  <c r="G57" i="86"/>
  <c r="E57" i="86"/>
  <c r="B57" i="86"/>
  <c r="G56" i="86"/>
  <c r="G65" i="86" s="1"/>
  <c r="E56" i="86"/>
  <c r="B56" i="86"/>
  <c r="G55" i="86"/>
  <c r="E55" i="86"/>
  <c r="B55" i="86"/>
  <c r="G54" i="86"/>
  <c r="E54" i="86"/>
  <c r="B54" i="86"/>
  <c r="B65" i="86" s="1"/>
  <c r="B67" i="86" s="1"/>
  <c r="E40" i="86"/>
  <c r="C40" i="86"/>
  <c r="G38" i="86"/>
  <c r="E38" i="86"/>
  <c r="B38" i="86"/>
  <c r="G37" i="86"/>
  <c r="E37" i="86"/>
  <c r="B37" i="86"/>
  <c r="G36" i="86"/>
  <c r="E36" i="86"/>
  <c r="B36" i="86"/>
  <c r="G35" i="86"/>
  <c r="E35" i="86"/>
  <c r="B35" i="86"/>
  <c r="G34" i="86"/>
  <c r="G40" i="86" s="1"/>
  <c r="E34" i="86"/>
  <c r="B34" i="86"/>
  <c r="G28" i="86"/>
  <c r="E28" i="86"/>
  <c r="B28" i="86"/>
  <c r="G27" i="86"/>
  <c r="E27" i="86"/>
  <c r="B27" i="86"/>
  <c r="G26" i="86"/>
  <c r="E26" i="86"/>
  <c r="B26" i="86"/>
  <c r="B40" i="86" s="1"/>
  <c r="U25" i="86"/>
  <c r="T25" i="86"/>
  <c r="L25" i="86"/>
  <c r="K69" i="86" s="1"/>
  <c r="Y23" i="86"/>
  <c r="W23" i="86"/>
  <c r="Y22" i="86"/>
  <c r="W22" i="86"/>
  <c r="C22" i="86"/>
  <c r="Y21" i="86"/>
  <c r="W21" i="86"/>
  <c r="Y20" i="86"/>
  <c r="W20" i="86"/>
  <c r="N19" i="86"/>
  <c r="P18" i="86"/>
  <c r="N18" i="86"/>
  <c r="Y16" i="86"/>
  <c r="W16" i="86"/>
  <c r="G16" i="86"/>
  <c r="E16" i="86"/>
  <c r="B16" i="86"/>
  <c r="Y15" i="86"/>
  <c r="W15" i="86"/>
  <c r="C13" i="86"/>
  <c r="G10" i="86"/>
  <c r="E10" i="86"/>
  <c r="B10" i="86"/>
  <c r="G9" i="86"/>
  <c r="E9" i="86"/>
  <c r="B9" i="86"/>
  <c r="B13" i="86" s="1"/>
  <c r="B22" i="86" s="1"/>
  <c r="U8" i="86"/>
  <c r="P8" i="86"/>
  <c r="G8" i="86"/>
  <c r="E8" i="86"/>
  <c r="B8" i="86"/>
  <c r="Y7" i="86"/>
  <c r="P7" i="86"/>
  <c r="G7" i="86"/>
  <c r="E7" i="86"/>
  <c r="B7" i="86"/>
  <c r="Y6" i="86"/>
  <c r="W6" i="86"/>
  <c r="T6" i="86"/>
  <c r="P6" i="86"/>
  <c r="N6" i="86"/>
  <c r="G6" i="86"/>
  <c r="E6" i="86"/>
  <c r="B6" i="86"/>
  <c r="Y5" i="86"/>
  <c r="W5" i="86"/>
  <c r="T5" i="86"/>
  <c r="P5" i="86"/>
  <c r="N5" i="86"/>
  <c r="K5" i="86"/>
  <c r="K25" i="86" s="1"/>
  <c r="G5" i="86"/>
  <c r="E5" i="86"/>
  <c r="B5" i="86"/>
  <c r="Y4" i="86"/>
  <c r="Y25" i="86" s="1"/>
  <c r="W4" i="86"/>
  <c r="T4" i="86"/>
  <c r="P4" i="86"/>
  <c r="N4" i="86"/>
  <c r="G4" i="86"/>
  <c r="G13" i="86" s="1"/>
  <c r="G22" i="86" s="1"/>
  <c r="M70" i="86" s="1"/>
  <c r="E4" i="86"/>
  <c r="B4" i="86"/>
  <c r="T26" i="83"/>
  <c r="U26" i="83"/>
  <c r="W21" i="83"/>
  <c r="M70" i="85"/>
  <c r="O70" i="85"/>
  <c r="N186" i="85"/>
  <c r="N185" i="85"/>
  <c r="N184" i="85"/>
  <c r="N183" i="85"/>
  <c r="N182" i="85"/>
  <c r="N181" i="85"/>
  <c r="N180" i="85"/>
  <c r="N179" i="85"/>
  <c r="N178" i="85"/>
  <c r="N177" i="85"/>
  <c r="N176" i="85"/>
  <c r="N175" i="85"/>
  <c r="N174" i="85"/>
  <c r="N173" i="85"/>
  <c r="N172" i="85"/>
  <c r="N171" i="85"/>
  <c r="N170" i="85"/>
  <c r="N169" i="85"/>
  <c r="N168" i="85"/>
  <c r="N167" i="85"/>
  <c r="N166" i="85"/>
  <c r="N165" i="85"/>
  <c r="N164" i="85"/>
  <c r="N163" i="85"/>
  <c r="N162" i="85"/>
  <c r="N161" i="85"/>
  <c r="N160" i="85"/>
  <c r="N159" i="85"/>
  <c r="N158" i="85"/>
  <c r="N157" i="85"/>
  <c r="N156" i="85"/>
  <c r="N155" i="85"/>
  <c r="N154" i="85"/>
  <c r="N153" i="85"/>
  <c r="N152" i="85"/>
  <c r="N151" i="85"/>
  <c r="N150" i="85"/>
  <c r="N149" i="85"/>
  <c r="N148" i="85"/>
  <c r="N147" i="85"/>
  <c r="N146" i="85"/>
  <c r="N145" i="85"/>
  <c r="N144" i="85"/>
  <c r="N143" i="85"/>
  <c r="N142" i="85"/>
  <c r="N141" i="85"/>
  <c r="N140" i="85"/>
  <c r="N139" i="85"/>
  <c r="D67" i="85"/>
  <c r="C65" i="85"/>
  <c r="C67" i="85" s="1"/>
  <c r="G63" i="85"/>
  <c r="E63" i="85"/>
  <c r="B63" i="85"/>
  <c r="G62" i="85"/>
  <c r="E62" i="85"/>
  <c r="B62" i="85"/>
  <c r="G61" i="85"/>
  <c r="E61" i="85"/>
  <c r="B61" i="85"/>
  <c r="G60" i="85"/>
  <c r="E60" i="85"/>
  <c r="B60" i="85"/>
  <c r="G59" i="85"/>
  <c r="E59" i="85"/>
  <c r="B59" i="85"/>
  <c r="G58" i="85"/>
  <c r="E58" i="85"/>
  <c r="B58" i="85"/>
  <c r="G57" i="85"/>
  <c r="E57" i="85"/>
  <c r="B57" i="85"/>
  <c r="G56" i="85"/>
  <c r="E56" i="85"/>
  <c r="B56" i="85"/>
  <c r="G55" i="85"/>
  <c r="E55" i="85"/>
  <c r="B55" i="85"/>
  <c r="G54" i="85"/>
  <c r="G65" i="85" s="1"/>
  <c r="E54" i="85"/>
  <c r="B54" i="85"/>
  <c r="B65" i="85" s="1"/>
  <c r="B67" i="85" s="1"/>
  <c r="E40" i="85"/>
  <c r="C40" i="85"/>
  <c r="G38" i="85"/>
  <c r="E38" i="85"/>
  <c r="B38" i="85"/>
  <c r="G37" i="85"/>
  <c r="E37" i="85"/>
  <c r="B37" i="85"/>
  <c r="G36" i="85"/>
  <c r="E36" i="85"/>
  <c r="B36" i="85"/>
  <c r="G35" i="85"/>
  <c r="E35" i="85"/>
  <c r="B35" i="85"/>
  <c r="G34" i="85"/>
  <c r="E34" i="85"/>
  <c r="B34" i="85"/>
  <c r="G28" i="85"/>
  <c r="E28" i="85"/>
  <c r="B28" i="85"/>
  <c r="G27" i="85"/>
  <c r="E27" i="85"/>
  <c r="B27" i="85"/>
  <c r="G26" i="85"/>
  <c r="G40" i="85" s="1"/>
  <c r="E26" i="85"/>
  <c r="B26" i="85"/>
  <c r="B40" i="85" s="1"/>
  <c r="U25" i="85"/>
  <c r="L25" i="85"/>
  <c r="K69" i="85" s="1"/>
  <c r="Y23" i="85"/>
  <c r="W23" i="85"/>
  <c r="Y22" i="85"/>
  <c r="W22" i="85"/>
  <c r="C22" i="85"/>
  <c r="Y21" i="85"/>
  <c r="W21" i="85"/>
  <c r="Y20" i="85"/>
  <c r="W20" i="85"/>
  <c r="N19" i="85"/>
  <c r="P18" i="85"/>
  <c r="N18" i="85"/>
  <c r="Y16" i="85"/>
  <c r="W16" i="85"/>
  <c r="G16" i="85"/>
  <c r="E16" i="85"/>
  <c r="B16" i="85"/>
  <c r="B22" i="85" s="1"/>
  <c r="Y15" i="85"/>
  <c r="W15" i="85"/>
  <c r="C13" i="85"/>
  <c r="G10" i="85"/>
  <c r="E10" i="85"/>
  <c r="B10" i="85"/>
  <c r="B13" i="85" s="1"/>
  <c r="G9" i="85"/>
  <c r="E9" i="85"/>
  <c r="B9" i="85"/>
  <c r="U8" i="85"/>
  <c r="P8" i="85"/>
  <c r="G8" i="85"/>
  <c r="E8" i="85"/>
  <c r="B8" i="85"/>
  <c r="Y7" i="85"/>
  <c r="P7" i="85"/>
  <c r="G7" i="85"/>
  <c r="E7" i="85"/>
  <c r="B7" i="85"/>
  <c r="Y6" i="85"/>
  <c r="W6" i="85"/>
  <c r="T6" i="85"/>
  <c r="P6" i="85"/>
  <c r="N6" i="85"/>
  <c r="G6" i="85"/>
  <c r="E6" i="85"/>
  <c r="B6" i="85"/>
  <c r="Y5" i="85"/>
  <c r="W5" i="85"/>
  <c r="T5" i="85"/>
  <c r="P5" i="85"/>
  <c r="N5" i="85"/>
  <c r="K5" i="85"/>
  <c r="K25" i="85" s="1"/>
  <c r="G5" i="85"/>
  <c r="E5" i="85"/>
  <c r="B5" i="85"/>
  <c r="Y4" i="85"/>
  <c r="Y25" i="85" s="1"/>
  <c r="W4" i="85"/>
  <c r="T4" i="85"/>
  <c r="T25" i="85" s="1"/>
  <c r="P4" i="85"/>
  <c r="N4" i="85"/>
  <c r="G4" i="85"/>
  <c r="G13" i="85" s="1"/>
  <c r="G22" i="85" s="1"/>
  <c r="E4" i="85"/>
  <c r="B4" i="85"/>
  <c r="N186" i="84"/>
  <c r="N185" i="84"/>
  <c r="N184" i="84"/>
  <c r="N183" i="84"/>
  <c r="N182" i="84"/>
  <c r="N181" i="84"/>
  <c r="N180" i="84"/>
  <c r="N179" i="84"/>
  <c r="N178" i="84"/>
  <c r="N177" i="84"/>
  <c r="N176" i="84"/>
  <c r="N175" i="84"/>
  <c r="N174" i="84"/>
  <c r="N173" i="84"/>
  <c r="N172" i="84"/>
  <c r="N171" i="84"/>
  <c r="N170" i="84"/>
  <c r="N169" i="84"/>
  <c r="N168" i="84"/>
  <c r="N167" i="84"/>
  <c r="N166" i="84"/>
  <c r="N165" i="84"/>
  <c r="N164" i="84"/>
  <c r="N163" i="84"/>
  <c r="N162" i="84"/>
  <c r="N161" i="84"/>
  <c r="N160" i="84"/>
  <c r="N159" i="84"/>
  <c r="N158" i="84"/>
  <c r="N157" i="84"/>
  <c r="N156" i="84"/>
  <c r="N155" i="84"/>
  <c r="N154" i="84"/>
  <c r="N153" i="84"/>
  <c r="N152" i="84"/>
  <c r="N151" i="84"/>
  <c r="N150" i="84"/>
  <c r="N149" i="84"/>
  <c r="N148" i="84"/>
  <c r="N147" i="84"/>
  <c r="N146" i="84"/>
  <c r="N145" i="84"/>
  <c r="N144" i="84"/>
  <c r="N143" i="84"/>
  <c r="N142" i="84"/>
  <c r="N141" i="84"/>
  <c r="N140" i="84"/>
  <c r="N139" i="84"/>
  <c r="D67" i="84"/>
  <c r="C65" i="84"/>
  <c r="G63" i="84"/>
  <c r="E63" i="84"/>
  <c r="B63" i="84"/>
  <c r="G62" i="84"/>
  <c r="E62" i="84"/>
  <c r="B62" i="84"/>
  <c r="G61" i="84"/>
  <c r="E61" i="84"/>
  <c r="B61" i="84"/>
  <c r="G60" i="84"/>
  <c r="E60" i="84"/>
  <c r="B60" i="84"/>
  <c r="G59" i="84"/>
  <c r="E59" i="84"/>
  <c r="B59" i="84"/>
  <c r="G58" i="84"/>
  <c r="E58" i="84"/>
  <c r="B58" i="84"/>
  <c r="G57" i="84"/>
  <c r="E57" i="84"/>
  <c r="B57" i="84"/>
  <c r="G56" i="84"/>
  <c r="E56" i="84"/>
  <c r="B56" i="84"/>
  <c r="G55" i="84"/>
  <c r="E55" i="84"/>
  <c r="B55" i="84"/>
  <c r="G54" i="84"/>
  <c r="G65" i="84" s="1"/>
  <c r="E54" i="84"/>
  <c r="B54" i="84"/>
  <c r="B65" i="84" s="1"/>
  <c r="B67" i="84" s="1"/>
  <c r="E40" i="84"/>
  <c r="C40" i="84"/>
  <c r="C67" i="84" s="1"/>
  <c r="G38" i="84"/>
  <c r="E38" i="84"/>
  <c r="B38" i="84"/>
  <c r="G37" i="84"/>
  <c r="E37" i="84"/>
  <c r="B37" i="84"/>
  <c r="G36" i="84"/>
  <c r="E36" i="84"/>
  <c r="B36" i="84"/>
  <c r="G35" i="84"/>
  <c r="E35" i="84"/>
  <c r="B35" i="84"/>
  <c r="G34" i="84"/>
  <c r="E34" i="84"/>
  <c r="B34" i="84"/>
  <c r="G28" i="84"/>
  <c r="E28" i="84"/>
  <c r="B28" i="84"/>
  <c r="G27" i="84"/>
  <c r="E27" i="84"/>
  <c r="B27" i="84"/>
  <c r="G26" i="84"/>
  <c r="G40" i="84" s="1"/>
  <c r="E26" i="84"/>
  <c r="B26" i="84"/>
  <c r="B40" i="84" s="1"/>
  <c r="U25" i="84"/>
  <c r="L25" i="84"/>
  <c r="K69" i="84" s="1"/>
  <c r="Y23" i="84"/>
  <c r="W23" i="84"/>
  <c r="Y22" i="84"/>
  <c r="W22" i="84"/>
  <c r="C22" i="84"/>
  <c r="Y21" i="84"/>
  <c r="W21" i="84"/>
  <c r="Y20" i="84"/>
  <c r="W20" i="84"/>
  <c r="N19" i="84"/>
  <c r="P18" i="84"/>
  <c r="N18" i="84"/>
  <c r="Y16" i="84"/>
  <c r="W16" i="84"/>
  <c r="G16" i="84"/>
  <c r="E16" i="84"/>
  <c r="B16" i="84"/>
  <c r="B22" i="84" s="1"/>
  <c r="Y15" i="84"/>
  <c r="W15" i="84"/>
  <c r="C13" i="84"/>
  <c r="G10" i="84"/>
  <c r="E10" i="84"/>
  <c r="B10" i="84"/>
  <c r="B13" i="84" s="1"/>
  <c r="G9" i="84"/>
  <c r="E9" i="84"/>
  <c r="B9" i="84"/>
  <c r="U8" i="84"/>
  <c r="P8" i="84"/>
  <c r="G8" i="84"/>
  <c r="E8" i="84"/>
  <c r="B8" i="84"/>
  <c r="Y7" i="84"/>
  <c r="P7" i="84"/>
  <c r="G7" i="84"/>
  <c r="E7" i="84"/>
  <c r="B7" i="84"/>
  <c r="Y6" i="84"/>
  <c r="W6" i="84"/>
  <c r="T6" i="84"/>
  <c r="P6" i="84"/>
  <c r="N6" i="84"/>
  <c r="G6" i="84"/>
  <c r="E6" i="84"/>
  <c r="B6" i="84"/>
  <c r="Y5" i="84"/>
  <c r="W5" i="84"/>
  <c r="T5" i="84"/>
  <c r="P5" i="84"/>
  <c r="N5" i="84"/>
  <c r="K5" i="84"/>
  <c r="K25" i="84" s="1"/>
  <c r="G5" i="84"/>
  <c r="E5" i="84"/>
  <c r="B5" i="84"/>
  <c r="Y4" i="84"/>
  <c r="Y25" i="84" s="1"/>
  <c r="W4" i="84"/>
  <c r="T4" i="84"/>
  <c r="T25" i="84" s="1"/>
  <c r="P4" i="84"/>
  <c r="N4" i="84"/>
  <c r="G4" i="84"/>
  <c r="G13" i="84" s="1"/>
  <c r="G22" i="84" s="1"/>
  <c r="E4" i="84"/>
  <c r="B4" i="84"/>
  <c r="N187" i="83"/>
  <c r="N186" i="83"/>
  <c r="N185" i="83"/>
  <c r="N184" i="83"/>
  <c r="N183" i="83"/>
  <c r="N182" i="83"/>
  <c r="N181" i="83"/>
  <c r="N180" i="83"/>
  <c r="N179" i="83"/>
  <c r="N178" i="83"/>
  <c r="N177" i="83"/>
  <c r="N176" i="83"/>
  <c r="N175" i="83"/>
  <c r="N174" i="83"/>
  <c r="N173" i="83"/>
  <c r="N172" i="83"/>
  <c r="N171" i="83"/>
  <c r="N170" i="83"/>
  <c r="N169" i="83"/>
  <c r="N168" i="83"/>
  <c r="N167" i="83"/>
  <c r="N166" i="83"/>
  <c r="N165" i="83"/>
  <c r="N164" i="83"/>
  <c r="N163" i="83"/>
  <c r="N162" i="83"/>
  <c r="N161" i="83"/>
  <c r="N160" i="83"/>
  <c r="N159" i="83"/>
  <c r="N158" i="83"/>
  <c r="N157" i="83"/>
  <c r="N156" i="83"/>
  <c r="N155" i="83"/>
  <c r="N154" i="83"/>
  <c r="N153" i="83"/>
  <c r="N152" i="83"/>
  <c r="N151" i="83"/>
  <c r="N150" i="83"/>
  <c r="N149" i="83"/>
  <c r="N148" i="83"/>
  <c r="N147" i="83"/>
  <c r="N146" i="83"/>
  <c r="N145" i="83"/>
  <c r="N144" i="83"/>
  <c r="N143" i="83"/>
  <c r="N142" i="83"/>
  <c r="N141" i="83"/>
  <c r="N140" i="83"/>
  <c r="D68" i="83"/>
  <c r="C66" i="83"/>
  <c r="B66" i="83"/>
  <c r="G64" i="83"/>
  <c r="G63" i="83"/>
  <c r="G62" i="83"/>
  <c r="G61" i="83"/>
  <c r="G60" i="83"/>
  <c r="G59" i="83"/>
  <c r="G58" i="83"/>
  <c r="G57" i="83"/>
  <c r="G56" i="83"/>
  <c r="E56" i="83"/>
  <c r="B56" i="83"/>
  <c r="G55" i="83"/>
  <c r="G66" i="83" s="1"/>
  <c r="E55" i="83"/>
  <c r="B55" i="83"/>
  <c r="E41" i="83"/>
  <c r="C41" i="83"/>
  <c r="G39" i="83"/>
  <c r="G38" i="83"/>
  <c r="G37" i="83"/>
  <c r="E37" i="83"/>
  <c r="B37" i="83"/>
  <c r="G36" i="83"/>
  <c r="E36" i="83"/>
  <c r="B36" i="83"/>
  <c r="G35" i="83"/>
  <c r="E35" i="83"/>
  <c r="B35" i="83"/>
  <c r="G29" i="83"/>
  <c r="E29" i="83"/>
  <c r="B29" i="83"/>
  <c r="G28" i="83"/>
  <c r="E28" i="83"/>
  <c r="B28" i="83"/>
  <c r="G27" i="83"/>
  <c r="G41" i="83" s="1"/>
  <c r="N71" i="83" s="1"/>
  <c r="E27" i="83"/>
  <c r="B27" i="83"/>
  <c r="B41" i="83" s="1"/>
  <c r="L26" i="83"/>
  <c r="Y23" i="83"/>
  <c r="W23" i="83"/>
  <c r="C23" i="83"/>
  <c r="C68" i="83" s="1"/>
  <c r="Y22" i="83"/>
  <c r="W22" i="83"/>
  <c r="Y20" i="83"/>
  <c r="W20" i="83"/>
  <c r="P20" i="83"/>
  <c r="N20" i="83"/>
  <c r="K20" i="83"/>
  <c r="K26" i="83" s="1"/>
  <c r="P19" i="83"/>
  <c r="N19" i="83"/>
  <c r="K19" i="83"/>
  <c r="P18" i="83"/>
  <c r="N18" i="83"/>
  <c r="K18" i="83"/>
  <c r="Y16" i="83"/>
  <c r="W16" i="83"/>
  <c r="G16" i="83"/>
  <c r="Y15" i="83"/>
  <c r="W15" i="83"/>
  <c r="G13" i="83"/>
  <c r="G23" i="83" s="1"/>
  <c r="M71" i="83" s="1"/>
  <c r="P71" i="83" s="1"/>
  <c r="C13" i="83"/>
  <c r="G10" i="83"/>
  <c r="G9" i="83"/>
  <c r="E9" i="83"/>
  <c r="B9" i="83"/>
  <c r="U8" i="83"/>
  <c r="P8" i="83"/>
  <c r="G8" i="83"/>
  <c r="E8" i="83"/>
  <c r="B8" i="83"/>
  <c r="B13" i="83" s="1"/>
  <c r="B23" i="83" s="1"/>
  <c r="Y7" i="83"/>
  <c r="P7" i="83"/>
  <c r="G7" i="83"/>
  <c r="E7" i="83"/>
  <c r="B7" i="83"/>
  <c r="Y6" i="83"/>
  <c r="W6" i="83"/>
  <c r="T6" i="83"/>
  <c r="P6" i="83"/>
  <c r="N6" i="83"/>
  <c r="G6" i="83"/>
  <c r="E6" i="83"/>
  <c r="B6" i="83"/>
  <c r="Y5" i="83"/>
  <c r="W5" i="83"/>
  <c r="T5" i="83"/>
  <c r="P5" i="83"/>
  <c r="N5" i="83"/>
  <c r="G5" i="83"/>
  <c r="E5" i="83"/>
  <c r="B5" i="83"/>
  <c r="Y4" i="83"/>
  <c r="Y26" i="83" s="1"/>
  <c r="W4" i="83"/>
  <c r="T4" i="83"/>
  <c r="P4" i="83"/>
  <c r="N4" i="83"/>
  <c r="G4" i="83"/>
  <c r="E4" i="83"/>
  <c r="B4" i="83"/>
  <c r="P70" i="90" l="1"/>
  <c r="G67" i="90"/>
  <c r="P70" i="89"/>
  <c r="G67" i="88"/>
  <c r="P70" i="88"/>
  <c r="K70" i="87"/>
  <c r="P25" i="86"/>
  <c r="N70" i="86"/>
  <c r="K68" i="86"/>
  <c r="O70" i="86"/>
  <c r="G67" i="86"/>
  <c r="K70" i="86" s="1"/>
  <c r="P70" i="86"/>
  <c r="P26" i="83"/>
  <c r="K70" i="83"/>
  <c r="P25" i="85"/>
  <c r="G67" i="85"/>
  <c r="K68" i="85"/>
  <c r="N70" i="84"/>
  <c r="P25" i="84"/>
  <c r="M70" i="84"/>
  <c r="K68" i="84"/>
  <c r="O70" i="84"/>
  <c r="G67" i="84"/>
  <c r="K70" i="84" s="1"/>
  <c r="P70" i="84"/>
  <c r="G68" i="83"/>
  <c r="K71" i="83" s="1"/>
  <c r="O71" i="83"/>
  <c r="B68" i="83"/>
  <c r="K69" i="83"/>
  <c r="N186" i="82"/>
  <c r="N185" i="82"/>
  <c r="N184" i="82"/>
  <c r="N183" i="82"/>
  <c r="N182" i="82"/>
  <c r="N181" i="82"/>
  <c r="N180" i="82"/>
  <c r="N179" i="82"/>
  <c r="N178" i="82"/>
  <c r="N177" i="82"/>
  <c r="N176" i="82"/>
  <c r="N175" i="82"/>
  <c r="N174" i="82"/>
  <c r="N173" i="82"/>
  <c r="N172" i="82"/>
  <c r="N171" i="82"/>
  <c r="N170" i="82"/>
  <c r="N169" i="82"/>
  <c r="N168" i="82"/>
  <c r="N167" i="82"/>
  <c r="N166" i="82"/>
  <c r="N165" i="82"/>
  <c r="N164" i="82"/>
  <c r="N163" i="82"/>
  <c r="N162" i="82"/>
  <c r="N161" i="82"/>
  <c r="N160" i="82"/>
  <c r="N159" i="82"/>
  <c r="N158" i="82"/>
  <c r="N157" i="82"/>
  <c r="N156" i="82"/>
  <c r="N155" i="82"/>
  <c r="N154" i="82"/>
  <c r="N153" i="82"/>
  <c r="N152" i="82"/>
  <c r="N151" i="82"/>
  <c r="N150" i="82"/>
  <c r="N149" i="82"/>
  <c r="N148" i="82"/>
  <c r="N147" i="82"/>
  <c r="N146" i="82"/>
  <c r="N145" i="82"/>
  <c r="N144" i="82"/>
  <c r="N143" i="82"/>
  <c r="N142" i="82"/>
  <c r="N141" i="82"/>
  <c r="N140" i="82"/>
  <c r="N139" i="82"/>
  <c r="D67" i="82"/>
  <c r="C65" i="82"/>
  <c r="G63" i="82"/>
  <c r="E63" i="82"/>
  <c r="B63" i="82"/>
  <c r="G62" i="82"/>
  <c r="E62" i="82"/>
  <c r="B62" i="82"/>
  <c r="G61" i="82"/>
  <c r="E61" i="82"/>
  <c r="B61" i="82"/>
  <c r="G60" i="82"/>
  <c r="E60" i="82"/>
  <c r="B60" i="82"/>
  <c r="G59" i="82"/>
  <c r="E59" i="82"/>
  <c r="B59" i="82"/>
  <c r="G58" i="82"/>
  <c r="E58" i="82"/>
  <c r="B58" i="82"/>
  <c r="G57" i="82"/>
  <c r="E57" i="82"/>
  <c r="B57" i="82"/>
  <c r="G56" i="82"/>
  <c r="G65" i="82" s="1"/>
  <c r="E56" i="82"/>
  <c r="B56" i="82"/>
  <c r="G55" i="82"/>
  <c r="E55" i="82"/>
  <c r="B55" i="82"/>
  <c r="G54" i="82"/>
  <c r="E54" i="82"/>
  <c r="B54" i="82"/>
  <c r="B65" i="82" s="1"/>
  <c r="E40" i="82"/>
  <c r="C40" i="82"/>
  <c r="C67" i="82" s="1"/>
  <c r="G38" i="82"/>
  <c r="E38" i="82"/>
  <c r="B38" i="82"/>
  <c r="G37" i="82"/>
  <c r="E37" i="82"/>
  <c r="B37" i="82"/>
  <c r="G36" i="82"/>
  <c r="E36" i="82"/>
  <c r="B36" i="82"/>
  <c r="G35" i="82"/>
  <c r="E35" i="82"/>
  <c r="B35" i="82"/>
  <c r="G34" i="82"/>
  <c r="E34" i="82"/>
  <c r="B34" i="82"/>
  <c r="G28" i="82"/>
  <c r="E28" i="82"/>
  <c r="B28" i="82"/>
  <c r="G27" i="82"/>
  <c r="E27" i="82"/>
  <c r="B27" i="82"/>
  <c r="G26" i="82"/>
  <c r="G40" i="82" s="1"/>
  <c r="N70" i="82" s="1"/>
  <c r="E26" i="82"/>
  <c r="B26" i="82"/>
  <c r="B40" i="82" s="1"/>
  <c r="U25" i="82"/>
  <c r="L25" i="82"/>
  <c r="Y23" i="82"/>
  <c r="W23" i="82"/>
  <c r="Y22" i="82"/>
  <c r="W22" i="82"/>
  <c r="C22" i="82"/>
  <c r="Y21" i="82"/>
  <c r="W21" i="82"/>
  <c r="Y20" i="82"/>
  <c r="W20" i="82"/>
  <c r="N19" i="82"/>
  <c r="P18" i="82"/>
  <c r="P25" i="82" s="1"/>
  <c r="N18" i="82"/>
  <c r="Y16" i="82"/>
  <c r="W16" i="82"/>
  <c r="G16" i="82"/>
  <c r="E16" i="82"/>
  <c r="B16" i="82"/>
  <c r="Y15" i="82"/>
  <c r="W15" i="82"/>
  <c r="C13" i="82"/>
  <c r="G10" i="82"/>
  <c r="E10" i="82"/>
  <c r="B10" i="82"/>
  <c r="B13" i="82" s="1"/>
  <c r="G9" i="82"/>
  <c r="E9" i="82"/>
  <c r="B9" i="82"/>
  <c r="U8" i="82"/>
  <c r="P8" i="82"/>
  <c r="G8" i="82"/>
  <c r="E8" i="82"/>
  <c r="B8" i="82"/>
  <c r="Y7" i="82"/>
  <c r="P7" i="82"/>
  <c r="G7" i="82"/>
  <c r="E7" i="82"/>
  <c r="B7" i="82"/>
  <c r="Y6" i="82"/>
  <c r="W6" i="82"/>
  <c r="T6" i="82"/>
  <c r="P6" i="82"/>
  <c r="N6" i="82"/>
  <c r="G6" i="82"/>
  <c r="E6" i="82"/>
  <c r="B6" i="82"/>
  <c r="Y5" i="82"/>
  <c r="W5" i="82"/>
  <c r="T5" i="82"/>
  <c r="P5" i="82"/>
  <c r="N5" i="82"/>
  <c r="K5" i="82"/>
  <c r="K25" i="82" s="1"/>
  <c r="G5" i="82"/>
  <c r="E5" i="82"/>
  <c r="B5" i="82"/>
  <c r="Y4" i="82"/>
  <c r="Y25" i="82" s="1"/>
  <c r="W4" i="82"/>
  <c r="T4" i="82"/>
  <c r="T25" i="82" s="1"/>
  <c r="P4" i="82"/>
  <c r="N4" i="82"/>
  <c r="G4" i="82"/>
  <c r="G13" i="82" s="1"/>
  <c r="G22" i="82" s="1"/>
  <c r="E4" i="82"/>
  <c r="B4" i="82"/>
  <c r="K70" i="85" l="1"/>
  <c r="N70" i="85"/>
  <c r="P70" i="85" s="1"/>
  <c r="M70" i="82"/>
  <c r="O70" i="82"/>
  <c r="G67" i="82"/>
  <c r="K70" i="82" s="1"/>
  <c r="P70" i="82"/>
  <c r="B22" i="82"/>
  <c r="B67" i="82" s="1"/>
  <c r="K68" i="82" s="1"/>
  <c r="K69" i="82"/>
  <c r="U25" i="81"/>
  <c r="T25" i="81"/>
  <c r="K25" i="81" l="1"/>
  <c r="K69" i="81"/>
  <c r="P25" i="81"/>
  <c r="N19" i="81"/>
  <c r="N18" i="81"/>
  <c r="N6" i="81"/>
  <c r="N186" i="81"/>
  <c r="N185" i="81"/>
  <c r="N184" i="81"/>
  <c r="N183" i="81"/>
  <c r="N182" i="81"/>
  <c r="N181" i="81"/>
  <c r="N180" i="81"/>
  <c r="N179" i="81"/>
  <c r="N178" i="81"/>
  <c r="N177" i="81"/>
  <c r="N176" i="81"/>
  <c r="N175" i="81"/>
  <c r="N174" i="81"/>
  <c r="N173" i="81"/>
  <c r="N172" i="81"/>
  <c r="N171" i="81"/>
  <c r="N170" i="81"/>
  <c r="N169" i="81"/>
  <c r="N168" i="81"/>
  <c r="N167" i="81"/>
  <c r="N166" i="81"/>
  <c r="N165" i="81"/>
  <c r="N164" i="81"/>
  <c r="N163" i="81"/>
  <c r="N162" i="81"/>
  <c r="N161" i="81"/>
  <c r="N160" i="81"/>
  <c r="N159" i="81"/>
  <c r="N158" i="81"/>
  <c r="N157" i="81"/>
  <c r="N156" i="81"/>
  <c r="N155" i="81"/>
  <c r="N154" i="81"/>
  <c r="N153" i="81"/>
  <c r="N152" i="81"/>
  <c r="N151" i="81"/>
  <c r="N150" i="81"/>
  <c r="N149" i="81"/>
  <c r="N148" i="81"/>
  <c r="N147" i="81"/>
  <c r="N146" i="81"/>
  <c r="N145" i="81"/>
  <c r="N144" i="81"/>
  <c r="N143" i="81"/>
  <c r="N142" i="81"/>
  <c r="N141" i="81"/>
  <c r="N140" i="81"/>
  <c r="N139" i="81"/>
  <c r="D67" i="81"/>
  <c r="C65" i="81"/>
  <c r="C67" i="81" s="1"/>
  <c r="G63" i="81"/>
  <c r="E63" i="81"/>
  <c r="B63" i="81"/>
  <c r="G62" i="81"/>
  <c r="E62" i="81"/>
  <c r="B62" i="81"/>
  <c r="G61" i="81"/>
  <c r="E61" i="81"/>
  <c r="B61" i="81"/>
  <c r="G60" i="81"/>
  <c r="E60" i="81"/>
  <c r="B60" i="81"/>
  <c r="G59" i="81"/>
  <c r="E59" i="81"/>
  <c r="B59" i="81"/>
  <c r="G58" i="81"/>
  <c r="E58" i="81"/>
  <c r="B58" i="81"/>
  <c r="G57" i="81"/>
  <c r="E57" i="81"/>
  <c r="B57" i="81"/>
  <c r="G56" i="81"/>
  <c r="E56" i="81"/>
  <c r="B56" i="81"/>
  <c r="G55" i="81"/>
  <c r="E55" i="81"/>
  <c r="B55" i="81"/>
  <c r="G54" i="81"/>
  <c r="G65" i="81" s="1"/>
  <c r="E54" i="81"/>
  <c r="B54" i="81"/>
  <c r="B65" i="81" s="1"/>
  <c r="E40" i="81"/>
  <c r="C40" i="81"/>
  <c r="G38" i="81"/>
  <c r="E38" i="81"/>
  <c r="B38" i="81"/>
  <c r="G37" i="81"/>
  <c r="E37" i="81"/>
  <c r="B37" i="81"/>
  <c r="G36" i="81"/>
  <c r="E36" i="81"/>
  <c r="B36" i="81"/>
  <c r="G35" i="81"/>
  <c r="E35" i="81"/>
  <c r="B35" i="81"/>
  <c r="G34" i="81"/>
  <c r="G40" i="81" s="1"/>
  <c r="E34" i="81"/>
  <c r="B34" i="81"/>
  <c r="G28" i="81"/>
  <c r="E28" i="81"/>
  <c r="B28" i="81"/>
  <c r="G27" i="81"/>
  <c r="E27" i="81"/>
  <c r="B27" i="81"/>
  <c r="G26" i="81"/>
  <c r="E26" i="81"/>
  <c r="B26" i="81"/>
  <c r="B40" i="81" s="1"/>
  <c r="L25" i="81"/>
  <c r="Y23" i="81"/>
  <c r="W23" i="81"/>
  <c r="Y22" i="81"/>
  <c r="W22" i="81"/>
  <c r="C22" i="81"/>
  <c r="Y21" i="81"/>
  <c r="W21" i="81"/>
  <c r="Y20" i="81"/>
  <c r="W20" i="81"/>
  <c r="P18" i="81"/>
  <c r="Y16" i="81"/>
  <c r="W16" i="81"/>
  <c r="G16" i="81"/>
  <c r="E16" i="81"/>
  <c r="B16" i="81"/>
  <c r="Y15" i="81"/>
  <c r="W15" i="81"/>
  <c r="C13" i="81"/>
  <c r="G10" i="81"/>
  <c r="E10" i="81"/>
  <c r="B10" i="81"/>
  <c r="G9" i="81"/>
  <c r="E9" i="81"/>
  <c r="B9" i="81"/>
  <c r="U8" i="81"/>
  <c r="P8" i="81"/>
  <c r="G8" i="81"/>
  <c r="E8" i="81"/>
  <c r="B8" i="81"/>
  <c r="Y7" i="81"/>
  <c r="P7" i="81"/>
  <c r="G7" i="81"/>
  <c r="E7" i="81"/>
  <c r="B7" i="81"/>
  <c r="Y6" i="81"/>
  <c r="W6" i="81"/>
  <c r="T6" i="81"/>
  <c r="P6" i="81"/>
  <c r="G6" i="81"/>
  <c r="E6" i="81"/>
  <c r="B6" i="81"/>
  <c r="Y5" i="81"/>
  <c r="W5" i="81"/>
  <c r="T5" i="81"/>
  <c r="P5" i="81"/>
  <c r="N5" i="81"/>
  <c r="K5" i="81"/>
  <c r="G5" i="81"/>
  <c r="E5" i="81"/>
  <c r="B5" i="81"/>
  <c r="Y4" i="81"/>
  <c r="Y25" i="81" s="1"/>
  <c r="W4" i="81"/>
  <c r="T4" i="81"/>
  <c r="P4" i="81"/>
  <c r="N4" i="81"/>
  <c r="G4" i="81"/>
  <c r="E4" i="81"/>
  <c r="B4" i="81"/>
  <c r="N70" i="80"/>
  <c r="N186" i="80"/>
  <c r="N185" i="80"/>
  <c r="N184" i="80"/>
  <c r="N183" i="80"/>
  <c r="N182" i="80"/>
  <c r="N181" i="80"/>
  <c r="N180" i="80"/>
  <c r="N179" i="80"/>
  <c r="N178" i="80"/>
  <c r="N177" i="80"/>
  <c r="N176" i="80"/>
  <c r="N175" i="80"/>
  <c r="N174" i="80"/>
  <c r="N173" i="80"/>
  <c r="N172" i="80"/>
  <c r="N171" i="80"/>
  <c r="N170" i="80"/>
  <c r="N169" i="80"/>
  <c r="N168" i="80"/>
  <c r="N167" i="80"/>
  <c r="N166" i="80"/>
  <c r="N165" i="80"/>
  <c r="N164" i="80"/>
  <c r="N163" i="80"/>
  <c r="N162" i="80"/>
  <c r="N161" i="80"/>
  <c r="N160" i="80"/>
  <c r="N159" i="80"/>
  <c r="N158" i="80"/>
  <c r="N157" i="80"/>
  <c r="N156" i="80"/>
  <c r="N155" i="80"/>
  <c r="N154" i="80"/>
  <c r="N153" i="80"/>
  <c r="N152" i="80"/>
  <c r="N151" i="80"/>
  <c r="N150" i="80"/>
  <c r="N149" i="80"/>
  <c r="N148" i="80"/>
  <c r="N147" i="80"/>
  <c r="N146" i="80"/>
  <c r="N145" i="80"/>
  <c r="N144" i="80"/>
  <c r="N143" i="80"/>
  <c r="N142" i="80"/>
  <c r="N141" i="80"/>
  <c r="N140" i="80"/>
  <c r="N139" i="80"/>
  <c r="D67" i="80"/>
  <c r="C65" i="80"/>
  <c r="C67" i="80" s="1"/>
  <c r="G63" i="80"/>
  <c r="E63" i="80"/>
  <c r="B63" i="80"/>
  <c r="G62" i="80"/>
  <c r="E62" i="80"/>
  <c r="B62" i="80"/>
  <c r="G61" i="80"/>
  <c r="E61" i="80"/>
  <c r="B61" i="80"/>
  <c r="G60" i="80"/>
  <c r="E60" i="80"/>
  <c r="B60" i="80"/>
  <c r="G59" i="80"/>
  <c r="E59" i="80"/>
  <c r="B59" i="80"/>
  <c r="G58" i="80"/>
  <c r="E58" i="80"/>
  <c r="B58" i="80"/>
  <c r="G57" i="80"/>
  <c r="E57" i="80"/>
  <c r="B57" i="80"/>
  <c r="G56" i="80"/>
  <c r="E56" i="80"/>
  <c r="B56" i="80"/>
  <c r="G55" i="80"/>
  <c r="E55" i="80"/>
  <c r="B55" i="80"/>
  <c r="G54" i="80"/>
  <c r="G65" i="80" s="1"/>
  <c r="E54" i="80"/>
  <c r="B54" i="80"/>
  <c r="B65" i="80" s="1"/>
  <c r="E40" i="80"/>
  <c r="C40" i="80"/>
  <c r="G38" i="80"/>
  <c r="E38" i="80"/>
  <c r="B38" i="80"/>
  <c r="G37" i="80"/>
  <c r="E37" i="80"/>
  <c r="B37" i="80"/>
  <c r="G36" i="80"/>
  <c r="E36" i="80"/>
  <c r="B36" i="80"/>
  <c r="G35" i="80"/>
  <c r="E35" i="80"/>
  <c r="B35" i="80"/>
  <c r="G34" i="80"/>
  <c r="E34" i="80"/>
  <c r="B34" i="80"/>
  <c r="G28" i="80"/>
  <c r="E28" i="80"/>
  <c r="B28" i="80"/>
  <c r="G27" i="80"/>
  <c r="E27" i="80"/>
  <c r="B27" i="80"/>
  <c r="G26" i="80"/>
  <c r="G40" i="80" s="1"/>
  <c r="E26" i="80"/>
  <c r="B26" i="80"/>
  <c r="U25" i="80"/>
  <c r="L25" i="80"/>
  <c r="K69" i="80" s="1"/>
  <c r="Y23" i="80"/>
  <c r="W23" i="80"/>
  <c r="Y22" i="80"/>
  <c r="W22" i="80"/>
  <c r="C22" i="80"/>
  <c r="Y21" i="80"/>
  <c r="W21" i="80"/>
  <c r="Y20" i="80"/>
  <c r="W20" i="80"/>
  <c r="P18" i="80"/>
  <c r="N18" i="80"/>
  <c r="Y16" i="80"/>
  <c r="W16" i="80"/>
  <c r="G16" i="80"/>
  <c r="E16" i="80"/>
  <c r="B16" i="80"/>
  <c r="Y15" i="80"/>
  <c r="W15" i="80"/>
  <c r="C13" i="80"/>
  <c r="G10" i="80"/>
  <c r="E10" i="80"/>
  <c r="B10" i="80"/>
  <c r="G9" i="80"/>
  <c r="E9" i="80"/>
  <c r="B9" i="80"/>
  <c r="U8" i="80"/>
  <c r="P8" i="80"/>
  <c r="G8" i="80"/>
  <c r="E8" i="80"/>
  <c r="B8" i="80"/>
  <c r="Y7" i="80"/>
  <c r="P7" i="80"/>
  <c r="G7" i="80"/>
  <c r="E7" i="80"/>
  <c r="B7" i="80"/>
  <c r="Y6" i="80"/>
  <c r="W6" i="80"/>
  <c r="T6" i="80"/>
  <c r="P6" i="80"/>
  <c r="N6" i="80"/>
  <c r="G6" i="80"/>
  <c r="E6" i="80"/>
  <c r="B6" i="80"/>
  <c r="Y5" i="80"/>
  <c r="W5" i="80"/>
  <c r="T5" i="80"/>
  <c r="P5" i="80"/>
  <c r="N5" i="80"/>
  <c r="K5" i="80"/>
  <c r="K25" i="80" s="1"/>
  <c r="G5" i="80"/>
  <c r="E5" i="80"/>
  <c r="B5" i="80"/>
  <c r="Y4" i="80"/>
  <c r="Y25" i="80" s="1"/>
  <c r="W4" i="80"/>
  <c r="T4" i="80"/>
  <c r="T25" i="80" s="1"/>
  <c r="P4" i="80"/>
  <c r="N4" i="80"/>
  <c r="G4" i="80"/>
  <c r="E4" i="80"/>
  <c r="B4" i="80"/>
  <c r="Y25" i="78"/>
  <c r="N186" i="79"/>
  <c r="N185" i="79"/>
  <c r="N184" i="79"/>
  <c r="N183" i="79"/>
  <c r="N182" i="79"/>
  <c r="N181" i="79"/>
  <c r="N180" i="79"/>
  <c r="N179" i="79"/>
  <c r="N178" i="79"/>
  <c r="N177" i="79"/>
  <c r="N176" i="79"/>
  <c r="N175" i="79"/>
  <c r="N174" i="79"/>
  <c r="N173" i="79"/>
  <c r="N172" i="79"/>
  <c r="N171" i="79"/>
  <c r="N170" i="79"/>
  <c r="N169" i="79"/>
  <c r="N168" i="79"/>
  <c r="N167" i="79"/>
  <c r="N166" i="79"/>
  <c r="N165" i="79"/>
  <c r="N164" i="79"/>
  <c r="N163" i="79"/>
  <c r="N162" i="79"/>
  <c r="N161" i="79"/>
  <c r="N160" i="79"/>
  <c r="N159" i="79"/>
  <c r="N158" i="79"/>
  <c r="N157" i="79"/>
  <c r="N156" i="79"/>
  <c r="N155" i="79"/>
  <c r="N154" i="79"/>
  <c r="N153" i="79"/>
  <c r="N152" i="79"/>
  <c r="N151" i="79"/>
  <c r="N150" i="79"/>
  <c r="N149" i="79"/>
  <c r="N148" i="79"/>
  <c r="N147" i="79"/>
  <c r="N146" i="79"/>
  <c r="N145" i="79"/>
  <c r="N144" i="79"/>
  <c r="N143" i="79"/>
  <c r="N142" i="79"/>
  <c r="N141" i="79"/>
  <c r="N140" i="79"/>
  <c r="N139" i="79"/>
  <c r="D67" i="79"/>
  <c r="C65" i="79"/>
  <c r="C67" i="79" s="1"/>
  <c r="G63" i="79"/>
  <c r="G62" i="79"/>
  <c r="G61" i="79"/>
  <c r="E61" i="79"/>
  <c r="G60" i="79"/>
  <c r="E60" i="79"/>
  <c r="G59" i="79"/>
  <c r="E59" i="79"/>
  <c r="G58" i="79"/>
  <c r="E58" i="79"/>
  <c r="B58" i="79"/>
  <c r="G57" i="79"/>
  <c r="E57" i="79"/>
  <c r="B57" i="79"/>
  <c r="G56" i="79"/>
  <c r="E56" i="79"/>
  <c r="B56" i="79"/>
  <c r="B65" i="79" s="1"/>
  <c r="G55" i="79"/>
  <c r="E55" i="79"/>
  <c r="B55" i="79"/>
  <c r="G54" i="79"/>
  <c r="G65" i="79" s="1"/>
  <c r="E54" i="79"/>
  <c r="B54" i="79"/>
  <c r="E40" i="79"/>
  <c r="C40" i="79"/>
  <c r="G38" i="79"/>
  <c r="E38" i="79"/>
  <c r="B38" i="79"/>
  <c r="G37" i="79"/>
  <c r="E37" i="79"/>
  <c r="B37" i="79"/>
  <c r="G36" i="79"/>
  <c r="E36" i="79"/>
  <c r="B36" i="79"/>
  <c r="G35" i="79"/>
  <c r="E35" i="79"/>
  <c r="B35" i="79"/>
  <c r="G34" i="79"/>
  <c r="E34" i="79"/>
  <c r="B34" i="79"/>
  <c r="G28" i="79"/>
  <c r="E28" i="79"/>
  <c r="B28" i="79"/>
  <c r="G27" i="79"/>
  <c r="E27" i="79"/>
  <c r="B27" i="79"/>
  <c r="G26" i="79"/>
  <c r="G40" i="79" s="1"/>
  <c r="N70" i="79" s="1"/>
  <c r="E26" i="79"/>
  <c r="B26" i="79"/>
  <c r="B40" i="79" s="1"/>
  <c r="U25" i="79"/>
  <c r="L25" i="79"/>
  <c r="K69" i="79" s="1"/>
  <c r="K25" i="79"/>
  <c r="Y23" i="79"/>
  <c r="W23" i="79"/>
  <c r="Y22" i="79"/>
  <c r="W22" i="79"/>
  <c r="C22" i="79"/>
  <c r="Y21" i="79"/>
  <c r="W21" i="79"/>
  <c r="Y20" i="79"/>
  <c r="W20" i="79"/>
  <c r="P18" i="79"/>
  <c r="N18" i="79"/>
  <c r="Y16" i="79"/>
  <c r="W16" i="79"/>
  <c r="G16" i="79"/>
  <c r="E16" i="79"/>
  <c r="B16" i="79"/>
  <c r="Y15" i="79"/>
  <c r="W15" i="79"/>
  <c r="C13" i="79"/>
  <c r="G10" i="79"/>
  <c r="E10" i="79"/>
  <c r="B10" i="79"/>
  <c r="G9" i="79"/>
  <c r="E9" i="79"/>
  <c r="B9" i="79"/>
  <c r="U8" i="79"/>
  <c r="P8" i="79"/>
  <c r="N8" i="79"/>
  <c r="G8" i="79"/>
  <c r="E8" i="79"/>
  <c r="B8" i="79"/>
  <c r="Y7" i="79"/>
  <c r="P7" i="79"/>
  <c r="N7" i="79"/>
  <c r="G7" i="79"/>
  <c r="E7" i="79"/>
  <c r="B7" i="79"/>
  <c r="B13" i="79" s="1"/>
  <c r="Y6" i="79"/>
  <c r="W6" i="79"/>
  <c r="T6" i="79"/>
  <c r="P6" i="79"/>
  <c r="N6" i="79"/>
  <c r="G6" i="79"/>
  <c r="E6" i="79"/>
  <c r="B6" i="79"/>
  <c r="B22" i="79" s="1"/>
  <c r="Y5" i="79"/>
  <c r="W5" i="79"/>
  <c r="T5" i="79"/>
  <c r="P5" i="79"/>
  <c r="N5" i="79"/>
  <c r="K5" i="79"/>
  <c r="G5" i="79"/>
  <c r="E5" i="79"/>
  <c r="B5" i="79"/>
  <c r="Y4" i="79"/>
  <c r="W4" i="79"/>
  <c r="T4" i="79"/>
  <c r="T25" i="79" s="1"/>
  <c r="P4" i="79"/>
  <c r="P25" i="79" s="1"/>
  <c r="N4" i="79"/>
  <c r="G4" i="79"/>
  <c r="G13" i="79" s="1"/>
  <c r="G22" i="79" s="1"/>
  <c r="M70" i="79" s="1"/>
  <c r="E4" i="79"/>
  <c r="B4" i="79"/>
  <c r="N186" i="78"/>
  <c r="N185" i="78"/>
  <c r="N184" i="78"/>
  <c r="N183" i="78"/>
  <c r="N182" i="78"/>
  <c r="N181" i="78"/>
  <c r="N180" i="78"/>
  <c r="N179" i="78"/>
  <c r="N178" i="78"/>
  <c r="N177" i="78"/>
  <c r="N176" i="78"/>
  <c r="N175" i="78"/>
  <c r="N174" i="78"/>
  <c r="N173" i="78"/>
  <c r="N172" i="78"/>
  <c r="N171" i="78"/>
  <c r="N170" i="78"/>
  <c r="N169" i="78"/>
  <c r="N168" i="78"/>
  <c r="N167" i="78"/>
  <c r="N166" i="78"/>
  <c r="N165" i="78"/>
  <c r="N164" i="78"/>
  <c r="N163" i="78"/>
  <c r="N162" i="78"/>
  <c r="N161" i="78"/>
  <c r="N160" i="78"/>
  <c r="N159" i="78"/>
  <c r="N158" i="78"/>
  <c r="N157" i="78"/>
  <c r="N156" i="78"/>
  <c r="N155" i="78"/>
  <c r="N154" i="78"/>
  <c r="N153" i="78"/>
  <c r="N152" i="78"/>
  <c r="N151" i="78"/>
  <c r="N150" i="78"/>
  <c r="N149" i="78"/>
  <c r="N148" i="78"/>
  <c r="N147" i="78"/>
  <c r="N146" i="78"/>
  <c r="N145" i="78"/>
  <c r="N144" i="78"/>
  <c r="N143" i="78"/>
  <c r="N142" i="78"/>
  <c r="N141" i="78"/>
  <c r="N140" i="78"/>
  <c r="N139" i="78"/>
  <c r="D67" i="78"/>
  <c r="C65" i="78"/>
  <c r="G63" i="78"/>
  <c r="E63" i="78"/>
  <c r="B63" i="78"/>
  <c r="G62" i="78"/>
  <c r="E62" i="78"/>
  <c r="B62" i="78"/>
  <c r="G61" i="78"/>
  <c r="E61" i="78"/>
  <c r="B61" i="78"/>
  <c r="G60" i="78"/>
  <c r="E60" i="78"/>
  <c r="B60" i="78"/>
  <c r="G59" i="78"/>
  <c r="E59" i="78"/>
  <c r="B59" i="78"/>
  <c r="G58" i="78"/>
  <c r="E58" i="78"/>
  <c r="B58" i="78"/>
  <c r="G57" i="78"/>
  <c r="E57" i="78"/>
  <c r="B57" i="78"/>
  <c r="G56" i="78"/>
  <c r="E56" i="78"/>
  <c r="B56" i="78"/>
  <c r="G55" i="78"/>
  <c r="E55" i="78"/>
  <c r="B55" i="78"/>
  <c r="G54" i="78"/>
  <c r="G65" i="78" s="1"/>
  <c r="E54" i="78"/>
  <c r="B54" i="78"/>
  <c r="B65" i="78" s="1"/>
  <c r="E40" i="78"/>
  <c r="C40" i="78"/>
  <c r="C67" i="78" s="1"/>
  <c r="G38" i="78"/>
  <c r="E38" i="78"/>
  <c r="B38" i="78"/>
  <c r="G37" i="78"/>
  <c r="E37" i="78"/>
  <c r="B37" i="78"/>
  <c r="G36" i="78"/>
  <c r="E36" i="78"/>
  <c r="B36" i="78"/>
  <c r="G35" i="78"/>
  <c r="E35" i="78"/>
  <c r="B35" i="78"/>
  <c r="G34" i="78"/>
  <c r="E34" i="78"/>
  <c r="B34" i="78"/>
  <c r="G28" i="78"/>
  <c r="E28" i="78"/>
  <c r="B28" i="78"/>
  <c r="G27" i="78"/>
  <c r="E27" i="78"/>
  <c r="B27" i="78"/>
  <c r="G26" i="78"/>
  <c r="G40" i="78" s="1"/>
  <c r="N70" i="78" s="1"/>
  <c r="E26" i="78"/>
  <c r="B26" i="78"/>
  <c r="B40" i="78" s="1"/>
  <c r="U25" i="78"/>
  <c r="L25" i="78"/>
  <c r="K69" i="78" s="1"/>
  <c r="Y23" i="78"/>
  <c r="W23" i="78"/>
  <c r="Y22" i="78"/>
  <c r="W22" i="78"/>
  <c r="C22" i="78"/>
  <c r="Y21" i="78"/>
  <c r="W21" i="78"/>
  <c r="Y20" i="78"/>
  <c r="W20" i="78"/>
  <c r="P18" i="78"/>
  <c r="N18" i="78"/>
  <c r="Y16" i="78"/>
  <c r="W16" i="78"/>
  <c r="G16" i="78"/>
  <c r="E16" i="78"/>
  <c r="B16" i="78"/>
  <c r="Y15" i="78"/>
  <c r="W15" i="78"/>
  <c r="C13" i="78"/>
  <c r="G10" i="78"/>
  <c r="E10" i="78"/>
  <c r="B10" i="78"/>
  <c r="B13" i="78" s="1"/>
  <c r="G9" i="78"/>
  <c r="E9" i="78"/>
  <c r="B9" i="78"/>
  <c r="U8" i="78"/>
  <c r="P8" i="78"/>
  <c r="G8" i="78"/>
  <c r="E8" i="78"/>
  <c r="B8" i="78"/>
  <c r="Y7" i="78"/>
  <c r="P7" i="78"/>
  <c r="G7" i="78"/>
  <c r="E7" i="78"/>
  <c r="B7" i="78"/>
  <c r="Y6" i="78"/>
  <c r="W6" i="78"/>
  <c r="T6" i="78"/>
  <c r="P6" i="78"/>
  <c r="N6" i="78"/>
  <c r="G6" i="78"/>
  <c r="E6" i="78"/>
  <c r="B6" i="78"/>
  <c r="Y5" i="78"/>
  <c r="W5" i="78"/>
  <c r="T5" i="78"/>
  <c r="P5" i="78"/>
  <c r="N5" i="78"/>
  <c r="K5" i="78"/>
  <c r="K25" i="78" s="1"/>
  <c r="G5" i="78"/>
  <c r="E5" i="78"/>
  <c r="B5" i="78"/>
  <c r="Y4" i="78"/>
  <c r="W4" i="78"/>
  <c r="T4" i="78"/>
  <c r="T25" i="78" s="1"/>
  <c r="P4" i="78"/>
  <c r="P25" i="78" s="1"/>
  <c r="N4" i="78"/>
  <c r="G4" i="78"/>
  <c r="G13" i="78" s="1"/>
  <c r="G22" i="78" s="1"/>
  <c r="M70" i="78" s="1"/>
  <c r="E4" i="78"/>
  <c r="B4" i="78"/>
  <c r="N186" i="77"/>
  <c r="N185" i="77"/>
  <c r="N184" i="77"/>
  <c r="N183" i="77"/>
  <c r="N182" i="77"/>
  <c r="N181" i="77"/>
  <c r="N180" i="77"/>
  <c r="N179" i="77"/>
  <c r="N178" i="77"/>
  <c r="N177" i="77"/>
  <c r="N176" i="77"/>
  <c r="N175" i="77"/>
  <c r="N174" i="77"/>
  <c r="N173" i="77"/>
  <c r="N172" i="77"/>
  <c r="N171" i="77"/>
  <c r="N170" i="77"/>
  <c r="N169" i="77"/>
  <c r="N168" i="77"/>
  <c r="N167" i="77"/>
  <c r="N166" i="77"/>
  <c r="N165" i="77"/>
  <c r="N164" i="77"/>
  <c r="N163" i="77"/>
  <c r="N162" i="77"/>
  <c r="N161" i="77"/>
  <c r="N160" i="77"/>
  <c r="N159" i="77"/>
  <c r="N158" i="77"/>
  <c r="N157" i="77"/>
  <c r="N156" i="77"/>
  <c r="N155" i="77"/>
  <c r="N154" i="77"/>
  <c r="N153" i="77"/>
  <c r="N152" i="77"/>
  <c r="N151" i="77"/>
  <c r="N150" i="77"/>
  <c r="N149" i="77"/>
  <c r="N148" i="77"/>
  <c r="N147" i="77"/>
  <c r="N146" i="77"/>
  <c r="N145" i="77"/>
  <c r="N144" i="77"/>
  <c r="N143" i="77"/>
  <c r="N142" i="77"/>
  <c r="N141" i="77"/>
  <c r="N140" i="77"/>
  <c r="N139" i="77"/>
  <c r="D67" i="77"/>
  <c r="C65" i="77"/>
  <c r="C67" i="77" s="1"/>
  <c r="G63" i="77"/>
  <c r="G62" i="77"/>
  <c r="G61" i="77"/>
  <c r="E61" i="77"/>
  <c r="G60" i="77"/>
  <c r="E60" i="77"/>
  <c r="G59" i="77"/>
  <c r="E59" i="77"/>
  <c r="G58" i="77"/>
  <c r="E58" i="77"/>
  <c r="B58" i="77"/>
  <c r="G57" i="77"/>
  <c r="E57" i="77"/>
  <c r="B57" i="77"/>
  <c r="G56" i="77"/>
  <c r="E56" i="77"/>
  <c r="B56" i="77"/>
  <c r="G55" i="77"/>
  <c r="E55" i="77"/>
  <c r="B55" i="77"/>
  <c r="G54" i="77"/>
  <c r="G65" i="77" s="1"/>
  <c r="E54" i="77"/>
  <c r="B54" i="77"/>
  <c r="B65" i="77" s="1"/>
  <c r="E40" i="77"/>
  <c r="C40" i="77"/>
  <c r="G38" i="77"/>
  <c r="E38" i="77"/>
  <c r="B38" i="77"/>
  <c r="G37" i="77"/>
  <c r="E37" i="77"/>
  <c r="B37" i="77"/>
  <c r="G36" i="77"/>
  <c r="E36" i="77"/>
  <c r="B36" i="77"/>
  <c r="G35" i="77"/>
  <c r="E35" i="77"/>
  <c r="B35" i="77"/>
  <c r="G34" i="77"/>
  <c r="E34" i="77"/>
  <c r="B34" i="77"/>
  <c r="G28" i="77"/>
  <c r="E28" i="77"/>
  <c r="B28" i="77"/>
  <c r="G27" i="77"/>
  <c r="E27" i="77"/>
  <c r="B27" i="77"/>
  <c r="G26" i="77"/>
  <c r="G40" i="77" s="1"/>
  <c r="E26" i="77"/>
  <c r="B26" i="77"/>
  <c r="B40" i="77" s="1"/>
  <c r="U25" i="77"/>
  <c r="L25" i="77"/>
  <c r="K69" i="77" s="1"/>
  <c r="K25" i="77"/>
  <c r="Y23" i="77"/>
  <c r="W23" i="77"/>
  <c r="Y22" i="77"/>
  <c r="W22" i="77"/>
  <c r="C22" i="77"/>
  <c r="Y21" i="77"/>
  <c r="W21" i="77"/>
  <c r="Y20" i="77"/>
  <c r="W20" i="77"/>
  <c r="P18" i="77"/>
  <c r="N18" i="77"/>
  <c r="Y16" i="77"/>
  <c r="W16" i="77"/>
  <c r="G16" i="77"/>
  <c r="E16" i="77"/>
  <c r="B16" i="77"/>
  <c r="Y15" i="77"/>
  <c r="W15" i="77"/>
  <c r="C13" i="77"/>
  <c r="G10" i="77"/>
  <c r="E10" i="77"/>
  <c r="B10" i="77"/>
  <c r="G9" i="77"/>
  <c r="E9" i="77"/>
  <c r="B9" i="77"/>
  <c r="U8" i="77"/>
  <c r="P8" i="77"/>
  <c r="N8" i="77"/>
  <c r="G8" i="77"/>
  <c r="E8" i="77"/>
  <c r="B8" i="77"/>
  <c r="B13" i="77" s="1"/>
  <c r="Y7" i="77"/>
  <c r="P7" i="77"/>
  <c r="N7" i="77"/>
  <c r="G7" i="77"/>
  <c r="E7" i="77"/>
  <c r="B7" i="77"/>
  <c r="Y6" i="77"/>
  <c r="W6" i="77"/>
  <c r="T6" i="77"/>
  <c r="P6" i="77"/>
  <c r="N6" i="77"/>
  <c r="G6" i="77"/>
  <c r="E6" i="77"/>
  <c r="B6" i="77"/>
  <c r="Y5" i="77"/>
  <c r="W5" i="77"/>
  <c r="T5" i="77"/>
  <c r="P5" i="77"/>
  <c r="N5" i="77"/>
  <c r="K5" i="77"/>
  <c r="G5" i="77"/>
  <c r="E5" i="77"/>
  <c r="B5" i="77"/>
  <c r="Y4" i="77"/>
  <c r="W4" i="77"/>
  <c r="T4" i="77"/>
  <c r="T25" i="77" s="1"/>
  <c r="P4" i="77"/>
  <c r="N4" i="77"/>
  <c r="G4" i="77"/>
  <c r="G13" i="77" s="1"/>
  <c r="G22" i="77" s="1"/>
  <c r="E4" i="77"/>
  <c r="B4" i="77"/>
  <c r="N186" i="76"/>
  <c r="N185" i="76"/>
  <c r="N184" i="76"/>
  <c r="N183" i="76"/>
  <c r="N182" i="76"/>
  <c r="N181" i="76"/>
  <c r="N180" i="76"/>
  <c r="N179" i="76"/>
  <c r="N178" i="76"/>
  <c r="N177" i="76"/>
  <c r="N176" i="76"/>
  <c r="N175" i="76"/>
  <c r="N174" i="76"/>
  <c r="N173" i="76"/>
  <c r="N172" i="76"/>
  <c r="N171" i="76"/>
  <c r="N170" i="76"/>
  <c r="N169" i="76"/>
  <c r="N168" i="76"/>
  <c r="N167" i="76"/>
  <c r="N166" i="76"/>
  <c r="N165" i="76"/>
  <c r="N164" i="76"/>
  <c r="N163" i="76"/>
  <c r="N162" i="76"/>
  <c r="N161" i="76"/>
  <c r="N160" i="76"/>
  <c r="N159" i="76"/>
  <c r="N158" i="76"/>
  <c r="N157" i="76"/>
  <c r="N156" i="76"/>
  <c r="N155" i="76"/>
  <c r="N154" i="76"/>
  <c r="N153" i="76"/>
  <c r="N152" i="76"/>
  <c r="N151" i="76"/>
  <c r="N150" i="76"/>
  <c r="N149" i="76"/>
  <c r="N148" i="76"/>
  <c r="N147" i="76"/>
  <c r="N146" i="76"/>
  <c r="N145" i="76"/>
  <c r="N144" i="76"/>
  <c r="N143" i="76"/>
  <c r="N142" i="76"/>
  <c r="N141" i="76"/>
  <c r="N140" i="76"/>
  <c r="N139" i="76"/>
  <c r="D67" i="76"/>
  <c r="C65" i="76"/>
  <c r="C67" i="76" s="1"/>
  <c r="G63" i="76"/>
  <c r="E63" i="76"/>
  <c r="B63" i="76"/>
  <c r="G62" i="76"/>
  <c r="E62" i="76"/>
  <c r="B62" i="76"/>
  <c r="G61" i="76"/>
  <c r="E61" i="76"/>
  <c r="B61" i="76"/>
  <c r="G60" i="76"/>
  <c r="E60" i="76"/>
  <c r="B60" i="76"/>
  <c r="G59" i="76"/>
  <c r="E59" i="76"/>
  <c r="B59" i="76"/>
  <c r="G58" i="76"/>
  <c r="E58" i="76"/>
  <c r="B58" i="76"/>
  <c r="G57" i="76"/>
  <c r="E57" i="76"/>
  <c r="B57" i="76"/>
  <c r="G56" i="76"/>
  <c r="E56" i="76"/>
  <c r="B56" i="76"/>
  <c r="B65" i="76" s="1"/>
  <c r="G55" i="76"/>
  <c r="E55" i="76"/>
  <c r="B55" i="76"/>
  <c r="G54" i="76"/>
  <c r="G65" i="76" s="1"/>
  <c r="E54" i="76"/>
  <c r="B54" i="76"/>
  <c r="E40" i="76"/>
  <c r="C40" i="76"/>
  <c r="G38" i="76"/>
  <c r="E38" i="76"/>
  <c r="B38" i="76"/>
  <c r="G37" i="76"/>
  <c r="E37" i="76"/>
  <c r="B37" i="76"/>
  <c r="G36" i="76"/>
  <c r="E36" i="76"/>
  <c r="B36" i="76"/>
  <c r="G35" i="76"/>
  <c r="E35" i="76"/>
  <c r="B35" i="76"/>
  <c r="G34" i="76"/>
  <c r="E34" i="76"/>
  <c r="B34" i="76"/>
  <c r="G28" i="76"/>
  <c r="E28" i="76"/>
  <c r="B28" i="76"/>
  <c r="G27" i="76"/>
  <c r="E27" i="76"/>
  <c r="B27" i="76"/>
  <c r="G26" i="76"/>
  <c r="G40" i="76" s="1"/>
  <c r="E26" i="76"/>
  <c r="B26" i="76"/>
  <c r="B40" i="76" s="1"/>
  <c r="U25" i="76"/>
  <c r="L25" i="76"/>
  <c r="Y23" i="76"/>
  <c r="W23" i="76"/>
  <c r="Y22" i="76"/>
  <c r="W22" i="76"/>
  <c r="C22" i="76"/>
  <c r="Y21" i="76"/>
  <c r="W21" i="76"/>
  <c r="Y20" i="76"/>
  <c r="W20" i="76"/>
  <c r="P18" i="76"/>
  <c r="N18" i="76"/>
  <c r="Y16" i="76"/>
  <c r="W16" i="76"/>
  <c r="G16" i="76"/>
  <c r="E16" i="76"/>
  <c r="B16" i="76"/>
  <c r="Y15" i="76"/>
  <c r="W15" i="76"/>
  <c r="C13" i="76"/>
  <c r="G10" i="76"/>
  <c r="E10" i="76"/>
  <c r="B10" i="76"/>
  <c r="B13" i="76" s="1"/>
  <c r="G9" i="76"/>
  <c r="E9" i="76"/>
  <c r="B9" i="76"/>
  <c r="U8" i="76"/>
  <c r="P8" i="76"/>
  <c r="G8" i="76"/>
  <c r="E8" i="76"/>
  <c r="B8" i="76"/>
  <c r="Y7" i="76"/>
  <c r="P7" i="76"/>
  <c r="G7" i="76"/>
  <c r="E7" i="76"/>
  <c r="B7" i="76"/>
  <c r="Y6" i="76"/>
  <c r="W6" i="76"/>
  <c r="T6" i="76"/>
  <c r="P6" i="76"/>
  <c r="N6" i="76"/>
  <c r="G6" i="76"/>
  <c r="E6" i="76"/>
  <c r="B6" i="76"/>
  <c r="Y5" i="76"/>
  <c r="W5" i="76"/>
  <c r="T5" i="76"/>
  <c r="P5" i="76"/>
  <c r="N5" i="76"/>
  <c r="K5" i="76"/>
  <c r="K25" i="76" s="1"/>
  <c r="G5" i="76"/>
  <c r="E5" i="76"/>
  <c r="B5" i="76"/>
  <c r="Y4" i="76"/>
  <c r="W4" i="76"/>
  <c r="T4" i="76"/>
  <c r="T25" i="76" s="1"/>
  <c r="P4" i="76"/>
  <c r="N4" i="76"/>
  <c r="G4" i="76"/>
  <c r="G13" i="76" s="1"/>
  <c r="G22" i="76" s="1"/>
  <c r="M70" i="76" s="1"/>
  <c r="E4" i="76"/>
  <c r="B4" i="76"/>
  <c r="C67" i="75"/>
  <c r="B67" i="75"/>
  <c r="K25" i="75"/>
  <c r="L25" i="75"/>
  <c r="U25" i="75"/>
  <c r="T25" i="75"/>
  <c r="N186" i="75"/>
  <c r="N185" i="75"/>
  <c r="N184" i="75"/>
  <c r="N183" i="75"/>
  <c r="N182" i="75"/>
  <c r="N181" i="75"/>
  <c r="N180" i="75"/>
  <c r="N179" i="75"/>
  <c r="N178" i="75"/>
  <c r="N177" i="75"/>
  <c r="N176" i="75"/>
  <c r="N175" i="75"/>
  <c r="N174" i="75"/>
  <c r="N173" i="75"/>
  <c r="N172" i="75"/>
  <c r="N171" i="75"/>
  <c r="N170" i="75"/>
  <c r="N169" i="75"/>
  <c r="N168" i="75"/>
  <c r="N167" i="75"/>
  <c r="N166" i="75"/>
  <c r="N165" i="75"/>
  <c r="N164" i="75"/>
  <c r="N163" i="75"/>
  <c r="N162" i="75"/>
  <c r="N161" i="75"/>
  <c r="N160" i="75"/>
  <c r="N159" i="75"/>
  <c r="N158" i="75"/>
  <c r="N157" i="75"/>
  <c r="N156" i="75"/>
  <c r="N155" i="75"/>
  <c r="N154" i="75"/>
  <c r="N153" i="75"/>
  <c r="N152" i="75"/>
  <c r="N151" i="75"/>
  <c r="N150" i="75"/>
  <c r="N149" i="75"/>
  <c r="N148" i="75"/>
  <c r="N147" i="75"/>
  <c r="N146" i="75"/>
  <c r="N145" i="75"/>
  <c r="N144" i="75"/>
  <c r="N143" i="75"/>
  <c r="N142" i="75"/>
  <c r="N141" i="75"/>
  <c r="N140" i="75"/>
  <c r="N139" i="75"/>
  <c r="C65" i="75"/>
  <c r="G63" i="75"/>
  <c r="E63" i="75"/>
  <c r="B63" i="75"/>
  <c r="G62" i="75"/>
  <c r="E62" i="75"/>
  <c r="B62" i="75"/>
  <c r="G61" i="75"/>
  <c r="E61" i="75"/>
  <c r="B61" i="75"/>
  <c r="G60" i="75"/>
  <c r="E60" i="75"/>
  <c r="B60" i="75"/>
  <c r="G59" i="75"/>
  <c r="E59" i="75"/>
  <c r="B59" i="75"/>
  <c r="G58" i="75"/>
  <c r="E58" i="75"/>
  <c r="B58" i="75"/>
  <c r="G57" i="75"/>
  <c r="E57" i="75"/>
  <c r="B57" i="75"/>
  <c r="G56" i="75"/>
  <c r="E56" i="75"/>
  <c r="B56" i="75"/>
  <c r="G55" i="75"/>
  <c r="E55" i="75"/>
  <c r="B55" i="75"/>
  <c r="G54" i="75"/>
  <c r="G65" i="75" s="1"/>
  <c r="E54" i="75"/>
  <c r="B54" i="75"/>
  <c r="B65" i="75" s="1"/>
  <c r="E40" i="75"/>
  <c r="C40" i="75"/>
  <c r="G38" i="75"/>
  <c r="E38" i="75"/>
  <c r="B38" i="75"/>
  <c r="G37" i="75"/>
  <c r="E37" i="75"/>
  <c r="B37" i="75"/>
  <c r="G36" i="75"/>
  <c r="E36" i="75"/>
  <c r="B36" i="75"/>
  <c r="G35" i="75"/>
  <c r="E35" i="75"/>
  <c r="B35" i="75"/>
  <c r="G34" i="75"/>
  <c r="E34" i="75"/>
  <c r="B34" i="75"/>
  <c r="G28" i="75"/>
  <c r="E28" i="75"/>
  <c r="B28" i="75"/>
  <c r="G27" i="75"/>
  <c r="E27" i="75"/>
  <c r="B27" i="75"/>
  <c r="G26" i="75"/>
  <c r="G40" i="75" s="1"/>
  <c r="E26" i="75"/>
  <c r="B26" i="75"/>
  <c r="B40" i="75" s="1"/>
  <c r="Y23" i="75"/>
  <c r="Y22" i="75"/>
  <c r="O70" i="75" s="1"/>
  <c r="W22" i="75"/>
  <c r="C22" i="75"/>
  <c r="Y21" i="75"/>
  <c r="W21" i="75"/>
  <c r="Y20" i="75"/>
  <c r="W20" i="75"/>
  <c r="P18" i="75"/>
  <c r="N18" i="75"/>
  <c r="Y16" i="75"/>
  <c r="W16" i="75"/>
  <c r="G16" i="75"/>
  <c r="E16" i="75"/>
  <c r="B16" i="75"/>
  <c r="B22" i="75" s="1"/>
  <c r="Y15" i="75"/>
  <c r="W15" i="75"/>
  <c r="C13" i="75"/>
  <c r="G10" i="75"/>
  <c r="E10" i="75"/>
  <c r="B10" i="75"/>
  <c r="B13" i="75" s="1"/>
  <c r="G9" i="75"/>
  <c r="E9" i="75"/>
  <c r="B9" i="75"/>
  <c r="U8" i="75"/>
  <c r="P8" i="75"/>
  <c r="G8" i="75"/>
  <c r="E8" i="75"/>
  <c r="B8" i="75"/>
  <c r="Y7" i="75"/>
  <c r="P7" i="75"/>
  <c r="G7" i="75"/>
  <c r="E7" i="75"/>
  <c r="B7" i="75"/>
  <c r="Y6" i="75"/>
  <c r="W6" i="75"/>
  <c r="T6" i="75"/>
  <c r="P6" i="75"/>
  <c r="N6" i="75"/>
  <c r="G6" i="75"/>
  <c r="E6" i="75"/>
  <c r="B6" i="75"/>
  <c r="Y5" i="75"/>
  <c r="W5" i="75"/>
  <c r="T5" i="75"/>
  <c r="P5" i="75"/>
  <c r="N5" i="75"/>
  <c r="K5" i="75"/>
  <c r="G5" i="75"/>
  <c r="E5" i="75"/>
  <c r="B5" i="75"/>
  <c r="Y4" i="75"/>
  <c r="Y25" i="75" s="1"/>
  <c r="W4" i="75"/>
  <c r="T4" i="75"/>
  <c r="P4" i="75"/>
  <c r="N4" i="75"/>
  <c r="G4" i="75"/>
  <c r="G13" i="75" s="1"/>
  <c r="G22" i="75" s="1"/>
  <c r="E4" i="75"/>
  <c r="B4" i="75"/>
  <c r="U25" i="74"/>
  <c r="T25" i="74"/>
  <c r="B13" i="74"/>
  <c r="O70" i="74"/>
  <c r="N70" i="74"/>
  <c r="N186" i="74"/>
  <c r="N185" i="74"/>
  <c r="N184" i="74"/>
  <c r="N183" i="74"/>
  <c r="N182" i="74"/>
  <c r="N181" i="74"/>
  <c r="N180" i="74"/>
  <c r="N179" i="74"/>
  <c r="N178" i="74"/>
  <c r="N177" i="74"/>
  <c r="N176" i="74"/>
  <c r="N175" i="74"/>
  <c r="N174" i="74"/>
  <c r="N173" i="74"/>
  <c r="N172" i="74"/>
  <c r="N171" i="74"/>
  <c r="N170" i="74"/>
  <c r="N169" i="74"/>
  <c r="N168" i="74"/>
  <c r="N167" i="74"/>
  <c r="N166" i="74"/>
  <c r="N165" i="74"/>
  <c r="N164" i="74"/>
  <c r="N163" i="74"/>
  <c r="N162" i="74"/>
  <c r="N161" i="74"/>
  <c r="N160" i="74"/>
  <c r="N159" i="74"/>
  <c r="N158" i="74"/>
  <c r="N157" i="74"/>
  <c r="N156" i="74"/>
  <c r="N155" i="74"/>
  <c r="N154" i="74"/>
  <c r="N153" i="74"/>
  <c r="N152" i="74"/>
  <c r="N151" i="74"/>
  <c r="N150" i="74"/>
  <c r="N149" i="74"/>
  <c r="N148" i="74"/>
  <c r="N147" i="74"/>
  <c r="N146" i="74"/>
  <c r="N145" i="74"/>
  <c r="N144" i="74"/>
  <c r="N143" i="74"/>
  <c r="N142" i="74"/>
  <c r="N141" i="74"/>
  <c r="N140" i="74"/>
  <c r="N139" i="74"/>
  <c r="D67" i="74"/>
  <c r="C65" i="74"/>
  <c r="G63" i="74"/>
  <c r="E63" i="74"/>
  <c r="B63" i="74"/>
  <c r="G62" i="74"/>
  <c r="E62" i="74"/>
  <c r="B62" i="74"/>
  <c r="G61" i="74"/>
  <c r="E61" i="74"/>
  <c r="B61" i="74"/>
  <c r="G60" i="74"/>
  <c r="E60" i="74"/>
  <c r="B60" i="74"/>
  <c r="G59" i="74"/>
  <c r="E59" i="74"/>
  <c r="B59" i="74"/>
  <c r="G58" i="74"/>
  <c r="E58" i="74"/>
  <c r="B58" i="74"/>
  <c r="G57" i="74"/>
  <c r="E57" i="74"/>
  <c r="B57" i="74"/>
  <c r="G56" i="74"/>
  <c r="E56" i="74"/>
  <c r="B56" i="74"/>
  <c r="G55" i="74"/>
  <c r="E55" i="74"/>
  <c r="B55" i="74"/>
  <c r="G54" i="74"/>
  <c r="G65" i="74" s="1"/>
  <c r="E54" i="74"/>
  <c r="B54" i="74"/>
  <c r="B65" i="74" s="1"/>
  <c r="E40" i="74"/>
  <c r="C40" i="74"/>
  <c r="C67" i="74" s="1"/>
  <c r="G38" i="74"/>
  <c r="E38" i="74"/>
  <c r="B38" i="74"/>
  <c r="G37" i="74"/>
  <c r="E37" i="74"/>
  <c r="B37" i="74"/>
  <c r="G36" i="74"/>
  <c r="E36" i="74"/>
  <c r="B36" i="74"/>
  <c r="G35" i="74"/>
  <c r="E35" i="74"/>
  <c r="B35" i="74"/>
  <c r="G34" i="74"/>
  <c r="G40" i="74" s="1"/>
  <c r="E34" i="74"/>
  <c r="B34" i="74"/>
  <c r="G28" i="74"/>
  <c r="E28" i="74"/>
  <c r="B28" i="74"/>
  <c r="G27" i="74"/>
  <c r="E27" i="74"/>
  <c r="B27" i="74"/>
  <c r="G26" i="74"/>
  <c r="E26" i="74"/>
  <c r="B26" i="74"/>
  <c r="B40" i="74" s="1"/>
  <c r="L25" i="74"/>
  <c r="Y23" i="74"/>
  <c r="Y22" i="74"/>
  <c r="W22" i="74"/>
  <c r="C22" i="74"/>
  <c r="Y21" i="74"/>
  <c r="W21" i="74"/>
  <c r="Y20" i="74"/>
  <c r="W20" i="74"/>
  <c r="P18" i="74"/>
  <c r="N18" i="74"/>
  <c r="Y16" i="74"/>
  <c r="W16" i="74"/>
  <c r="G16" i="74"/>
  <c r="E16" i="74"/>
  <c r="B16" i="74"/>
  <c r="Y15" i="74"/>
  <c r="W15" i="74"/>
  <c r="C13" i="74"/>
  <c r="G10" i="74"/>
  <c r="E10" i="74"/>
  <c r="B10" i="74"/>
  <c r="G9" i="74"/>
  <c r="E9" i="74"/>
  <c r="B9" i="74"/>
  <c r="U8" i="74"/>
  <c r="P8" i="74"/>
  <c r="G8" i="74"/>
  <c r="E8" i="74"/>
  <c r="B8" i="74"/>
  <c r="Y7" i="74"/>
  <c r="P7" i="74"/>
  <c r="G7" i="74"/>
  <c r="E7" i="74"/>
  <c r="B7" i="74"/>
  <c r="Y6" i="74"/>
  <c r="W6" i="74"/>
  <c r="T6" i="74"/>
  <c r="P6" i="74"/>
  <c r="N6" i="74"/>
  <c r="G6" i="74"/>
  <c r="E6" i="74"/>
  <c r="B6" i="74"/>
  <c r="Y5" i="74"/>
  <c r="W5" i="74"/>
  <c r="T5" i="74"/>
  <c r="P5" i="74"/>
  <c r="N5" i="74"/>
  <c r="K5" i="74"/>
  <c r="K25" i="74" s="1"/>
  <c r="G5" i="74"/>
  <c r="E5" i="74"/>
  <c r="B5" i="74"/>
  <c r="Y4" i="74"/>
  <c r="Y25" i="74" s="1"/>
  <c r="W4" i="74"/>
  <c r="T4" i="74"/>
  <c r="P4" i="74"/>
  <c r="N4" i="74"/>
  <c r="G4" i="74"/>
  <c r="G13" i="74" s="1"/>
  <c r="G22" i="74" s="1"/>
  <c r="E4" i="74"/>
  <c r="B4" i="74"/>
  <c r="N70" i="81" l="1"/>
  <c r="G13" i="81"/>
  <c r="G22" i="81" s="1"/>
  <c r="M70" i="81" s="1"/>
  <c r="B13" i="81"/>
  <c r="B22" i="81"/>
  <c r="O70" i="81"/>
  <c r="G67" i="81"/>
  <c r="B67" i="81"/>
  <c r="K68" i="81"/>
  <c r="B40" i="80"/>
  <c r="B13" i="80"/>
  <c r="G13" i="80"/>
  <c r="G22" i="80" s="1"/>
  <c r="B22" i="80"/>
  <c r="M70" i="80"/>
  <c r="P25" i="80"/>
  <c r="B67" i="80"/>
  <c r="K68" i="80" s="1"/>
  <c r="O70" i="80"/>
  <c r="P70" i="80" s="1"/>
  <c r="G67" i="80"/>
  <c r="K70" i="80" s="1"/>
  <c r="Y25" i="79"/>
  <c r="O70" i="79"/>
  <c r="G67" i="79"/>
  <c r="K70" i="79" s="1"/>
  <c r="B67" i="79"/>
  <c r="K68" i="79" s="1"/>
  <c r="P70" i="79"/>
  <c r="O70" i="78"/>
  <c r="G67" i="78"/>
  <c r="K70" i="78" s="1"/>
  <c r="P70" i="78"/>
  <c r="B22" i="78"/>
  <c r="B67" i="78" s="1"/>
  <c r="K68" i="78" s="1"/>
  <c r="Y25" i="77"/>
  <c r="M70" i="77"/>
  <c r="P25" i="77"/>
  <c r="N70" i="77"/>
  <c r="Y25" i="76"/>
  <c r="N70" i="76"/>
  <c r="P25" i="76"/>
  <c r="O70" i="77"/>
  <c r="G67" i="77"/>
  <c r="B22" i="77"/>
  <c r="B67" i="77"/>
  <c r="K68" i="77" s="1"/>
  <c r="O70" i="76"/>
  <c r="G67" i="76"/>
  <c r="K69" i="76"/>
  <c r="B22" i="76"/>
  <c r="B67" i="76" s="1"/>
  <c r="K68" i="76" s="1"/>
  <c r="K69" i="75"/>
  <c r="P25" i="75"/>
  <c r="N70" i="75" s="1"/>
  <c r="M70" i="75"/>
  <c r="G67" i="75"/>
  <c r="K70" i="75" s="1"/>
  <c r="K68" i="75"/>
  <c r="P25" i="74"/>
  <c r="B22" i="74"/>
  <c r="B67" i="74" s="1"/>
  <c r="K68" i="74" s="1"/>
  <c r="K69" i="74"/>
  <c r="M70" i="74"/>
  <c r="P70" i="74" s="1"/>
  <c r="G67" i="74"/>
  <c r="K70" i="74" s="1"/>
  <c r="P70" i="81" l="1"/>
  <c r="K70" i="81"/>
  <c r="P70" i="76"/>
  <c r="K70" i="77"/>
  <c r="P70" i="77"/>
  <c r="K70" i="76"/>
  <c r="P70" i="75"/>
  <c r="U25" i="73"/>
  <c r="T25" i="73"/>
  <c r="K25" i="73"/>
  <c r="U25" i="72"/>
  <c r="T25" i="72"/>
  <c r="K25" i="72"/>
  <c r="E58" i="73"/>
  <c r="B58" i="73"/>
  <c r="E57" i="73"/>
  <c r="B57" i="73"/>
  <c r="N186" i="73"/>
  <c r="N185" i="73"/>
  <c r="N184" i="73"/>
  <c r="N183" i="73"/>
  <c r="N182" i="73"/>
  <c r="N181" i="73"/>
  <c r="N180" i="73"/>
  <c r="N179" i="73"/>
  <c r="N178" i="73"/>
  <c r="N177" i="73"/>
  <c r="N176" i="73"/>
  <c r="N175" i="73"/>
  <c r="N174" i="73"/>
  <c r="N173" i="73"/>
  <c r="N172" i="73"/>
  <c r="N171" i="73"/>
  <c r="N170" i="73"/>
  <c r="N169" i="73"/>
  <c r="N168" i="73"/>
  <c r="N167" i="73"/>
  <c r="N166" i="73"/>
  <c r="N165" i="73"/>
  <c r="N164" i="73"/>
  <c r="N163" i="73"/>
  <c r="N162" i="73"/>
  <c r="N161" i="73"/>
  <c r="N160" i="73"/>
  <c r="N159" i="73"/>
  <c r="N158" i="73"/>
  <c r="N157" i="73"/>
  <c r="N156" i="73"/>
  <c r="N155" i="73"/>
  <c r="N154" i="73"/>
  <c r="N153" i="73"/>
  <c r="N152" i="73"/>
  <c r="N151" i="73"/>
  <c r="N150" i="73"/>
  <c r="N149" i="73"/>
  <c r="N148" i="73"/>
  <c r="N147" i="73"/>
  <c r="N146" i="73"/>
  <c r="N145" i="73"/>
  <c r="N144" i="73"/>
  <c r="N143" i="73"/>
  <c r="N142" i="73"/>
  <c r="N141" i="73"/>
  <c r="N140" i="73"/>
  <c r="N139" i="73"/>
  <c r="D67" i="73"/>
  <c r="C65" i="73"/>
  <c r="C67" i="73" s="1"/>
  <c r="G63" i="73"/>
  <c r="G62" i="73"/>
  <c r="G61" i="73"/>
  <c r="E61" i="73"/>
  <c r="G60" i="73"/>
  <c r="E60" i="73"/>
  <c r="G59" i="73"/>
  <c r="E59" i="73"/>
  <c r="G58" i="73"/>
  <c r="G57" i="73"/>
  <c r="G56" i="73"/>
  <c r="E56" i="73"/>
  <c r="B56" i="73"/>
  <c r="G55" i="73"/>
  <c r="E55" i="73"/>
  <c r="B55" i="73"/>
  <c r="G54" i="73"/>
  <c r="E54" i="73"/>
  <c r="B54" i="73"/>
  <c r="E40" i="73"/>
  <c r="C40" i="73"/>
  <c r="G38" i="73"/>
  <c r="E38" i="73"/>
  <c r="B38" i="73"/>
  <c r="G37" i="73"/>
  <c r="E37" i="73"/>
  <c r="B37" i="73"/>
  <c r="G36" i="73"/>
  <c r="E36" i="73"/>
  <c r="B36" i="73"/>
  <c r="G35" i="73"/>
  <c r="E35" i="73"/>
  <c r="B35" i="73"/>
  <c r="G34" i="73"/>
  <c r="E34" i="73"/>
  <c r="B34" i="73"/>
  <c r="G28" i="73"/>
  <c r="E28" i="73"/>
  <c r="B28" i="73"/>
  <c r="G27" i="73"/>
  <c r="E27" i="73"/>
  <c r="B27" i="73"/>
  <c r="G26" i="73"/>
  <c r="G40" i="73" s="1"/>
  <c r="E26" i="73"/>
  <c r="B26" i="73"/>
  <c r="B40" i="73" s="1"/>
  <c r="L25" i="73"/>
  <c r="Y23" i="73"/>
  <c r="W23" i="73"/>
  <c r="Y22" i="73"/>
  <c r="W22" i="73"/>
  <c r="C22" i="73"/>
  <c r="Y21" i="73"/>
  <c r="W21" i="73"/>
  <c r="Y20" i="73"/>
  <c r="W20" i="73"/>
  <c r="P18" i="73"/>
  <c r="N18" i="73"/>
  <c r="Y16" i="73"/>
  <c r="W16" i="73"/>
  <c r="G16" i="73"/>
  <c r="E16" i="73"/>
  <c r="B16" i="73"/>
  <c r="B22" i="73" s="1"/>
  <c r="Y15" i="73"/>
  <c r="W15" i="73"/>
  <c r="C13" i="73"/>
  <c r="G10" i="73"/>
  <c r="E10" i="73"/>
  <c r="B10" i="73"/>
  <c r="B13" i="73" s="1"/>
  <c r="G9" i="73"/>
  <c r="E9" i="73"/>
  <c r="B9" i="73"/>
  <c r="U8" i="73"/>
  <c r="P8" i="73"/>
  <c r="N8" i="73"/>
  <c r="G8" i="73"/>
  <c r="E8" i="73"/>
  <c r="B8" i="73"/>
  <c r="Y7" i="73"/>
  <c r="P7" i="73"/>
  <c r="N7" i="73"/>
  <c r="G7" i="73"/>
  <c r="E7" i="73"/>
  <c r="B7" i="73"/>
  <c r="Y6" i="73"/>
  <c r="W6" i="73"/>
  <c r="T6" i="73"/>
  <c r="P6" i="73"/>
  <c r="N6" i="73"/>
  <c r="G6" i="73"/>
  <c r="E6" i="73"/>
  <c r="B6" i="73"/>
  <c r="Y5" i="73"/>
  <c r="W5" i="73"/>
  <c r="T5" i="73"/>
  <c r="P5" i="73"/>
  <c r="N5" i="73"/>
  <c r="K5" i="73"/>
  <c r="G5" i="73"/>
  <c r="E5" i="73"/>
  <c r="B5" i="73"/>
  <c r="Y4" i="73"/>
  <c r="Y25" i="73" s="1"/>
  <c r="W4" i="73"/>
  <c r="T4" i="73"/>
  <c r="P4" i="73"/>
  <c r="N4" i="73"/>
  <c r="G4" i="73"/>
  <c r="G13" i="73" s="1"/>
  <c r="G22" i="73" s="1"/>
  <c r="E4" i="73"/>
  <c r="B4" i="73"/>
  <c r="N186" i="72"/>
  <c r="N185" i="72"/>
  <c r="N184" i="72"/>
  <c r="N183" i="72"/>
  <c r="N182" i="72"/>
  <c r="N181" i="72"/>
  <c r="N180" i="72"/>
  <c r="N179" i="72"/>
  <c r="N178" i="72"/>
  <c r="N177" i="72"/>
  <c r="N176" i="72"/>
  <c r="N175" i="72"/>
  <c r="N174" i="72"/>
  <c r="N173" i="72"/>
  <c r="N172" i="72"/>
  <c r="N171" i="72"/>
  <c r="N170" i="72"/>
  <c r="N169" i="72"/>
  <c r="N168" i="72"/>
  <c r="N167" i="72"/>
  <c r="N166" i="72"/>
  <c r="N165" i="72"/>
  <c r="N164" i="72"/>
  <c r="N163" i="72"/>
  <c r="N162" i="72"/>
  <c r="N161" i="72"/>
  <c r="N160" i="72"/>
  <c r="N159" i="72"/>
  <c r="N158" i="72"/>
  <c r="N157" i="72"/>
  <c r="N156" i="72"/>
  <c r="N155" i="72"/>
  <c r="N154" i="72"/>
  <c r="N153" i="72"/>
  <c r="N152" i="72"/>
  <c r="N151" i="72"/>
  <c r="N150" i="72"/>
  <c r="N149" i="72"/>
  <c r="N148" i="72"/>
  <c r="N147" i="72"/>
  <c r="N146" i="72"/>
  <c r="N145" i="72"/>
  <c r="N144" i="72"/>
  <c r="N143" i="72"/>
  <c r="N142" i="72"/>
  <c r="N141" i="72"/>
  <c r="N140" i="72"/>
  <c r="N139" i="72"/>
  <c r="D67" i="72"/>
  <c r="C65" i="72"/>
  <c r="G63" i="72"/>
  <c r="E63" i="72"/>
  <c r="B63" i="72"/>
  <c r="G62" i="72"/>
  <c r="E62" i="72"/>
  <c r="B62" i="72"/>
  <c r="G61" i="72"/>
  <c r="E61" i="72"/>
  <c r="B61" i="72"/>
  <c r="G60" i="72"/>
  <c r="E60" i="72"/>
  <c r="B60" i="72"/>
  <c r="G59" i="72"/>
  <c r="E59" i="72"/>
  <c r="B59" i="72"/>
  <c r="G58" i="72"/>
  <c r="E58" i="72"/>
  <c r="B58" i="72"/>
  <c r="G57" i="72"/>
  <c r="E57" i="72"/>
  <c r="B57" i="72"/>
  <c r="G56" i="72"/>
  <c r="E56" i="72"/>
  <c r="B56" i="72"/>
  <c r="G55" i="72"/>
  <c r="E55" i="72"/>
  <c r="B55" i="72"/>
  <c r="G54" i="72"/>
  <c r="G65" i="72" s="1"/>
  <c r="E54" i="72"/>
  <c r="B54" i="72"/>
  <c r="B65" i="72" s="1"/>
  <c r="B67" i="72" s="1"/>
  <c r="E40" i="72"/>
  <c r="C40" i="72"/>
  <c r="C67" i="72" s="1"/>
  <c r="G38" i="72"/>
  <c r="E38" i="72"/>
  <c r="B38" i="72"/>
  <c r="G37" i="72"/>
  <c r="E37" i="72"/>
  <c r="B37" i="72"/>
  <c r="G36" i="72"/>
  <c r="E36" i="72"/>
  <c r="B36" i="72"/>
  <c r="G35" i="72"/>
  <c r="E35" i="72"/>
  <c r="B35" i="72"/>
  <c r="G34" i="72"/>
  <c r="E34" i="72"/>
  <c r="B34" i="72"/>
  <c r="G28" i="72"/>
  <c r="E28" i="72"/>
  <c r="B28" i="72"/>
  <c r="G27" i="72"/>
  <c r="E27" i="72"/>
  <c r="B27" i="72"/>
  <c r="G26" i="72"/>
  <c r="G40" i="72" s="1"/>
  <c r="E26" i="72"/>
  <c r="B26" i="72"/>
  <c r="B40" i="72" s="1"/>
  <c r="L25" i="72"/>
  <c r="Y23" i="72"/>
  <c r="W23" i="72"/>
  <c r="Y22" i="72"/>
  <c r="W22" i="72"/>
  <c r="C22" i="72"/>
  <c r="Y21" i="72"/>
  <c r="W21" i="72"/>
  <c r="Y20" i="72"/>
  <c r="W20" i="72"/>
  <c r="P18" i="72"/>
  <c r="N18" i="72"/>
  <c r="Y16" i="72"/>
  <c r="W16" i="72"/>
  <c r="G16" i="72"/>
  <c r="E16" i="72"/>
  <c r="B16" i="72"/>
  <c r="B22" i="72" s="1"/>
  <c r="Y15" i="72"/>
  <c r="W15" i="72"/>
  <c r="C13" i="72"/>
  <c r="G10" i="72"/>
  <c r="E10" i="72"/>
  <c r="B10" i="72"/>
  <c r="B13" i="72" s="1"/>
  <c r="G9" i="72"/>
  <c r="E9" i="72"/>
  <c r="B9" i="72"/>
  <c r="U8" i="72"/>
  <c r="P8" i="72"/>
  <c r="N8" i="72"/>
  <c r="G8" i="72"/>
  <c r="E8" i="72"/>
  <c r="B8" i="72"/>
  <c r="Y7" i="72"/>
  <c r="P7" i="72"/>
  <c r="N7" i="72"/>
  <c r="G7" i="72"/>
  <c r="E7" i="72"/>
  <c r="B7" i="72"/>
  <c r="Y6" i="72"/>
  <c r="W6" i="72"/>
  <c r="T6" i="72"/>
  <c r="P6" i="72"/>
  <c r="N6" i="72"/>
  <c r="G6" i="72"/>
  <c r="E6" i="72"/>
  <c r="B6" i="72"/>
  <c r="Y5" i="72"/>
  <c r="W5" i="72"/>
  <c r="T5" i="72"/>
  <c r="P5" i="72"/>
  <c r="N5" i="72"/>
  <c r="K5" i="72"/>
  <c r="G5" i="72"/>
  <c r="E5" i="72"/>
  <c r="B5" i="72"/>
  <c r="Y4" i="72"/>
  <c r="Y25" i="72" s="1"/>
  <c r="W4" i="72"/>
  <c r="T4" i="72"/>
  <c r="P4" i="72"/>
  <c r="N4" i="72"/>
  <c r="G4" i="72"/>
  <c r="G13" i="72" s="1"/>
  <c r="G22" i="72" s="1"/>
  <c r="M70" i="72" s="1"/>
  <c r="E4" i="72"/>
  <c r="B4" i="72"/>
  <c r="N18" i="71"/>
  <c r="Y25" i="71"/>
  <c r="Y23" i="71"/>
  <c r="W23" i="71"/>
  <c r="N186" i="71"/>
  <c r="N185" i="71"/>
  <c r="N184" i="71"/>
  <c r="N183" i="71"/>
  <c r="N182" i="71"/>
  <c r="N181" i="71"/>
  <c r="N180" i="71"/>
  <c r="N179" i="71"/>
  <c r="N178" i="71"/>
  <c r="N177" i="71"/>
  <c r="N176" i="71"/>
  <c r="N175" i="71"/>
  <c r="N174" i="71"/>
  <c r="N173" i="71"/>
  <c r="N172" i="71"/>
  <c r="N171" i="71"/>
  <c r="N170" i="71"/>
  <c r="N169" i="71"/>
  <c r="N168" i="71"/>
  <c r="N167" i="71"/>
  <c r="N166" i="71"/>
  <c r="N165" i="71"/>
  <c r="N164" i="71"/>
  <c r="N163" i="71"/>
  <c r="N162" i="71"/>
  <c r="N161" i="71"/>
  <c r="N160" i="71"/>
  <c r="N159" i="71"/>
  <c r="N158" i="71"/>
  <c r="N157" i="71"/>
  <c r="N156" i="71"/>
  <c r="N155" i="71"/>
  <c r="N154" i="71"/>
  <c r="N153" i="71"/>
  <c r="N152" i="71"/>
  <c r="N151" i="71"/>
  <c r="N150" i="71"/>
  <c r="N149" i="71"/>
  <c r="N148" i="71"/>
  <c r="N147" i="71"/>
  <c r="N146" i="71"/>
  <c r="N145" i="71"/>
  <c r="N144" i="71"/>
  <c r="N143" i="71"/>
  <c r="N142" i="71"/>
  <c r="N141" i="71"/>
  <c r="N140" i="71"/>
  <c r="N139" i="71"/>
  <c r="D67" i="71"/>
  <c r="C65" i="71"/>
  <c r="G63" i="71"/>
  <c r="E63" i="71"/>
  <c r="B63" i="71"/>
  <c r="G62" i="71"/>
  <c r="E62" i="71"/>
  <c r="B62" i="71"/>
  <c r="G61" i="71"/>
  <c r="E61" i="71"/>
  <c r="B61" i="71"/>
  <c r="G60" i="71"/>
  <c r="E60" i="71"/>
  <c r="B60" i="71"/>
  <c r="G59" i="71"/>
  <c r="E59" i="71"/>
  <c r="B59" i="71"/>
  <c r="G58" i="71"/>
  <c r="E58" i="71"/>
  <c r="B58" i="71"/>
  <c r="G57" i="71"/>
  <c r="E57" i="71"/>
  <c r="B57" i="71"/>
  <c r="G56" i="71"/>
  <c r="E56" i="71"/>
  <c r="B56" i="71"/>
  <c r="G55" i="71"/>
  <c r="E55" i="71"/>
  <c r="B55" i="71"/>
  <c r="G54" i="71"/>
  <c r="G65" i="71" s="1"/>
  <c r="E54" i="71"/>
  <c r="B54" i="71"/>
  <c r="B65" i="71" s="1"/>
  <c r="E40" i="71"/>
  <c r="C40" i="71"/>
  <c r="C67" i="71" s="1"/>
  <c r="G38" i="71"/>
  <c r="E38" i="71"/>
  <c r="B38" i="71"/>
  <c r="G37" i="71"/>
  <c r="E37" i="71"/>
  <c r="B37" i="71"/>
  <c r="G36" i="71"/>
  <c r="E36" i="71"/>
  <c r="B36" i="71"/>
  <c r="G35" i="71"/>
  <c r="E35" i="71"/>
  <c r="B35" i="71"/>
  <c r="G34" i="71"/>
  <c r="E34" i="71"/>
  <c r="B34" i="71"/>
  <c r="G28" i="71"/>
  <c r="E28" i="71"/>
  <c r="B28" i="71"/>
  <c r="G27" i="71"/>
  <c r="G40" i="71" s="1"/>
  <c r="N70" i="71" s="1"/>
  <c r="E27" i="71"/>
  <c r="B27" i="71"/>
  <c r="G26" i="71"/>
  <c r="E26" i="71"/>
  <c r="B26" i="71"/>
  <c r="B40" i="71" s="1"/>
  <c r="U25" i="71"/>
  <c r="L25" i="71"/>
  <c r="K69" i="71" s="1"/>
  <c r="Y22" i="71"/>
  <c r="W22" i="71"/>
  <c r="C22" i="71"/>
  <c r="Y21" i="71"/>
  <c r="W21" i="71"/>
  <c r="Y20" i="71"/>
  <c r="W20" i="71"/>
  <c r="P18" i="71"/>
  <c r="Y16" i="71"/>
  <c r="W16" i="71"/>
  <c r="G16" i="71"/>
  <c r="E16" i="71"/>
  <c r="B16" i="71"/>
  <c r="Y15" i="71"/>
  <c r="W15" i="71"/>
  <c r="C13" i="71"/>
  <c r="G10" i="71"/>
  <c r="E10" i="71"/>
  <c r="B10" i="71"/>
  <c r="B13" i="71" s="1"/>
  <c r="G9" i="71"/>
  <c r="E9" i="71"/>
  <c r="B9" i="71"/>
  <c r="U8" i="71"/>
  <c r="P8" i="71"/>
  <c r="N8" i="71"/>
  <c r="G8" i="71"/>
  <c r="E8" i="71"/>
  <c r="B8" i="71"/>
  <c r="Y7" i="71"/>
  <c r="P7" i="71"/>
  <c r="N7" i="71"/>
  <c r="G7" i="71"/>
  <c r="E7" i="71"/>
  <c r="B7" i="71"/>
  <c r="Y6" i="71"/>
  <c r="W6" i="71"/>
  <c r="T6" i="71"/>
  <c r="P6" i="71"/>
  <c r="N6" i="71"/>
  <c r="G6" i="71"/>
  <c r="E6" i="71"/>
  <c r="B6" i="71"/>
  <c r="Y5" i="71"/>
  <c r="W5" i="71"/>
  <c r="T5" i="71"/>
  <c r="P5" i="71"/>
  <c r="N5" i="71"/>
  <c r="K5" i="71"/>
  <c r="K25" i="71" s="1"/>
  <c r="G5" i="71"/>
  <c r="E5" i="71"/>
  <c r="B5" i="71"/>
  <c r="Y4" i="71"/>
  <c r="W4" i="71"/>
  <c r="T4" i="71"/>
  <c r="T25" i="71" s="1"/>
  <c r="P4" i="71"/>
  <c r="N4" i="71"/>
  <c r="G4" i="71"/>
  <c r="G13" i="71" s="1"/>
  <c r="G22" i="71" s="1"/>
  <c r="E4" i="71"/>
  <c r="B4" i="71"/>
  <c r="N8" i="70"/>
  <c r="N7" i="70"/>
  <c r="N18" i="70"/>
  <c r="U25" i="70"/>
  <c r="N186" i="70"/>
  <c r="N185" i="70"/>
  <c r="N184" i="70"/>
  <c r="N183" i="70"/>
  <c r="N182" i="70"/>
  <c r="N181" i="70"/>
  <c r="N180" i="70"/>
  <c r="N179" i="70"/>
  <c r="N178" i="70"/>
  <c r="N177" i="70"/>
  <c r="N176" i="70"/>
  <c r="N175" i="70"/>
  <c r="N174" i="70"/>
  <c r="N173" i="70"/>
  <c r="N172" i="70"/>
  <c r="N171" i="70"/>
  <c r="N170" i="70"/>
  <c r="N169" i="70"/>
  <c r="N168" i="70"/>
  <c r="N167" i="70"/>
  <c r="N166" i="70"/>
  <c r="N165" i="70"/>
  <c r="N164" i="70"/>
  <c r="N163" i="70"/>
  <c r="N162" i="70"/>
  <c r="N161" i="70"/>
  <c r="N160" i="70"/>
  <c r="N159" i="70"/>
  <c r="N158" i="70"/>
  <c r="N157" i="70"/>
  <c r="N156" i="70"/>
  <c r="N155" i="70"/>
  <c r="N154" i="70"/>
  <c r="N153" i="70"/>
  <c r="N152" i="70"/>
  <c r="N151" i="70"/>
  <c r="N150" i="70"/>
  <c r="N149" i="70"/>
  <c r="N148" i="70"/>
  <c r="N147" i="70"/>
  <c r="N146" i="70"/>
  <c r="N145" i="70"/>
  <c r="N144" i="70"/>
  <c r="N143" i="70"/>
  <c r="N142" i="70"/>
  <c r="N141" i="70"/>
  <c r="N140" i="70"/>
  <c r="N139" i="70"/>
  <c r="D67" i="70"/>
  <c r="C65" i="70"/>
  <c r="G63" i="70"/>
  <c r="E63" i="70"/>
  <c r="B63" i="70"/>
  <c r="G62" i="70"/>
  <c r="E62" i="70"/>
  <c r="B62" i="70"/>
  <c r="G61" i="70"/>
  <c r="E61" i="70"/>
  <c r="B61" i="70"/>
  <c r="G60" i="70"/>
  <c r="E60" i="70"/>
  <c r="B60" i="70"/>
  <c r="G59" i="70"/>
  <c r="E59" i="70"/>
  <c r="B59" i="70"/>
  <c r="G58" i="70"/>
  <c r="E58" i="70"/>
  <c r="B58" i="70"/>
  <c r="G57" i="70"/>
  <c r="E57" i="70"/>
  <c r="B57" i="70"/>
  <c r="G56" i="70"/>
  <c r="E56" i="70"/>
  <c r="B56" i="70"/>
  <c r="G55" i="70"/>
  <c r="E55" i="70"/>
  <c r="B55" i="70"/>
  <c r="G54" i="70"/>
  <c r="G65" i="70" s="1"/>
  <c r="E54" i="70"/>
  <c r="B54" i="70"/>
  <c r="B65" i="70" s="1"/>
  <c r="B67" i="70" s="1"/>
  <c r="E40" i="70"/>
  <c r="C40" i="70"/>
  <c r="C67" i="70" s="1"/>
  <c r="G38" i="70"/>
  <c r="E38" i="70"/>
  <c r="B38" i="70"/>
  <c r="G37" i="70"/>
  <c r="E37" i="70"/>
  <c r="B37" i="70"/>
  <c r="G36" i="70"/>
  <c r="E36" i="70"/>
  <c r="B36" i="70"/>
  <c r="G35" i="70"/>
  <c r="E35" i="70"/>
  <c r="B35" i="70"/>
  <c r="G34" i="70"/>
  <c r="E34" i="70"/>
  <c r="B34" i="70"/>
  <c r="G28" i="70"/>
  <c r="E28" i="70"/>
  <c r="B28" i="70"/>
  <c r="G27" i="70"/>
  <c r="E27" i="70"/>
  <c r="B27" i="70"/>
  <c r="G26" i="70"/>
  <c r="G40" i="70" s="1"/>
  <c r="E26" i="70"/>
  <c r="B26" i="70"/>
  <c r="B40" i="70" s="1"/>
  <c r="L25" i="70"/>
  <c r="K69" i="70" s="1"/>
  <c r="Y22" i="70"/>
  <c r="W22" i="70"/>
  <c r="C22" i="70"/>
  <c r="Y21" i="70"/>
  <c r="W21" i="70"/>
  <c r="Y20" i="70"/>
  <c r="W20" i="70"/>
  <c r="P18" i="70"/>
  <c r="Y16" i="70"/>
  <c r="W16" i="70"/>
  <c r="G16" i="70"/>
  <c r="E16" i="70"/>
  <c r="B16" i="70"/>
  <c r="B22" i="70" s="1"/>
  <c r="Y15" i="70"/>
  <c r="W15" i="70"/>
  <c r="C13" i="70"/>
  <c r="G10" i="70"/>
  <c r="E10" i="70"/>
  <c r="B10" i="70"/>
  <c r="G9" i="70"/>
  <c r="E9" i="70"/>
  <c r="B9" i="70"/>
  <c r="U8" i="70"/>
  <c r="P8" i="70"/>
  <c r="G8" i="70"/>
  <c r="E8" i="70"/>
  <c r="B8" i="70"/>
  <c r="Y7" i="70"/>
  <c r="P7" i="70"/>
  <c r="G7" i="70"/>
  <c r="E7" i="70"/>
  <c r="B7" i="70"/>
  <c r="Y6" i="70"/>
  <c r="W6" i="70"/>
  <c r="T6" i="70"/>
  <c r="P6" i="70"/>
  <c r="N6" i="70"/>
  <c r="G6" i="70"/>
  <c r="E6" i="70"/>
  <c r="B6" i="70"/>
  <c r="Y5" i="70"/>
  <c r="W5" i="70"/>
  <c r="T5" i="70"/>
  <c r="P5" i="70"/>
  <c r="N5" i="70"/>
  <c r="K5" i="70"/>
  <c r="K25" i="70" s="1"/>
  <c r="G5" i="70"/>
  <c r="E5" i="70"/>
  <c r="B5" i="70"/>
  <c r="B13" i="70" s="1"/>
  <c r="Y4" i="70"/>
  <c r="Y25" i="70" s="1"/>
  <c r="W4" i="70"/>
  <c r="T4" i="70"/>
  <c r="T25" i="70" s="1"/>
  <c r="P4" i="70"/>
  <c r="N4" i="70"/>
  <c r="G4" i="70"/>
  <c r="G13" i="70" s="1"/>
  <c r="G22" i="70" s="1"/>
  <c r="E4" i="70"/>
  <c r="B4" i="70"/>
  <c r="U25" i="69"/>
  <c r="T25" i="69"/>
  <c r="L25" i="69"/>
  <c r="K25" i="69"/>
  <c r="C67" i="69"/>
  <c r="B67" i="69"/>
  <c r="C13" i="69"/>
  <c r="B13" i="69"/>
  <c r="N186" i="69"/>
  <c r="N185" i="69"/>
  <c r="N184" i="69"/>
  <c r="N183" i="69"/>
  <c r="N182" i="69"/>
  <c r="N181" i="69"/>
  <c r="N180" i="69"/>
  <c r="N179" i="69"/>
  <c r="N178" i="69"/>
  <c r="N177" i="69"/>
  <c r="N176" i="69"/>
  <c r="N175" i="69"/>
  <c r="N174" i="69"/>
  <c r="N173" i="69"/>
  <c r="N172" i="69"/>
  <c r="N171" i="69"/>
  <c r="N170" i="69"/>
  <c r="N169" i="69"/>
  <c r="N168" i="69"/>
  <c r="N167" i="69"/>
  <c r="N166" i="69"/>
  <c r="N165" i="69"/>
  <c r="N164" i="69"/>
  <c r="N163" i="69"/>
  <c r="N162" i="69"/>
  <c r="N161" i="69"/>
  <c r="N160" i="69"/>
  <c r="N159" i="69"/>
  <c r="N158" i="69"/>
  <c r="N157" i="69"/>
  <c r="N156" i="69"/>
  <c r="N155" i="69"/>
  <c r="N154" i="69"/>
  <c r="N153" i="69"/>
  <c r="N152" i="69"/>
  <c r="N151" i="69"/>
  <c r="N150" i="69"/>
  <c r="N149" i="69"/>
  <c r="N148" i="69"/>
  <c r="N147" i="69"/>
  <c r="N146" i="69"/>
  <c r="N145" i="69"/>
  <c r="N144" i="69"/>
  <c r="N143" i="69"/>
  <c r="N142" i="69"/>
  <c r="N141" i="69"/>
  <c r="N140" i="69"/>
  <c r="N139" i="69"/>
  <c r="D67" i="69"/>
  <c r="C65" i="69"/>
  <c r="G63" i="69"/>
  <c r="E63" i="69"/>
  <c r="B63" i="69"/>
  <c r="G62" i="69"/>
  <c r="E62" i="69"/>
  <c r="B62" i="69"/>
  <c r="G61" i="69"/>
  <c r="E61" i="69"/>
  <c r="B61" i="69"/>
  <c r="G60" i="69"/>
  <c r="E60" i="69"/>
  <c r="B60" i="69"/>
  <c r="G59" i="69"/>
  <c r="E59" i="69"/>
  <c r="B59" i="69"/>
  <c r="G58" i="69"/>
  <c r="E58" i="69"/>
  <c r="B58" i="69"/>
  <c r="G57" i="69"/>
  <c r="E57" i="69"/>
  <c r="B57" i="69"/>
  <c r="G56" i="69"/>
  <c r="E56" i="69"/>
  <c r="B56" i="69"/>
  <c r="G55" i="69"/>
  <c r="E55" i="69"/>
  <c r="B55" i="69"/>
  <c r="G54" i="69"/>
  <c r="G65" i="69" s="1"/>
  <c r="E54" i="69"/>
  <c r="B54" i="69"/>
  <c r="B65" i="69" s="1"/>
  <c r="E40" i="69"/>
  <c r="C40" i="69"/>
  <c r="G38" i="69"/>
  <c r="E38" i="69"/>
  <c r="B38" i="69"/>
  <c r="G37" i="69"/>
  <c r="E37" i="69"/>
  <c r="B37" i="69"/>
  <c r="G36" i="69"/>
  <c r="E36" i="69"/>
  <c r="B36" i="69"/>
  <c r="G35" i="69"/>
  <c r="E35" i="69"/>
  <c r="B35" i="69"/>
  <c r="G34" i="69"/>
  <c r="E34" i="69"/>
  <c r="B34" i="69"/>
  <c r="G28" i="69"/>
  <c r="E28" i="69"/>
  <c r="B28" i="69"/>
  <c r="G27" i="69"/>
  <c r="E27" i="69"/>
  <c r="B27" i="69"/>
  <c r="G26" i="69"/>
  <c r="G40" i="69" s="1"/>
  <c r="N70" i="69" s="1"/>
  <c r="E26" i="69"/>
  <c r="B26" i="69"/>
  <c r="B40" i="69" s="1"/>
  <c r="Y22" i="69"/>
  <c r="W22" i="69"/>
  <c r="C22" i="69"/>
  <c r="Y21" i="69"/>
  <c r="W21" i="69"/>
  <c r="Y20" i="69"/>
  <c r="W20" i="69"/>
  <c r="P18" i="69"/>
  <c r="N18" i="69"/>
  <c r="K18" i="69"/>
  <c r="Y16" i="69"/>
  <c r="W16" i="69"/>
  <c r="G16" i="69"/>
  <c r="E16" i="69"/>
  <c r="B16" i="69"/>
  <c r="B22" i="69" s="1"/>
  <c r="Y15" i="69"/>
  <c r="W15" i="69"/>
  <c r="G10" i="69"/>
  <c r="E10" i="69"/>
  <c r="B10" i="69"/>
  <c r="G9" i="69"/>
  <c r="E9" i="69"/>
  <c r="B9" i="69"/>
  <c r="U8" i="69"/>
  <c r="P8" i="69"/>
  <c r="N8" i="69"/>
  <c r="G8" i="69"/>
  <c r="E8" i="69"/>
  <c r="B8" i="69"/>
  <c r="Y7" i="69"/>
  <c r="Y25" i="69" s="1"/>
  <c r="P7" i="69"/>
  <c r="N7" i="69"/>
  <c r="G7" i="69"/>
  <c r="E7" i="69"/>
  <c r="B7" i="69"/>
  <c r="Y6" i="69"/>
  <c r="W6" i="69"/>
  <c r="T6" i="69"/>
  <c r="P6" i="69"/>
  <c r="N6" i="69"/>
  <c r="G6" i="69"/>
  <c r="E6" i="69"/>
  <c r="B6" i="69"/>
  <c r="Y5" i="69"/>
  <c r="W5" i="69"/>
  <c r="T5" i="69"/>
  <c r="P5" i="69"/>
  <c r="N5" i="69"/>
  <c r="K5" i="69"/>
  <c r="G5" i="69"/>
  <c r="E5" i="69"/>
  <c r="B5" i="69"/>
  <c r="Y4" i="69"/>
  <c r="W4" i="69"/>
  <c r="T4" i="69"/>
  <c r="P4" i="69"/>
  <c r="P25" i="69" s="1"/>
  <c r="N4" i="69"/>
  <c r="G4" i="69"/>
  <c r="G13" i="69" s="1"/>
  <c r="E4" i="69"/>
  <c r="B4" i="69"/>
  <c r="K69" i="72" l="1"/>
  <c r="N70" i="73"/>
  <c r="N70" i="72"/>
  <c r="P25" i="72"/>
  <c r="K69" i="73"/>
  <c r="P25" i="73"/>
  <c r="M70" i="73"/>
  <c r="B65" i="73"/>
  <c r="B67" i="73" s="1"/>
  <c r="K68" i="73" s="1"/>
  <c r="G65" i="73"/>
  <c r="O70" i="73" s="1"/>
  <c r="K68" i="72"/>
  <c r="O70" i="72"/>
  <c r="P70" i="72" s="1"/>
  <c r="G67" i="72"/>
  <c r="K70" i="72" s="1"/>
  <c r="P25" i="71"/>
  <c r="M70" i="71"/>
  <c r="O70" i="71"/>
  <c r="G67" i="71"/>
  <c r="K70" i="71" s="1"/>
  <c r="P70" i="71"/>
  <c r="B22" i="71"/>
  <c r="B67" i="71" s="1"/>
  <c r="K68" i="71" s="1"/>
  <c r="M70" i="70"/>
  <c r="N70" i="70"/>
  <c r="P70" i="70" s="1"/>
  <c r="P25" i="70"/>
  <c r="O70" i="70"/>
  <c r="G67" i="70"/>
  <c r="K70" i="70" s="1"/>
  <c r="K68" i="70"/>
  <c r="G22" i="69"/>
  <c r="M70" i="69" s="1"/>
  <c r="P70" i="69" s="1"/>
  <c r="O70" i="69"/>
  <c r="K69" i="69"/>
  <c r="K68" i="69"/>
  <c r="U25" i="67"/>
  <c r="P4" i="68"/>
  <c r="N4" i="68"/>
  <c r="N186" i="68"/>
  <c r="N185" i="68"/>
  <c r="N184" i="68"/>
  <c r="N183" i="68"/>
  <c r="N182" i="68"/>
  <c r="N181" i="68"/>
  <c r="N180" i="68"/>
  <c r="N179" i="68"/>
  <c r="N178" i="68"/>
  <c r="N177" i="68"/>
  <c r="N176" i="68"/>
  <c r="N175" i="68"/>
  <c r="N174" i="68"/>
  <c r="N173" i="68"/>
  <c r="N172" i="68"/>
  <c r="N171" i="68"/>
  <c r="N170" i="68"/>
  <c r="N169" i="68"/>
  <c r="N168" i="68"/>
  <c r="N167" i="68"/>
  <c r="N166" i="68"/>
  <c r="N165" i="68"/>
  <c r="N164" i="68"/>
  <c r="N163" i="68"/>
  <c r="N162" i="68"/>
  <c r="N161" i="68"/>
  <c r="N160" i="68"/>
  <c r="N159" i="68"/>
  <c r="N158" i="68"/>
  <c r="N157" i="68"/>
  <c r="N156" i="68"/>
  <c r="N155" i="68"/>
  <c r="N154" i="68"/>
  <c r="N153" i="68"/>
  <c r="N152" i="68"/>
  <c r="N151" i="68"/>
  <c r="N150" i="68"/>
  <c r="N149" i="68"/>
  <c r="N148" i="68"/>
  <c r="N147" i="68"/>
  <c r="N146" i="68"/>
  <c r="N145" i="68"/>
  <c r="N144" i="68"/>
  <c r="N143" i="68"/>
  <c r="N142" i="68"/>
  <c r="N141" i="68"/>
  <c r="N140" i="68"/>
  <c r="N139" i="68"/>
  <c r="D67" i="68"/>
  <c r="C65" i="68"/>
  <c r="C67" i="68" s="1"/>
  <c r="G63" i="68"/>
  <c r="E63" i="68"/>
  <c r="G62" i="68"/>
  <c r="E62" i="68"/>
  <c r="G61" i="68"/>
  <c r="E61" i="68"/>
  <c r="B61" i="68"/>
  <c r="G60" i="68"/>
  <c r="E60" i="68"/>
  <c r="B60" i="68"/>
  <c r="G59" i="68"/>
  <c r="E59" i="68"/>
  <c r="G58" i="68"/>
  <c r="E58" i="68"/>
  <c r="G57" i="68"/>
  <c r="E57" i="68"/>
  <c r="B57" i="68"/>
  <c r="G56" i="68"/>
  <c r="E56" i="68"/>
  <c r="B56" i="68"/>
  <c r="G55" i="68"/>
  <c r="E55" i="68"/>
  <c r="B55" i="68"/>
  <c r="G54" i="68"/>
  <c r="E54" i="68"/>
  <c r="B54" i="68"/>
  <c r="G49" i="68"/>
  <c r="E49" i="68"/>
  <c r="B49" i="68"/>
  <c r="G48" i="68"/>
  <c r="E48" i="68"/>
  <c r="B48" i="68"/>
  <c r="G47" i="68"/>
  <c r="E47" i="68"/>
  <c r="B47" i="68"/>
  <c r="G46" i="68"/>
  <c r="E46" i="68"/>
  <c r="B46" i="68"/>
  <c r="E40" i="68"/>
  <c r="C40" i="68"/>
  <c r="G38" i="68"/>
  <c r="E38" i="68"/>
  <c r="B38" i="68"/>
  <c r="G37" i="68"/>
  <c r="E37" i="68"/>
  <c r="B37" i="68"/>
  <c r="E36" i="68"/>
  <c r="G35" i="68"/>
  <c r="E35" i="68"/>
  <c r="B35" i="68"/>
  <c r="G34" i="68"/>
  <c r="E34" i="68"/>
  <c r="B34" i="68"/>
  <c r="G28" i="68"/>
  <c r="E28" i="68"/>
  <c r="B28" i="68"/>
  <c r="G27" i="68"/>
  <c r="E27" i="68"/>
  <c r="B27" i="68"/>
  <c r="G26" i="68"/>
  <c r="E26" i="68"/>
  <c r="B26" i="68"/>
  <c r="U25" i="68"/>
  <c r="L25" i="68"/>
  <c r="Y22" i="68"/>
  <c r="W22" i="68"/>
  <c r="C22" i="68"/>
  <c r="Y21" i="68"/>
  <c r="W21" i="68"/>
  <c r="Y20" i="68"/>
  <c r="W20" i="68"/>
  <c r="P18" i="68"/>
  <c r="N18" i="68"/>
  <c r="Y16" i="68"/>
  <c r="W16" i="68"/>
  <c r="G16" i="68"/>
  <c r="E16" i="68"/>
  <c r="B16" i="68"/>
  <c r="B22" i="68" s="1"/>
  <c r="Y15" i="68"/>
  <c r="W15" i="68"/>
  <c r="G13" i="68"/>
  <c r="G22" i="68" s="1"/>
  <c r="M70" i="68" s="1"/>
  <c r="C13" i="68"/>
  <c r="G11" i="68"/>
  <c r="E11" i="68"/>
  <c r="B11" i="68"/>
  <c r="B13" i="68" s="1"/>
  <c r="G10" i="68"/>
  <c r="E10" i="68"/>
  <c r="B10" i="68"/>
  <c r="G9" i="68"/>
  <c r="E9" i="68"/>
  <c r="B9" i="68"/>
  <c r="U8" i="68"/>
  <c r="P8" i="68"/>
  <c r="N8" i="68"/>
  <c r="G8" i="68"/>
  <c r="E8" i="68"/>
  <c r="Y7" i="68"/>
  <c r="P7" i="68"/>
  <c r="N7" i="68"/>
  <c r="G7" i="68"/>
  <c r="E7" i="68"/>
  <c r="Y6" i="68"/>
  <c r="W6" i="68"/>
  <c r="T6" i="68"/>
  <c r="P6" i="68"/>
  <c r="N6" i="68"/>
  <c r="G6" i="68"/>
  <c r="E6" i="68"/>
  <c r="Y5" i="68"/>
  <c r="W5" i="68"/>
  <c r="T5" i="68"/>
  <c r="P5" i="68"/>
  <c r="N5" i="68"/>
  <c r="K5" i="68"/>
  <c r="G5" i="68"/>
  <c r="E5" i="68"/>
  <c r="Y4" i="68"/>
  <c r="W4" i="68"/>
  <c r="T4" i="68"/>
  <c r="T25" i="68" s="1"/>
  <c r="G4" i="68"/>
  <c r="E4" i="68"/>
  <c r="G7" i="67"/>
  <c r="G4" i="67"/>
  <c r="E4" i="67"/>
  <c r="G49" i="67"/>
  <c r="E49" i="67"/>
  <c r="B49" i="67"/>
  <c r="G48" i="67"/>
  <c r="E48" i="67"/>
  <c r="B48" i="67"/>
  <c r="G47" i="67"/>
  <c r="E47" i="67"/>
  <c r="B47" i="67"/>
  <c r="G46" i="67"/>
  <c r="E46" i="67"/>
  <c r="B46" i="67"/>
  <c r="E36" i="67"/>
  <c r="B37" i="67"/>
  <c r="B38" i="67"/>
  <c r="E37" i="67"/>
  <c r="E38" i="67"/>
  <c r="G35" i="67"/>
  <c r="E35" i="67"/>
  <c r="B35" i="67"/>
  <c r="B16" i="67"/>
  <c r="G8" i="67"/>
  <c r="G11" i="67"/>
  <c r="E7" i="67"/>
  <c r="N186" i="67"/>
  <c r="N185" i="67"/>
  <c r="N184" i="67"/>
  <c r="N183" i="67"/>
  <c r="N182" i="67"/>
  <c r="N181" i="67"/>
  <c r="N180" i="67"/>
  <c r="N179" i="67"/>
  <c r="N178" i="67"/>
  <c r="N177" i="67"/>
  <c r="N176" i="67"/>
  <c r="N175" i="67"/>
  <c r="N174" i="67"/>
  <c r="N173" i="67"/>
  <c r="N172" i="67"/>
  <c r="N171" i="67"/>
  <c r="N170" i="67"/>
  <c r="N169" i="67"/>
  <c r="N168" i="67"/>
  <c r="N167" i="67"/>
  <c r="N166" i="67"/>
  <c r="N165" i="67"/>
  <c r="N164" i="67"/>
  <c r="N163" i="67"/>
  <c r="N162" i="67"/>
  <c r="N161" i="67"/>
  <c r="N160" i="67"/>
  <c r="N159" i="67"/>
  <c r="N158" i="67"/>
  <c r="N157" i="67"/>
  <c r="N156" i="67"/>
  <c r="N155" i="67"/>
  <c r="N154" i="67"/>
  <c r="N153" i="67"/>
  <c r="N152" i="67"/>
  <c r="N151" i="67"/>
  <c r="N150" i="67"/>
  <c r="N149" i="67"/>
  <c r="N148" i="67"/>
  <c r="N147" i="67"/>
  <c r="N146" i="67"/>
  <c r="N145" i="67"/>
  <c r="N144" i="67"/>
  <c r="N143" i="67"/>
  <c r="N142" i="67"/>
  <c r="N141" i="67"/>
  <c r="N140" i="67"/>
  <c r="N139" i="67"/>
  <c r="D67" i="67"/>
  <c r="C65" i="67"/>
  <c r="G63" i="67"/>
  <c r="E63" i="67"/>
  <c r="G62" i="67"/>
  <c r="E62" i="67"/>
  <c r="G61" i="67"/>
  <c r="E61" i="67"/>
  <c r="B61" i="67"/>
  <c r="G60" i="67"/>
  <c r="E60" i="67"/>
  <c r="B60" i="67"/>
  <c r="G59" i="67"/>
  <c r="E59" i="67"/>
  <c r="G58" i="67"/>
  <c r="E58" i="67"/>
  <c r="G57" i="67"/>
  <c r="E57" i="67"/>
  <c r="B57" i="67"/>
  <c r="G56" i="67"/>
  <c r="E56" i="67"/>
  <c r="B56" i="67"/>
  <c r="G55" i="67"/>
  <c r="E55" i="67"/>
  <c r="B55" i="67"/>
  <c r="G54" i="67"/>
  <c r="E54" i="67"/>
  <c r="B54" i="67"/>
  <c r="E40" i="67"/>
  <c r="C40" i="67"/>
  <c r="G38" i="67"/>
  <c r="G37" i="67"/>
  <c r="G34" i="67"/>
  <c r="E34" i="67"/>
  <c r="B34" i="67"/>
  <c r="G28" i="67"/>
  <c r="E28" i="67"/>
  <c r="B28" i="67"/>
  <c r="G27" i="67"/>
  <c r="E27" i="67"/>
  <c r="B27" i="67"/>
  <c r="G26" i="67"/>
  <c r="E26" i="67"/>
  <c r="B26" i="67"/>
  <c r="L25" i="67"/>
  <c r="Y22" i="67"/>
  <c r="W22" i="67"/>
  <c r="C22" i="67"/>
  <c r="Y21" i="67"/>
  <c r="W21" i="67"/>
  <c r="Y20" i="67"/>
  <c r="W20" i="67"/>
  <c r="P18" i="67"/>
  <c r="N18" i="67"/>
  <c r="K18" i="67"/>
  <c r="Y16" i="67"/>
  <c r="W16" i="67"/>
  <c r="G16" i="67"/>
  <c r="E16" i="67"/>
  <c r="Y15" i="67"/>
  <c r="W15" i="67"/>
  <c r="C13" i="67"/>
  <c r="G10" i="67"/>
  <c r="E11" i="67"/>
  <c r="B11" i="67"/>
  <c r="G9" i="67"/>
  <c r="E10" i="67"/>
  <c r="B10" i="67"/>
  <c r="U8" i="67"/>
  <c r="P8" i="67"/>
  <c r="N8" i="67"/>
  <c r="E9" i="67"/>
  <c r="B9" i="67"/>
  <c r="Y7" i="67"/>
  <c r="P7" i="67"/>
  <c r="N7" i="67"/>
  <c r="E8" i="67"/>
  <c r="Y6" i="67"/>
  <c r="W6" i="67"/>
  <c r="T6" i="67"/>
  <c r="P6" i="67"/>
  <c r="N6" i="67"/>
  <c r="G6" i="67"/>
  <c r="E6" i="67"/>
  <c r="Y5" i="67"/>
  <c r="W5" i="67"/>
  <c r="T5" i="67"/>
  <c r="P5" i="67"/>
  <c r="N5" i="67"/>
  <c r="K5" i="67"/>
  <c r="K25" i="67" s="1"/>
  <c r="G5" i="67"/>
  <c r="E5" i="67"/>
  <c r="Y4" i="67"/>
  <c r="W4" i="67"/>
  <c r="T4" i="67"/>
  <c r="T25" i="67" s="1"/>
  <c r="P4" i="67"/>
  <c r="N4" i="67"/>
  <c r="N186" i="66"/>
  <c r="N185" i="66"/>
  <c r="N184" i="66"/>
  <c r="N183" i="66"/>
  <c r="N182" i="66"/>
  <c r="N181" i="66"/>
  <c r="N180" i="66"/>
  <c r="N179" i="66"/>
  <c r="N178" i="66"/>
  <c r="N177" i="66"/>
  <c r="N176" i="66"/>
  <c r="N175" i="66"/>
  <c r="N174" i="66"/>
  <c r="N173" i="66"/>
  <c r="N172" i="66"/>
  <c r="N171" i="66"/>
  <c r="N170" i="66"/>
  <c r="N169" i="66"/>
  <c r="N168" i="66"/>
  <c r="N167" i="66"/>
  <c r="N166" i="66"/>
  <c r="N165" i="66"/>
  <c r="N164" i="66"/>
  <c r="N163" i="66"/>
  <c r="N162" i="66"/>
  <c r="N161" i="66"/>
  <c r="N160" i="66"/>
  <c r="N159" i="66"/>
  <c r="N158" i="66"/>
  <c r="N157" i="66"/>
  <c r="N156" i="66"/>
  <c r="N155" i="66"/>
  <c r="N154" i="66"/>
  <c r="N153" i="66"/>
  <c r="N152" i="66"/>
  <c r="N151" i="66"/>
  <c r="N150" i="66"/>
  <c r="N149" i="66"/>
  <c r="N148" i="66"/>
  <c r="N147" i="66"/>
  <c r="N146" i="66"/>
  <c r="N145" i="66"/>
  <c r="N144" i="66"/>
  <c r="N143" i="66"/>
  <c r="N142" i="66"/>
  <c r="N141" i="66"/>
  <c r="N140" i="66"/>
  <c r="N139" i="66"/>
  <c r="D67" i="66"/>
  <c r="C65" i="66"/>
  <c r="G63" i="66"/>
  <c r="E63" i="66"/>
  <c r="B63" i="66"/>
  <c r="G62" i="66"/>
  <c r="E62" i="66"/>
  <c r="B62" i="66"/>
  <c r="G61" i="66"/>
  <c r="E61" i="66"/>
  <c r="B61" i="66"/>
  <c r="G60" i="66"/>
  <c r="E60" i="66"/>
  <c r="B60" i="66"/>
  <c r="G59" i="66"/>
  <c r="E59" i="66"/>
  <c r="B59" i="66"/>
  <c r="G58" i="66"/>
  <c r="E58" i="66"/>
  <c r="B58" i="66"/>
  <c r="G57" i="66"/>
  <c r="E57" i="66"/>
  <c r="B57" i="66"/>
  <c r="G56" i="66"/>
  <c r="E56" i="66"/>
  <c r="B56" i="66"/>
  <c r="G55" i="66"/>
  <c r="E55" i="66"/>
  <c r="B55" i="66"/>
  <c r="G54" i="66"/>
  <c r="G65" i="66" s="1"/>
  <c r="E54" i="66"/>
  <c r="B54" i="66"/>
  <c r="B65" i="66" s="1"/>
  <c r="B67" i="66" s="1"/>
  <c r="E40" i="66"/>
  <c r="C40" i="66"/>
  <c r="C67" i="66" s="1"/>
  <c r="K69" i="66" s="1"/>
  <c r="G38" i="66"/>
  <c r="E38" i="66"/>
  <c r="B38" i="66"/>
  <c r="G37" i="66"/>
  <c r="E37" i="66"/>
  <c r="B37" i="66"/>
  <c r="G36" i="66"/>
  <c r="E36" i="66"/>
  <c r="B36" i="66"/>
  <c r="G35" i="66"/>
  <c r="E35" i="66"/>
  <c r="B35" i="66"/>
  <c r="G34" i="66"/>
  <c r="E34" i="66"/>
  <c r="B34" i="66"/>
  <c r="G28" i="66"/>
  <c r="E28" i="66"/>
  <c r="B28" i="66"/>
  <c r="G27" i="66"/>
  <c r="E27" i="66"/>
  <c r="B27" i="66"/>
  <c r="G26" i="66"/>
  <c r="G40" i="66" s="1"/>
  <c r="E26" i="66"/>
  <c r="B26" i="66"/>
  <c r="B40" i="66" s="1"/>
  <c r="U25" i="66"/>
  <c r="T25" i="66"/>
  <c r="L25" i="66"/>
  <c r="Y22" i="66"/>
  <c r="W22" i="66"/>
  <c r="C22" i="66"/>
  <c r="Y21" i="66"/>
  <c r="W21" i="66"/>
  <c r="Y20" i="66"/>
  <c r="W20" i="66"/>
  <c r="P18" i="66"/>
  <c r="N18" i="66"/>
  <c r="K18" i="66"/>
  <c r="Y16" i="66"/>
  <c r="W16" i="66"/>
  <c r="G16" i="66"/>
  <c r="E16" i="66"/>
  <c r="B16" i="66"/>
  <c r="Y15" i="66"/>
  <c r="W15" i="66"/>
  <c r="C13" i="66"/>
  <c r="G10" i="66"/>
  <c r="E10" i="66"/>
  <c r="B10" i="66"/>
  <c r="B13" i="66" s="1"/>
  <c r="B22" i="66" s="1"/>
  <c r="G9" i="66"/>
  <c r="E9" i="66"/>
  <c r="B9" i="66"/>
  <c r="U8" i="66"/>
  <c r="P8" i="66"/>
  <c r="N8" i="66"/>
  <c r="G8" i="66"/>
  <c r="E8" i="66"/>
  <c r="B8" i="66"/>
  <c r="Y7" i="66"/>
  <c r="P7" i="66"/>
  <c r="N7" i="66"/>
  <c r="G7" i="66"/>
  <c r="E7" i="66"/>
  <c r="B7" i="66"/>
  <c r="Y6" i="66"/>
  <c r="W6" i="66"/>
  <c r="T6" i="66"/>
  <c r="P6" i="66"/>
  <c r="N6" i="66"/>
  <c r="G6" i="66"/>
  <c r="G13" i="66" s="1"/>
  <c r="G22" i="66" s="1"/>
  <c r="M70" i="66" s="1"/>
  <c r="E6" i="66"/>
  <c r="B6" i="66"/>
  <c r="Y5" i="66"/>
  <c r="W5" i="66"/>
  <c r="T5" i="66"/>
  <c r="P5" i="66"/>
  <c r="N5" i="66"/>
  <c r="K5" i="66"/>
  <c r="K25" i="66" s="1"/>
  <c r="G5" i="66"/>
  <c r="E5" i="66"/>
  <c r="B5" i="66"/>
  <c r="Y4" i="66"/>
  <c r="W4" i="66"/>
  <c r="T4" i="66"/>
  <c r="P4" i="66"/>
  <c r="P25" i="66" s="1"/>
  <c r="N4" i="66"/>
  <c r="G4" i="66"/>
  <c r="E4" i="66"/>
  <c r="B4" i="66"/>
  <c r="N186" i="65"/>
  <c r="N185" i="65"/>
  <c r="N184" i="65"/>
  <c r="N183" i="65"/>
  <c r="N182" i="65"/>
  <c r="N181" i="65"/>
  <c r="N180" i="65"/>
  <c r="N179" i="65"/>
  <c r="N178" i="65"/>
  <c r="N177" i="65"/>
  <c r="N176" i="65"/>
  <c r="N175" i="65"/>
  <c r="N174" i="65"/>
  <c r="N173" i="65"/>
  <c r="N172" i="65"/>
  <c r="N171" i="65"/>
  <c r="N170" i="65"/>
  <c r="N169" i="65"/>
  <c r="N168" i="65"/>
  <c r="N167" i="65"/>
  <c r="N166" i="65"/>
  <c r="N165" i="65"/>
  <c r="N164" i="65"/>
  <c r="N163" i="65"/>
  <c r="N162" i="65"/>
  <c r="N161" i="65"/>
  <c r="N160" i="65"/>
  <c r="N159" i="65"/>
  <c r="N158" i="65"/>
  <c r="N157" i="65"/>
  <c r="N156" i="65"/>
  <c r="N155" i="65"/>
  <c r="N154" i="65"/>
  <c r="N153" i="65"/>
  <c r="N152" i="65"/>
  <c r="N151" i="65"/>
  <c r="N150" i="65"/>
  <c r="N149" i="65"/>
  <c r="N148" i="65"/>
  <c r="N147" i="65"/>
  <c r="N146" i="65"/>
  <c r="N145" i="65"/>
  <c r="N144" i="65"/>
  <c r="N143" i="65"/>
  <c r="N142" i="65"/>
  <c r="N141" i="65"/>
  <c r="N140" i="65"/>
  <c r="N139" i="65"/>
  <c r="D67" i="65"/>
  <c r="C65" i="65"/>
  <c r="C67" i="65" s="1"/>
  <c r="G63" i="65"/>
  <c r="E63" i="65"/>
  <c r="B63" i="65"/>
  <c r="G62" i="65"/>
  <c r="E62" i="65"/>
  <c r="B62" i="65"/>
  <c r="G61" i="65"/>
  <c r="E61" i="65"/>
  <c r="B61" i="65"/>
  <c r="G60" i="65"/>
  <c r="E60" i="65"/>
  <c r="B60" i="65"/>
  <c r="G59" i="65"/>
  <c r="E59" i="65"/>
  <c r="B59" i="65"/>
  <c r="G58" i="65"/>
  <c r="E58" i="65"/>
  <c r="B58" i="65"/>
  <c r="G57" i="65"/>
  <c r="E57" i="65"/>
  <c r="B57" i="65"/>
  <c r="G56" i="65"/>
  <c r="E56" i="65"/>
  <c r="B56" i="65"/>
  <c r="G55" i="65"/>
  <c r="E55" i="65"/>
  <c r="B55" i="65"/>
  <c r="G54" i="65"/>
  <c r="G65" i="65" s="1"/>
  <c r="E54" i="65"/>
  <c r="B54" i="65"/>
  <c r="B65" i="65" s="1"/>
  <c r="E40" i="65"/>
  <c r="C40" i="65"/>
  <c r="G38" i="65"/>
  <c r="E38" i="65"/>
  <c r="B38" i="65"/>
  <c r="G37" i="65"/>
  <c r="E37" i="65"/>
  <c r="B37" i="65"/>
  <c r="G36" i="65"/>
  <c r="E36" i="65"/>
  <c r="B36" i="65"/>
  <c r="G35" i="65"/>
  <c r="E35" i="65"/>
  <c r="B35" i="65"/>
  <c r="G34" i="65"/>
  <c r="G40" i="65" s="1"/>
  <c r="N70" i="65" s="1"/>
  <c r="E34" i="65"/>
  <c r="B34" i="65"/>
  <c r="G28" i="65"/>
  <c r="E28" i="65"/>
  <c r="B28" i="65"/>
  <c r="G27" i="65"/>
  <c r="E27" i="65"/>
  <c r="B27" i="65"/>
  <c r="G26" i="65"/>
  <c r="E26" i="65"/>
  <c r="B26" i="65"/>
  <c r="B40" i="65" s="1"/>
  <c r="U25" i="65"/>
  <c r="L25" i="65"/>
  <c r="Y22" i="65"/>
  <c r="W22" i="65"/>
  <c r="C22" i="65"/>
  <c r="Y21" i="65"/>
  <c r="W21" i="65"/>
  <c r="Y20" i="65"/>
  <c r="W20" i="65"/>
  <c r="P18" i="65"/>
  <c r="N18" i="65"/>
  <c r="K18" i="65"/>
  <c r="Y16" i="65"/>
  <c r="W16" i="65"/>
  <c r="G16" i="65"/>
  <c r="E16" i="65"/>
  <c r="B16" i="65"/>
  <c r="Y15" i="65"/>
  <c r="W15" i="65"/>
  <c r="C13" i="65"/>
  <c r="G10" i="65"/>
  <c r="E10" i="65"/>
  <c r="B10" i="65"/>
  <c r="G9" i="65"/>
  <c r="E9" i="65"/>
  <c r="B9" i="65"/>
  <c r="U8" i="65"/>
  <c r="P8" i="65"/>
  <c r="N8" i="65"/>
  <c r="G8" i="65"/>
  <c r="E8" i="65"/>
  <c r="B8" i="65"/>
  <c r="Y7" i="65"/>
  <c r="P7" i="65"/>
  <c r="N7" i="65"/>
  <c r="G7" i="65"/>
  <c r="E7" i="65"/>
  <c r="B7" i="65"/>
  <c r="B13" i="65" s="1"/>
  <c r="Y6" i="65"/>
  <c r="W6" i="65"/>
  <c r="T6" i="65"/>
  <c r="P6" i="65"/>
  <c r="N6" i="65"/>
  <c r="G6" i="65"/>
  <c r="E6" i="65"/>
  <c r="B6" i="65"/>
  <c r="Y5" i="65"/>
  <c r="W5" i="65"/>
  <c r="T5" i="65"/>
  <c r="P5" i="65"/>
  <c r="N5" i="65"/>
  <c r="K5" i="65"/>
  <c r="K25" i="65" s="1"/>
  <c r="G5" i="65"/>
  <c r="E5" i="65"/>
  <c r="B5" i="65"/>
  <c r="Y4" i="65"/>
  <c r="Y25" i="65" s="1"/>
  <c r="W4" i="65"/>
  <c r="T4" i="65"/>
  <c r="T25" i="65" s="1"/>
  <c r="P4" i="65"/>
  <c r="P25" i="65" s="1"/>
  <c r="N4" i="65"/>
  <c r="G4" i="65"/>
  <c r="G13" i="65" s="1"/>
  <c r="G22" i="65" s="1"/>
  <c r="M70" i="65" s="1"/>
  <c r="E4" i="65"/>
  <c r="B4" i="65"/>
  <c r="K69" i="64"/>
  <c r="U25" i="64"/>
  <c r="L25" i="64"/>
  <c r="C65" i="64"/>
  <c r="C40" i="64"/>
  <c r="C22" i="64"/>
  <c r="C13" i="64"/>
  <c r="B67" i="64"/>
  <c r="B22" i="64"/>
  <c r="K68" i="64"/>
  <c r="N186" i="64"/>
  <c r="N185" i="64"/>
  <c r="N184" i="64"/>
  <c r="N183" i="64"/>
  <c r="N182" i="64"/>
  <c r="N181" i="64"/>
  <c r="N180" i="64"/>
  <c r="N179" i="64"/>
  <c r="N178" i="64"/>
  <c r="N177" i="64"/>
  <c r="N176" i="64"/>
  <c r="N175" i="64"/>
  <c r="N174" i="64"/>
  <c r="N173" i="64"/>
  <c r="N172" i="64"/>
  <c r="N171" i="64"/>
  <c r="N170" i="64"/>
  <c r="N169" i="64"/>
  <c r="N168" i="64"/>
  <c r="N167" i="64"/>
  <c r="N166" i="64"/>
  <c r="N165" i="64"/>
  <c r="N164" i="64"/>
  <c r="N163" i="64"/>
  <c r="N162" i="64"/>
  <c r="N161" i="64"/>
  <c r="N160" i="64"/>
  <c r="N159" i="64"/>
  <c r="N158" i="64"/>
  <c r="N157" i="64"/>
  <c r="N156" i="64"/>
  <c r="N155" i="64"/>
  <c r="N154" i="64"/>
  <c r="N153" i="64"/>
  <c r="N152" i="64"/>
  <c r="N151" i="64"/>
  <c r="N150" i="64"/>
  <c r="N149" i="64"/>
  <c r="N148" i="64"/>
  <c r="N147" i="64"/>
  <c r="N146" i="64"/>
  <c r="N145" i="64"/>
  <c r="N144" i="64"/>
  <c r="N143" i="64"/>
  <c r="N142" i="64"/>
  <c r="N141" i="64"/>
  <c r="N140" i="64"/>
  <c r="N139" i="64"/>
  <c r="D67" i="64"/>
  <c r="G63" i="64"/>
  <c r="E63" i="64"/>
  <c r="B63" i="64"/>
  <c r="G62" i="64"/>
  <c r="E62" i="64"/>
  <c r="B62" i="64"/>
  <c r="G61" i="64"/>
  <c r="E61" i="64"/>
  <c r="B61" i="64"/>
  <c r="G60" i="64"/>
  <c r="E60" i="64"/>
  <c r="B60" i="64"/>
  <c r="G59" i="64"/>
  <c r="E59" i="64"/>
  <c r="B59" i="64"/>
  <c r="G58" i="64"/>
  <c r="E58" i="64"/>
  <c r="B58" i="64"/>
  <c r="G57" i="64"/>
  <c r="E57" i="64"/>
  <c r="B57" i="64"/>
  <c r="G56" i="64"/>
  <c r="E56" i="64"/>
  <c r="B56" i="64"/>
  <c r="G55" i="64"/>
  <c r="E55" i="64"/>
  <c r="B55" i="64"/>
  <c r="G54" i="64"/>
  <c r="G65" i="64" s="1"/>
  <c r="E54" i="64"/>
  <c r="B54" i="64"/>
  <c r="B65" i="64" s="1"/>
  <c r="E40" i="64"/>
  <c r="G38" i="64"/>
  <c r="E38" i="64"/>
  <c r="B38" i="64"/>
  <c r="G37" i="64"/>
  <c r="E37" i="64"/>
  <c r="B37" i="64"/>
  <c r="G36" i="64"/>
  <c r="E36" i="64"/>
  <c r="B36" i="64"/>
  <c r="G35" i="64"/>
  <c r="E35" i="64"/>
  <c r="B35" i="64"/>
  <c r="G34" i="64"/>
  <c r="E34" i="64"/>
  <c r="B34" i="64"/>
  <c r="G28" i="64"/>
  <c r="E28" i="64"/>
  <c r="B28" i="64"/>
  <c r="G27" i="64"/>
  <c r="E27" i="64"/>
  <c r="B27" i="64"/>
  <c r="G26" i="64"/>
  <c r="G40" i="64" s="1"/>
  <c r="E26" i="64"/>
  <c r="B26" i="64"/>
  <c r="B40" i="64" s="1"/>
  <c r="Y22" i="64"/>
  <c r="W22" i="64"/>
  <c r="Y21" i="64"/>
  <c r="W21" i="64"/>
  <c r="Y20" i="64"/>
  <c r="W20" i="64"/>
  <c r="P18" i="64"/>
  <c r="N18" i="64"/>
  <c r="K18" i="64"/>
  <c r="K25" i="64" s="1"/>
  <c r="Y16" i="64"/>
  <c r="W16" i="64"/>
  <c r="G16" i="64"/>
  <c r="E16" i="64"/>
  <c r="B16" i="64"/>
  <c r="Y15" i="64"/>
  <c r="W15" i="64"/>
  <c r="G10" i="64"/>
  <c r="E10" i="64"/>
  <c r="B10" i="64"/>
  <c r="G9" i="64"/>
  <c r="E9" i="64"/>
  <c r="B9" i="64"/>
  <c r="B13" i="64" s="1"/>
  <c r="U8" i="64"/>
  <c r="P8" i="64"/>
  <c r="N8" i="64"/>
  <c r="G8" i="64"/>
  <c r="G13" i="64" s="1"/>
  <c r="G22" i="64" s="1"/>
  <c r="M70" i="64" s="1"/>
  <c r="E8" i="64"/>
  <c r="B8" i="64"/>
  <c r="Y7" i="64"/>
  <c r="P7" i="64"/>
  <c r="N7" i="64"/>
  <c r="G7" i="64"/>
  <c r="E7" i="64"/>
  <c r="B7" i="64"/>
  <c r="Y6" i="64"/>
  <c r="W6" i="64"/>
  <c r="T6" i="64"/>
  <c r="P6" i="64"/>
  <c r="N6" i="64"/>
  <c r="G6" i="64"/>
  <c r="E6" i="64"/>
  <c r="B6" i="64"/>
  <c r="Y5" i="64"/>
  <c r="W5" i="64"/>
  <c r="T5" i="64"/>
  <c r="P5" i="64"/>
  <c r="N5" i="64"/>
  <c r="K5" i="64"/>
  <c r="G5" i="64"/>
  <c r="E5" i="64"/>
  <c r="B5" i="64"/>
  <c r="Y4" i="64"/>
  <c r="Y25" i="64" s="1"/>
  <c r="W4" i="64"/>
  <c r="T4" i="64"/>
  <c r="T25" i="64" s="1"/>
  <c r="P4" i="64"/>
  <c r="N4" i="64"/>
  <c r="G4" i="64"/>
  <c r="E4" i="64"/>
  <c r="B4" i="64"/>
  <c r="P70" i="73" l="1"/>
  <c r="G67" i="73"/>
  <c r="K70" i="73" s="1"/>
  <c r="G67" i="69"/>
  <c r="K70" i="69" s="1"/>
  <c r="B65" i="68"/>
  <c r="G65" i="68"/>
  <c r="O70" i="68" s="1"/>
  <c r="B40" i="68"/>
  <c r="G40" i="68"/>
  <c r="Y25" i="68"/>
  <c r="K25" i="68"/>
  <c r="P25" i="68"/>
  <c r="K69" i="68"/>
  <c r="Y25" i="67"/>
  <c r="P25" i="67"/>
  <c r="B65" i="67"/>
  <c r="G65" i="67"/>
  <c r="O70" i="67" s="1"/>
  <c r="B40" i="67"/>
  <c r="G40" i="67"/>
  <c r="N70" i="67" s="1"/>
  <c r="C67" i="67"/>
  <c r="K69" i="67" s="1"/>
  <c r="Q69" i="68" s="1"/>
  <c r="B13" i="67"/>
  <c r="B22" i="67" s="1"/>
  <c r="G13" i="67"/>
  <c r="G22" i="67" s="1"/>
  <c r="M70" i="67" s="1"/>
  <c r="N70" i="66"/>
  <c r="Y25" i="66"/>
  <c r="K68" i="66"/>
  <c r="O70" i="66"/>
  <c r="P70" i="66" s="1"/>
  <c r="G67" i="66"/>
  <c r="K70" i="66" s="1"/>
  <c r="O70" i="65"/>
  <c r="P70" i="65" s="1"/>
  <c r="G67" i="65"/>
  <c r="K70" i="65" s="1"/>
  <c r="K69" i="65"/>
  <c r="B22" i="65"/>
  <c r="B67" i="65" s="1"/>
  <c r="K68" i="65" s="1"/>
  <c r="C67" i="64"/>
  <c r="P25" i="64"/>
  <c r="N70" i="64"/>
  <c r="O70" i="64"/>
  <c r="G67" i="64"/>
  <c r="N70" i="63"/>
  <c r="P25" i="63"/>
  <c r="P8" i="63"/>
  <c r="N8" i="63"/>
  <c r="K25" i="63"/>
  <c r="P70" i="63"/>
  <c r="P7" i="63"/>
  <c r="P6" i="63"/>
  <c r="N7" i="63"/>
  <c r="N6" i="63"/>
  <c r="L25" i="63"/>
  <c r="K69" i="63" s="1"/>
  <c r="N186" i="63"/>
  <c r="N185" i="63"/>
  <c r="N184" i="63"/>
  <c r="N183" i="63"/>
  <c r="N182" i="63"/>
  <c r="N181" i="63"/>
  <c r="N180" i="63"/>
  <c r="N179" i="63"/>
  <c r="N178" i="63"/>
  <c r="N177" i="63"/>
  <c r="N176" i="63"/>
  <c r="N175" i="63"/>
  <c r="N174" i="63"/>
  <c r="N173" i="63"/>
  <c r="N172" i="63"/>
  <c r="N171" i="63"/>
  <c r="N170" i="63"/>
  <c r="N169" i="63"/>
  <c r="N168" i="63"/>
  <c r="N167" i="63"/>
  <c r="N166" i="63"/>
  <c r="N165" i="63"/>
  <c r="N164" i="63"/>
  <c r="N163" i="63"/>
  <c r="N162" i="63"/>
  <c r="N161" i="63"/>
  <c r="N160" i="63"/>
  <c r="N159" i="63"/>
  <c r="N158" i="63"/>
  <c r="N157" i="63"/>
  <c r="N156" i="63"/>
  <c r="N155" i="63"/>
  <c r="N154" i="63"/>
  <c r="N153" i="63"/>
  <c r="N152" i="63"/>
  <c r="N151" i="63"/>
  <c r="N150" i="63"/>
  <c r="N149" i="63"/>
  <c r="N148" i="63"/>
  <c r="N147" i="63"/>
  <c r="N146" i="63"/>
  <c r="N145" i="63"/>
  <c r="N144" i="63"/>
  <c r="N143" i="63"/>
  <c r="N142" i="63"/>
  <c r="N141" i="63"/>
  <c r="N140" i="63"/>
  <c r="N139" i="63"/>
  <c r="D67" i="63"/>
  <c r="C65" i="63"/>
  <c r="C67" i="63" s="1"/>
  <c r="G63" i="63"/>
  <c r="E63" i="63"/>
  <c r="B63" i="63"/>
  <c r="G62" i="63"/>
  <c r="E62" i="63"/>
  <c r="B62" i="63"/>
  <c r="G61" i="63"/>
  <c r="E61" i="63"/>
  <c r="B61" i="63"/>
  <c r="G60" i="63"/>
  <c r="E60" i="63"/>
  <c r="B60" i="63"/>
  <c r="G59" i="63"/>
  <c r="E59" i="63"/>
  <c r="B59" i="63"/>
  <c r="G58" i="63"/>
  <c r="E58" i="63"/>
  <c r="B58" i="63"/>
  <c r="G57" i="63"/>
  <c r="E57" i="63"/>
  <c r="B57" i="63"/>
  <c r="G56" i="63"/>
  <c r="E56" i="63"/>
  <c r="B56" i="63"/>
  <c r="G55" i="63"/>
  <c r="G65" i="63" s="1"/>
  <c r="E55" i="63"/>
  <c r="B55" i="63"/>
  <c r="G54" i="63"/>
  <c r="E54" i="63"/>
  <c r="B54" i="63"/>
  <c r="B65" i="63" s="1"/>
  <c r="B67" i="63" s="1"/>
  <c r="E40" i="63"/>
  <c r="C40" i="63"/>
  <c r="G38" i="63"/>
  <c r="E38" i="63"/>
  <c r="B38" i="63"/>
  <c r="G37" i="63"/>
  <c r="E37" i="63"/>
  <c r="B37" i="63"/>
  <c r="G36" i="63"/>
  <c r="E36" i="63"/>
  <c r="B36" i="63"/>
  <c r="G35" i="63"/>
  <c r="E35" i="63"/>
  <c r="B35" i="63"/>
  <c r="G34" i="63"/>
  <c r="E34" i="63"/>
  <c r="B34" i="63"/>
  <c r="G28" i="63"/>
  <c r="E28" i="63"/>
  <c r="B28" i="63"/>
  <c r="G27" i="63"/>
  <c r="E27" i="63"/>
  <c r="B27" i="63"/>
  <c r="G26" i="63"/>
  <c r="G40" i="63" s="1"/>
  <c r="E26" i="63"/>
  <c r="B26" i="63"/>
  <c r="B40" i="63" s="1"/>
  <c r="U25" i="63"/>
  <c r="Y22" i="63"/>
  <c r="W22" i="63"/>
  <c r="C22" i="63"/>
  <c r="Y21" i="63"/>
  <c r="W21" i="63"/>
  <c r="Y20" i="63"/>
  <c r="W20" i="63"/>
  <c r="P18" i="63"/>
  <c r="N18" i="63"/>
  <c r="K18" i="63"/>
  <c r="Y16" i="63"/>
  <c r="W16" i="63"/>
  <c r="G16" i="63"/>
  <c r="E16" i="63"/>
  <c r="B16" i="63"/>
  <c r="B22" i="63" s="1"/>
  <c r="Y15" i="63"/>
  <c r="W15" i="63"/>
  <c r="C13" i="63"/>
  <c r="G10" i="63"/>
  <c r="E10" i="63"/>
  <c r="B10" i="63"/>
  <c r="B13" i="63" s="1"/>
  <c r="G9" i="63"/>
  <c r="E9" i="63"/>
  <c r="B9" i="63"/>
  <c r="U8" i="63"/>
  <c r="G8" i="63"/>
  <c r="E8" i="63"/>
  <c r="B8" i="63"/>
  <c r="Y7" i="63"/>
  <c r="G7" i="63"/>
  <c r="E7" i="63"/>
  <c r="B7" i="63"/>
  <c r="Y6" i="63"/>
  <c r="W6" i="63"/>
  <c r="T6" i="63"/>
  <c r="G6" i="63"/>
  <c r="E6" i="63"/>
  <c r="B6" i="63"/>
  <c r="Y5" i="63"/>
  <c r="W5" i="63"/>
  <c r="T5" i="63"/>
  <c r="P5" i="63"/>
  <c r="N5" i="63"/>
  <c r="K5" i="63"/>
  <c r="G5" i="63"/>
  <c r="E5" i="63"/>
  <c r="B5" i="63"/>
  <c r="Y4" i="63"/>
  <c r="Y25" i="63" s="1"/>
  <c r="W4" i="63"/>
  <c r="T4" i="63"/>
  <c r="T25" i="63" s="1"/>
  <c r="P4" i="63"/>
  <c r="N4" i="63"/>
  <c r="G4" i="63"/>
  <c r="G13" i="63" s="1"/>
  <c r="G22" i="63" s="1"/>
  <c r="M70" i="63" s="1"/>
  <c r="E4" i="63"/>
  <c r="B4" i="63"/>
  <c r="B4" i="62"/>
  <c r="E4" i="62"/>
  <c r="G4" i="62"/>
  <c r="N4" i="62"/>
  <c r="P4" i="62"/>
  <c r="T4" i="62"/>
  <c r="T25" i="62" s="1"/>
  <c r="W4" i="62"/>
  <c r="Y4" i="62"/>
  <c r="B5" i="62"/>
  <c r="E5" i="62"/>
  <c r="G5" i="62"/>
  <c r="K5" i="62"/>
  <c r="N5" i="62"/>
  <c r="P5" i="62"/>
  <c r="T5" i="62"/>
  <c r="W5" i="62"/>
  <c r="Y5" i="62"/>
  <c r="B6" i="62"/>
  <c r="E6" i="62"/>
  <c r="G6" i="62"/>
  <c r="T6" i="62"/>
  <c r="W6" i="62"/>
  <c r="Y6" i="62"/>
  <c r="B7" i="62"/>
  <c r="E7" i="62"/>
  <c r="G7" i="62"/>
  <c r="Y7" i="62"/>
  <c r="B8" i="62"/>
  <c r="E8" i="62"/>
  <c r="G8" i="62"/>
  <c r="U8" i="62"/>
  <c r="B9" i="62"/>
  <c r="E9" i="62"/>
  <c r="G9" i="62"/>
  <c r="B10" i="62"/>
  <c r="E10" i="62"/>
  <c r="G10" i="62"/>
  <c r="B13" i="62"/>
  <c r="C13" i="62"/>
  <c r="G13" i="62"/>
  <c r="G22" i="62" s="1"/>
  <c r="W15" i="62"/>
  <c r="Y15" i="62"/>
  <c r="B16" i="62"/>
  <c r="E16" i="62"/>
  <c r="G16" i="62"/>
  <c r="W16" i="62"/>
  <c r="Y16" i="62"/>
  <c r="K18" i="62"/>
  <c r="N18" i="62"/>
  <c r="P18" i="62"/>
  <c r="W20" i="62"/>
  <c r="Y20" i="62"/>
  <c r="W21" i="62"/>
  <c r="Y21" i="62"/>
  <c r="B22" i="62"/>
  <c r="C22" i="62"/>
  <c r="W22" i="62"/>
  <c r="Y22" i="62"/>
  <c r="K25" i="62"/>
  <c r="L25" i="62"/>
  <c r="P25" i="62"/>
  <c r="U25" i="62"/>
  <c r="B26" i="62"/>
  <c r="E26" i="62"/>
  <c r="G26" i="62"/>
  <c r="B27" i="62"/>
  <c r="E27" i="62"/>
  <c r="G27" i="62"/>
  <c r="B28" i="62"/>
  <c r="E28" i="62"/>
  <c r="G28" i="62"/>
  <c r="B34" i="62"/>
  <c r="E34" i="62"/>
  <c r="G34" i="62"/>
  <c r="B35" i="62"/>
  <c r="E35" i="62"/>
  <c r="G35" i="62"/>
  <c r="B36" i="62"/>
  <c r="E36" i="62"/>
  <c r="G36" i="62"/>
  <c r="B37" i="62"/>
  <c r="E37" i="62"/>
  <c r="G37" i="62"/>
  <c r="B38" i="62"/>
  <c r="E38" i="62"/>
  <c r="G38" i="62"/>
  <c r="B40" i="62"/>
  <c r="C40" i="62"/>
  <c r="E40" i="62"/>
  <c r="G40" i="62"/>
  <c r="G67" i="62" s="1"/>
  <c r="B54" i="62"/>
  <c r="E54" i="62"/>
  <c r="G54" i="62"/>
  <c r="B55" i="62"/>
  <c r="E55" i="62"/>
  <c r="G55" i="62"/>
  <c r="B56" i="62"/>
  <c r="E56" i="62"/>
  <c r="G56" i="62"/>
  <c r="B57" i="62"/>
  <c r="E57" i="62"/>
  <c r="G57" i="62"/>
  <c r="B58" i="62"/>
  <c r="E58" i="62"/>
  <c r="G58" i="62"/>
  <c r="B59" i="62"/>
  <c r="E59" i="62"/>
  <c r="G59" i="62"/>
  <c r="B60" i="62"/>
  <c r="E60" i="62"/>
  <c r="G60" i="62"/>
  <c r="B61" i="62"/>
  <c r="E61" i="62"/>
  <c r="G61" i="62"/>
  <c r="B62" i="62"/>
  <c r="E62" i="62"/>
  <c r="G62" i="62"/>
  <c r="B63" i="62"/>
  <c r="E63" i="62"/>
  <c r="G63" i="62"/>
  <c r="B65" i="62"/>
  <c r="B67" i="62" s="1"/>
  <c r="C65" i="62"/>
  <c r="G65" i="62"/>
  <c r="C67" i="62"/>
  <c r="D67" i="62"/>
  <c r="O70" i="62"/>
  <c r="N139" i="62"/>
  <c r="N140" i="62"/>
  <c r="N141" i="62"/>
  <c r="N142" i="62"/>
  <c r="N143" i="62"/>
  <c r="N144" i="62"/>
  <c r="N145" i="62"/>
  <c r="N146" i="62"/>
  <c r="N147" i="62"/>
  <c r="N148" i="62"/>
  <c r="N149" i="62"/>
  <c r="N150" i="62"/>
  <c r="N151" i="62"/>
  <c r="N152" i="62"/>
  <c r="N153" i="62"/>
  <c r="N154" i="62"/>
  <c r="N155" i="62"/>
  <c r="N156" i="62"/>
  <c r="N157" i="62"/>
  <c r="N158" i="62"/>
  <c r="N159" i="62"/>
  <c r="N160" i="62"/>
  <c r="N161" i="62"/>
  <c r="N162" i="62"/>
  <c r="N163" i="62"/>
  <c r="N164" i="62"/>
  <c r="N165" i="62"/>
  <c r="N166" i="62"/>
  <c r="N167" i="62"/>
  <c r="N168" i="62"/>
  <c r="N169" i="62"/>
  <c r="N170" i="62"/>
  <c r="N171" i="62"/>
  <c r="N172" i="62"/>
  <c r="N173" i="62"/>
  <c r="N174" i="62"/>
  <c r="N175" i="62"/>
  <c r="N176" i="62"/>
  <c r="N177" i="62"/>
  <c r="N178" i="62"/>
  <c r="N179" i="62"/>
  <c r="N180" i="62"/>
  <c r="N181" i="62"/>
  <c r="N182" i="62"/>
  <c r="N183" i="62"/>
  <c r="N184" i="62"/>
  <c r="N185" i="62"/>
  <c r="N186" i="62"/>
  <c r="T25" i="61"/>
  <c r="W16" i="59"/>
  <c r="M70" i="6"/>
  <c r="O70" i="6"/>
  <c r="P7" i="6"/>
  <c r="P6" i="6"/>
  <c r="U25" i="59"/>
  <c r="T25" i="59"/>
  <c r="L25" i="59"/>
  <c r="K25" i="59"/>
  <c r="C67" i="59"/>
  <c r="N9" i="59"/>
  <c r="P20" i="59"/>
  <c r="P19" i="59"/>
  <c r="P8" i="59"/>
  <c r="P7" i="59"/>
  <c r="P6" i="59"/>
  <c r="B65" i="60"/>
  <c r="B40" i="60"/>
  <c r="B13" i="60"/>
  <c r="K69" i="59"/>
  <c r="C65" i="59"/>
  <c r="C40" i="59"/>
  <c r="B65" i="59"/>
  <c r="B40" i="59"/>
  <c r="B65" i="61"/>
  <c r="E58" i="61"/>
  <c r="B58" i="61"/>
  <c r="E57" i="61"/>
  <c r="B57" i="61"/>
  <c r="E37" i="60"/>
  <c r="B37" i="60"/>
  <c r="N186" i="61"/>
  <c r="N185" i="61"/>
  <c r="N184" i="61"/>
  <c r="N183" i="61"/>
  <c r="N182" i="61"/>
  <c r="N181" i="61"/>
  <c r="N180" i="61"/>
  <c r="N179" i="61"/>
  <c r="N178" i="61"/>
  <c r="N177" i="61"/>
  <c r="N176" i="61"/>
  <c r="N175" i="61"/>
  <c r="N174" i="61"/>
  <c r="N173" i="61"/>
  <c r="N172" i="61"/>
  <c r="N171" i="61"/>
  <c r="N170" i="61"/>
  <c r="N169" i="61"/>
  <c r="N168" i="61"/>
  <c r="N167" i="61"/>
  <c r="N166" i="61"/>
  <c r="N165" i="61"/>
  <c r="N164" i="61"/>
  <c r="N163" i="61"/>
  <c r="N162" i="61"/>
  <c r="N161" i="61"/>
  <c r="N160" i="61"/>
  <c r="N159" i="61"/>
  <c r="N158" i="61"/>
  <c r="N157" i="61"/>
  <c r="N156" i="61"/>
  <c r="N155" i="61"/>
  <c r="N154" i="61"/>
  <c r="N153" i="61"/>
  <c r="N152" i="61"/>
  <c r="N151" i="61"/>
  <c r="N150" i="61"/>
  <c r="N149" i="61"/>
  <c r="N148" i="61"/>
  <c r="N147" i="61"/>
  <c r="N146" i="61"/>
  <c r="N145" i="61"/>
  <c r="N144" i="61"/>
  <c r="N143" i="61"/>
  <c r="N142" i="61"/>
  <c r="N141" i="61"/>
  <c r="N140" i="61"/>
  <c r="N139" i="61"/>
  <c r="D67" i="61"/>
  <c r="C65" i="61"/>
  <c r="G63" i="61"/>
  <c r="G62" i="61"/>
  <c r="G61" i="61"/>
  <c r="G60" i="61"/>
  <c r="G59" i="61"/>
  <c r="G58" i="61"/>
  <c r="G57" i="61"/>
  <c r="G56" i="61"/>
  <c r="E56" i="61"/>
  <c r="B56" i="61"/>
  <c r="G55" i="61"/>
  <c r="E55" i="61"/>
  <c r="B55" i="61"/>
  <c r="G54" i="61"/>
  <c r="E54" i="61"/>
  <c r="B54" i="61"/>
  <c r="E40" i="61"/>
  <c r="C40" i="61"/>
  <c r="G38" i="61"/>
  <c r="E38" i="61"/>
  <c r="B38" i="61"/>
  <c r="G37" i="61"/>
  <c r="E37" i="61"/>
  <c r="B37" i="61"/>
  <c r="G36" i="61"/>
  <c r="E36" i="61"/>
  <c r="B36" i="61"/>
  <c r="G35" i="61"/>
  <c r="E35" i="61"/>
  <c r="B35" i="61"/>
  <c r="G34" i="61"/>
  <c r="E34" i="61"/>
  <c r="B34" i="61"/>
  <c r="G28" i="61"/>
  <c r="E28" i="61"/>
  <c r="B28" i="61"/>
  <c r="G27" i="61"/>
  <c r="E27" i="61"/>
  <c r="B27" i="61"/>
  <c r="G26" i="61"/>
  <c r="G40" i="61" s="1"/>
  <c r="E26" i="61"/>
  <c r="B26" i="61"/>
  <c r="B40" i="61" s="1"/>
  <c r="U25" i="61"/>
  <c r="L25" i="61"/>
  <c r="Y22" i="61"/>
  <c r="W22" i="61"/>
  <c r="C22" i="61"/>
  <c r="Y21" i="61"/>
  <c r="W21" i="61"/>
  <c r="Y20" i="61"/>
  <c r="W20" i="61"/>
  <c r="P18" i="61"/>
  <c r="N18" i="61"/>
  <c r="K18" i="61"/>
  <c r="Y16" i="61"/>
  <c r="W16" i="61"/>
  <c r="G16" i="61"/>
  <c r="E16" i="61"/>
  <c r="B16" i="61"/>
  <c r="B22" i="61" s="1"/>
  <c r="Y15" i="61"/>
  <c r="W15" i="61"/>
  <c r="C13" i="61"/>
  <c r="G10" i="61"/>
  <c r="E10" i="61"/>
  <c r="B10" i="61"/>
  <c r="B13" i="61" s="1"/>
  <c r="G9" i="61"/>
  <c r="E9" i="61"/>
  <c r="B9" i="61"/>
  <c r="U8" i="61"/>
  <c r="G8" i="61"/>
  <c r="E8" i="61"/>
  <c r="B8" i="61"/>
  <c r="Y7" i="61"/>
  <c r="W7" i="61"/>
  <c r="T7" i="61"/>
  <c r="G7" i="61"/>
  <c r="E7" i="61"/>
  <c r="B7" i="61"/>
  <c r="Y6" i="61"/>
  <c r="W6" i="61"/>
  <c r="T6" i="61"/>
  <c r="G6" i="61"/>
  <c r="G13" i="61" s="1"/>
  <c r="G22" i="61" s="1"/>
  <c r="E6" i="61"/>
  <c r="B6" i="61"/>
  <c r="Y5" i="61"/>
  <c r="W5" i="61"/>
  <c r="T5" i="61"/>
  <c r="P5" i="61"/>
  <c r="N5" i="61"/>
  <c r="K5" i="61"/>
  <c r="G5" i="61"/>
  <c r="E5" i="61"/>
  <c r="B5" i="61"/>
  <c r="Y4" i="61"/>
  <c r="W4" i="61"/>
  <c r="T4" i="61"/>
  <c r="P4" i="61"/>
  <c r="N4" i="61"/>
  <c r="G4" i="61"/>
  <c r="E4" i="61"/>
  <c r="B4" i="61"/>
  <c r="N186" i="60"/>
  <c r="N185" i="60"/>
  <c r="N184" i="60"/>
  <c r="N183" i="60"/>
  <c r="N182" i="60"/>
  <c r="N181" i="60"/>
  <c r="N180" i="60"/>
  <c r="N179" i="60"/>
  <c r="N178" i="60"/>
  <c r="N177" i="60"/>
  <c r="N176" i="60"/>
  <c r="N175" i="60"/>
  <c r="N174" i="60"/>
  <c r="N173" i="60"/>
  <c r="N172" i="60"/>
  <c r="N171" i="60"/>
  <c r="N170" i="60"/>
  <c r="N169" i="60"/>
  <c r="N168" i="60"/>
  <c r="N167" i="60"/>
  <c r="N166" i="60"/>
  <c r="N165" i="60"/>
  <c r="N164" i="60"/>
  <c r="N163" i="60"/>
  <c r="N162" i="60"/>
  <c r="N161" i="60"/>
  <c r="N160" i="60"/>
  <c r="N159" i="60"/>
  <c r="N158" i="60"/>
  <c r="N157" i="60"/>
  <c r="N156" i="60"/>
  <c r="N155" i="60"/>
  <c r="N154" i="60"/>
  <c r="N153" i="60"/>
  <c r="N152" i="60"/>
  <c r="N151" i="60"/>
  <c r="N150" i="60"/>
  <c r="N149" i="60"/>
  <c r="N148" i="60"/>
  <c r="N147" i="60"/>
  <c r="N146" i="60"/>
  <c r="N145" i="60"/>
  <c r="N144" i="60"/>
  <c r="N143" i="60"/>
  <c r="N142" i="60"/>
  <c r="N141" i="60"/>
  <c r="N140" i="60"/>
  <c r="N139" i="60"/>
  <c r="D67" i="60"/>
  <c r="C65" i="60"/>
  <c r="G63" i="60"/>
  <c r="E63" i="60"/>
  <c r="B63" i="60"/>
  <c r="G62" i="60"/>
  <c r="E62" i="60"/>
  <c r="B62" i="60"/>
  <c r="G61" i="60"/>
  <c r="E61" i="60"/>
  <c r="B61" i="60"/>
  <c r="G60" i="60"/>
  <c r="E60" i="60"/>
  <c r="B60" i="60"/>
  <c r="G59" i="60"/>
  <c r="E59" i="60"/>
  <c r="B59" i="60"/>
  <c r="G58" i="60"/>
  <c r="E58" i="60"/>
  <c r="B58" i="60"/>
  <c r="G57" i="60"/>
  <c r="E57" i="60"/>
  <c r="B57" i="60"/>
  <c r="G56" i="60"/>
  <c r="E56" i="60"/>
  <c r="B56" i="60"/>
  <c r="G55" i="60"/>
  <c r="E55" i="60"/>
  <c r="B55" i="60"/>
  <c r="G54" i="60"/>
  <c r="E54" i="60"/>
  <c r="B54" i="60"/>
  <c r="E40" i="60"/>
  <c r="C40" i="60"/>
  <c r="G38" i="60"/>
  <c r="G37" i="60"/>
  <c r="G36" i="60"/>
  <c r="E36" i="60"/>
  <c r="B36" i="60"/>
  <c r="G35" i="60"/>
  <c r="E35" i="60"/>
  <c r="B35" i="60"/>
  <c r="G34" i="60"/>
  <c r="E34" i="60"/>
  <c r="B34" i="60"/>
  <c r="G28" i="60"/>
  <c r="E28" i="60"/>
  <c r="B28" i="60"/>
  <c r="G27" i="60"/>
  <c r="E27" i="60"/>
  <c r="B27" i="60"/>
  <c r="G26" i="60"/>
  <c r="E26" i="60"/>
  <c r="B26" i="60"/>
  <c r="U25" i="60"/>
  <c r="L25" i="60"/>
  <c r="Y22" i="60"/>
  <c r="W22" i="60"/>
  <c r="C22" i="60"/>
  <c r="Y21" i="60"/>
  <c r="W21" i="60"/>
  <c r="Y20" i="60"/>
  <c r="W20" i="60"/>
  <c r="P18" i="60"/>
  <c r="N18" i="60"/>
  <c r="K18" i="60"/>
  <c r="Y16" i="60"/>
  <c r="W16" i="60"/>
  <c r="G16" i="60"/>
  <c r="E16" i="60"/>
  <c r="B16" i="60"/>
  <c r="Y15" i="60"/>
  <c r="W15" i="60"/>
  <c r="C13" i="60"/>
  <c r="G10" i="60"/>
  <c r="E10" i="60"/>
  <c r="B10" i="60"/>
  <c r="G9" i="60"/>
  <c r="E9" i="60"/>
  <c r="B9" i="60"/>
  <c r="U8" i="60"/>
  <c r="G8" i="60"/>
  <c r="E8" i="60"/>
  <c r="B8" i="60"/>
  <c r="Y7" i="60"/>
  <c r="W7" i="60"/>
  <c r="T7" i="60"/>
  <c r="G7" i="60"/>
  <c r="E7" i="60"/>
  <c r="B7" i="60"/>
  <c r="Y6" i="60"/>
  <c r="W6" i="60"/>
  <c r="T6" i="60"/>
  <c r="G6" i="60"/>
  <c r="E6" i="60"/>
  <c r="B6" i="60"/>
  <c r="Y5" i="60"/>
  <c r="W5" i="60"/>
  <c r="T5" i="60"/>
  <c r="P5" i="60"/>
  <c r="N5" i="60"/>
  <c r="K5" i="60"/>
  <c r="G5" i="60"/>
  <c r="E5" i="60"/>
  <c r="B5" i="60"/>
  <c r="Y4" i="60"/>
  <c r="W4" i="60"/>
  <c r="T4" i="60"/>
  <c r="P4" i="60"/>
  <c r="P25" i="60" s="1"/>
  <c r="N4" i="60"/>
  <c r="G4" i="60"/>
  <c r="E4" i="60"/>
  <c r="B4" i="60"/>
  <c r="G67" i="68" l="1"/>
  <c r="B67" i="68"/>
  <c r="K68" i="68" s="1"/>
  <c r="N70" i="68"/>
  <c r="K70" i="68"/>
  <c r="P70" i="68"/>
  <c r="B67" i="67"/>
  <c r="K68" i="67" s="1"/>
  <c r="P70" i="67"/>
  <c r="G67" i="67"/>
  <c r="K70" i="67" s="1"/>
  <c r="P70" i="64"/>
  <c r="K70" i="64"/>
  <c r="K68" i="63"/>
  <c r="G67" i="63"/>
  <c r="K70" i="63" s="1"/>
  <c r="O70" i="63"/>
  <c r="Y25" i="62"/>
  <c r="N70" i="62"/>
  <c r="K69" i="62"/>
  <c r="K68" i="62"/>
  <c r="M70" i="62"/>
  <c r="P70" i="62" s="1"/>
  <c r="K70" i="62"/>
  <c r="N70" i="61"/>
  <c r="Y25" i="61"/>
  <c r="K25" i="61"/>
  <c r="M70" i="61"/>
  <c r="P25" i="61"/>
  <c r="K25" i="60"/>
  <c r="K68" i="60" s="1"/>
  <c r="B67" i="61"/>
  <c r="G65" i="61"/>
  <c r="O70" i="61" s="1"/>
  <c r="P70" i="61" s="1"/>
  <c r="C67" i="61"/>
  <c r="K69" i="61" s="1"/>
  <c r="B22" i="60"/>
  <c r="B67" i="60" s="1"/>
  <c r="G65" i="60"/>
  <c r="T25" i="60"/>
  <c r="G13" i="60"/>
  <c r="G22" i="60" s="1"/>
  <c r="M70" i="60" s="1"/>
  <c r="Y25" i="60"/>
  <c r="C67" i="60"/>
  <c r="K69" i="60" s="1"/>
  <c r="G40" i="60"/>
  <c r="N70" i="60" s="1"/>
  <c r="O70" i="60"/>
  <c r="Q68" i="68" l="1"/>
  <c r="K68" i="61"/>
  <c r="G67" i="61"/>
  <c r="K70" i="61" s="1"/>
  <c r="G67" i="60"/>
  <c r="K70" i="60" s="1"/>
  <c r="P70" i="60"/>
  <c r="N8" i="59" l="1"/>
  <c r="N7" i="59"/>
  <c r="N6" i="59"/>
  <c r="N6" i="6" l="1"/>
  <c r="G40" i="6"/>
  <c r="K25" i="6" l="1"/>
  <c r="K68" i="6" s="1"/>
  <c r="E9" i="59"/>
  <c r="B9" i="59"/>
  <c r="E8" i="59"/>
  <c r="B8" i="59"/>
  <c r="K20" i="59" l="1"/>
  <c r="N20" i="59"/>
  <c r="N19" i="59"/>
  <c r="K19" i="59"/>
  <c r="E55" i="59"/>
  <c r="B55" i="59"/>
  <c r="E54" i="59"/>
  <c r="B54" i="59"/>
  <c r="E34" i="6"/>
  <c r="B34" i="6"/>
  <c r="G36" i="6"/>
  <c r="N186" i="59"/>
  <c r="N185" i="59"/>
  <c r="N184" i="59"/>
  <c r="N183" i="59"/>
  <c r="N182" i="59"/>
  <c r="N181" i="59"/>
  <c r="N180" i="59"/>
  <c r="N179" i="59"/>
  <c r="N178" i="59"/>
  <c r="N177" i="59"/>
  <c r="N176" i="59"/>
  <c r="N175" i="59"/>
  <c r="N174" i="59"/>
  <c r="N173" i="59"/>
  <c r="N172" i="59"/>
  <c r="N171" i="59"/>
  <c r="N170" i="59"/>
  <c r="N169" i="59"/>
  <c r="N168" i="59"/>
  <c r="N167" i="59"/>
  <c r="N166" i="59"/>
  <c r="N165" i="59"/>
  <c r="N164" i="59"/>
  <c r="N163" i="59"/>
  <c r="N162" i="59"/>
  <c r="N161" i="59"/>
  <c r="N160" i="59"/>
  <c r="N159" i="59"/>
  <c r="N158" i="59"/>
  <c r="N157" i="59"/>
  <c r="N156" i="59"/>
  <c r="N155" i="59"/>
  <c r="N154" i="59"/>
  <c r="N153" i="59"/>
  <c r="N152" i="59"/>
  <c r="N151" i="59"/>
  <c r="N150" i="59"/>
  <c r="N149" i="59"/>
  <c r="N148" i="59"/>
  <c r="N147" i="59"/>
  <c r="N146" i="59"/>
  <c r="N145" i="59"/>
  <c r="N144" i="59"/>
  <c r="N143" i="59"/>
  <c r="N142" i="59"/>
  <c r="N141" i="59"/>
  <c r="N140" i="59"/>
  <c r="N139" i="59"/>
  <c r="D67" i="59"/>
  <c r="G63" i="59"/>
  <c r="G62" i="59"/>
  <c r="G61" i="59"/>
  <c r="G60" i="59"/>
  <c r="G59" i="59"/>
  <c r="G58" i="59"/>
  <c r="G57" i="59"/>
  <c r="G56" i="59"/>
  <c r="G55" i="59"/>
  <c r="G54" i="59"/>
  <c r="E40" i="59"/>
  <c r="G38" i="59"/>
  <c r="G37" i="59"/>
  <c r="G36" i="59"/>
  <c r="E36" i="59"/>
  <c r="B36" i="59"/>
  <c r="G35" i="59"/>
  <c r="E35" i="59"/>
  <c r="B35" i="59"/>
  <c r="G34" i="59"/>
  <c r="E34" i="59"/>
  <c r="B34" i="59"/>
  <c r="G28" i="59"/>
  <c r="E28" i="59"/>
  <c r="B28" i="59"/>
  <c r="G27" i="59"/>
  <c r="E27" i="59"/>
  <c r="B27" i="59"/>
  <c r="G26" i="59"/>
  <c r="E26" i="59"/>
  <c r="B26" i="59"/>
  <c r="Y22" i="59"/>
  <c r="W22" i="59"/>
  <c r="C22" i="59"/>
  <c r="Y21" i="59"/>
  <c r="W21" i="59"/>
  <c r="Y20" i="59"/>
  <c r="W20" i="59"/>
  <c r="P18" i="59"/>
  <c r="N18" i="59"/>
  <c r="K18" i="59"/>
  <c r="Y16" i="59"/>
  <c r="G16" i="59"/>
  <c r="Y15" i="59"/>
  <c r="W15" i="59"/>
  <c r="C13" i="59"/>
  <c r="G10" i="59"/>
  <c r="G9" i="59"/>
  <c r="U8" i="59"/>
  <c r="G8" i="59"/>
  <c r="Y7" i="59"/>
  <c r="G7" i="59"/>
  <c r="E7" i="59"/>
  <c r="B7" i="59"/>
  <c r="Y6" i="59"/>
  <c r="W6" i="59"/>
  <c r="T6" i="59"/>
  <c r="G6" i="59"/>
  <c r="E6" i="59"/>
  <c r="B6" i="59"/>
  <c r="B13" i="59" s="1"/>
  <c r="B22" i="59" s="1"/>
  <c r="B67" i="59" s="1"/>
  <c r="Y5" i="59"/>
  <c r="W5" i="59"/>
  <c r="T5" i="59"/>
  <c r="G5" i="59"/>
  <c r="E5" i="59"/>
  <c r="B5" i="59"/>
  <c r="Y4" i="59"/>
  <c r="W4" i="59"/>
  <c r="T4" i="59"/>
  <c r="P4" i="59"/>
  <c r="N4" i="59"/>
  <c r="G4" i="59"/>
  <c r="E4" i="59"/>
  <c r="B4" i="59"/>
  <c r="C65" i="6"/>
  <c r="C40" i="6"/>
  <c r="C22" i="6"/>
  <c r="C13" i="6"/>
  <c r="U25" i="6"/>
  <c r="L25" i="6"/>
  <c r="K69" i="6" s="1"/>
  <c r="U8" i="6"/>
  <c r="Y16" i="6"/>
  <c r="Y15" i="6"/>
  <c r="W22" i="6"/>
  <c r="W21" i="6"/>
  <c r="W20" i="6"/>
  <c r="W16" i="6"/>
  <c r="W15" i="6"/>
  <c r="Y22" i="6"/>
  <c r="Y21" i="6"/>
  <c r="Y20" i="6"/>
  <c r="N18" i="6"/>
  <c r="N5" i="6"/>
  <c r="N4" i="6"/>
  <c r="E55" i="6"/>
  <c r="E56" i="6"/>
  <c r="E57" i="6"/>
  <c r="E58" i="6"/>
  <c r="E59" i="6"/>
  <c r="E60" i="6"/>
  <c r="E61" i="6"/>
  <c r="E62" i="6"/>
  <c r="E63" i="6"/>
  <c r="E54" i="6"/>
  <c r="G63" i="6"/>
  <c r="B63" i="6"/>
  <c r="G62" i="6"/>
  <c r="B62" i="6"/>
  <c r="G61" i="6"/>
  <c r="B61" i="6"/>
  <c r="G60" i="6"/>
  <c r="B60" i="6"/>
  <c r="G59" i="6"/>
  <c r="B59" i="6"/>
  <c r="G58" i="6"/>
  <c r="B58" i="6"/>
  <c r="G57" i="6"/>
  <c r="B57" i="6"/>
  <c r="G56" i="6"/>
  <c r="B56" i="6"/>
  <c r="G55" i="6"/>
  <c r="B55" i="6"/>
  <c r="G38" i="6"/>
  <c r="G37" i="6"/>
  <c r="G35" i="6"/>
  <c r="G34" i="6"/>
  <c r="E27" i="6"/>
  <c r="G16" i="6"/>
  <c r="G8" i="6"/>
  <c r="K68" i="59" l="1"/>
  <c r="G40" i="59"/>
  <c r="G13" i="59"/>
  <c r="G22" i="59" s="1"/>
  <c r="M70" i="59" s="1"/>
  <c r="P70" i="59" s="1"/>
  <c r="Y25" i="59"/>
  <c r="G65" i="59"/>
  <c r="C67" i="6"/>
  <c r="G26" i="6"/>
  <c r="E26" i="6"/>
  <c r="B26" i="6"/>
  <c r="K18" i="6"/>
  <c r="K5" i="6"/>
  <c r="B54" i="6"/>
  <c r="B65" i="6" s="1"/>
  <c r="B27" i="6"/>
  <c r="B16" i="6"/>
  <c r="B10" i="6"/>
  <c r="B9" i="6"/>
  <c r="B8" i="6"/>
  <c r="B7" i="6"/>
  <c r="B6" i="6"/>
  <c r="B5" i="6"/>
  <c r="B4" i="6"/>
  <c r="E5" i="6"/>
  <c r="E6" i="6"/>
  <c r="E7" i="6"/>
  <c r="E8" i="6"/>
  <c r="E9" i="6"/>
  <c r="E10" i="6"/>
  <c r="E16" i="6"/>
  <c r="G67" i="59" l="1"/>
  <c r="O70" i="59"/>
  <c r="B40" i="6"/>
  <c r="B13" i="6"/>
  <c r="B22" i="6" s="1"/>
  <c r="T25" i="6"/>
  <c r="G4" i="6"/>
  <c r="E4" i="6"/>
  <c r="N140" i="6"/>
  <c r="N139" i="6"/>
  <c r="E40" i="6"/>
  <c r="N145" i="6"/>
  <c r="P18" i="6"/>
  <c r="P5" i="6"/>
  <c r="P4" i="6"/>
  <c r="P25" i="6" s="1"/>
  <c r="Y7" i="6"/>
  <c r="Y6" i="6"/>
  <c r="Y5" i="6"/>
  <c r="Y4" i="6"/>
  <c r="N70" i="6" s="1"/>
  <c r="G54" i="6"/>
  <c r="G65" i="6" s="1"/>
  <c r="G28" i="6"/>
  <c r="G27" i="6"/>
  <c r="G10" i="6"/>
  <c r="G9" i="6"/>
  <c r="G7" i="6"/>
  <c r="G6" i="6"/>
  <c r="G5" i="6"/>
  <c r="N186" i="6"/>
  <c r="N185" i="6"/>
  <c r="N184" i="6"/>
  <c r="N183" i="6"/>
  <c r="N182" i="6"/>
  <c r="N180" i="6"/>
  <c r="N179" i="6"/>
  <c r="N178" i="6"/>
  <c r="N177" i="6"/>
  <c r="N176" i="6"/>
  <c r="N175" i="6"/>
  <c r="N174" i="6"/>
  <c r="N173" i="6"/>
  <c r="N172" i="6"/>
  <c r="N171" i="6"/>
  <c r="N170" i="6"/>
  <c r="N169" i="6"/>
  <c r="N168" i="6"/>
  <c r="N167" i="6"/>
  <c r="N166" i="6"/>
  <c r="N165" i="6"/>
  <c r="N164" i="6"/>
  <c r="N163" i="6"/>
  <c r="N162" i="6"/>
  <c r="N161" i="6"/>
  <c r="N160" i="6"/>
  <c r="N159" i="6"/>
  <c r="N158" i="6"/>
  <c r="N157" i="6"/>
  <c r="N156" i="6"/>
  <c r="N155" i="6"/>
  <c r="N154" i="6"/>
  <c r="N153" i="6"/>
  <c r="N152" i="6"/>
  <c r="N151" i="6"/>
  <c r="N150" i="6"/>
  <c r="N149" i="6"/>
  <c r="N148" i="6"/>
  <c r="N147" i="6"/>
  <c r="N146" i="6"/>
  <c r="N144" i="6"/>
  <c r="N143" i="6"/>
  <c r="N142" i="6"/>
  <c r="N141" i="6"/>
  <c r="N181" i="6"/>
  <c r="P70" i="6" l="1"/>
  <c r="B67" i="6"/>
  <c r="G13" i="6"/>
  <c r="Y25" i="6"/>
  <c r="G22" i="6"/>
  <c r="D67" i="6"/>
  <c r="Y14" i="2"/>
  <c r="Y13" i="2"/>
  <c r="Y8" i="2"/>
  <c r="Y7" i="2"/>
  <c r="Y6" i="2"/>
  <c r="Y5" i="2"/>
  <c r="Y4" i="2"/>
  <c r="P16" i="2"/>
  <c r="P8" i="2"/>
  <c r="P7" i="2"/>
  <c r="P6" i="2"/>
  <c r="P5" i="2"/>
  <c r="P4" i="2"/>
  <c r="G56" i="2"/>
  <c r="G55" i="2"/>
  <c r="G54" i="2"/>
  <c r="G53" i="2"/>
  <c r="G52" i="2"/>
  <c r="G35" i="2"/>
  <c r="G34" i="2"/>
  <c r="G33" i="2"/>
  <c r="G32" i="2"/>
  <c r="G26" i="2"/>
  <c r="G25" i="2"/>
  <c r="G24" i="2"/>
  <c r="G17" i="2"/>
  <c r="G16" i="2"/>
  <c r="G15" i="2"/>
  <c r="G14" i="2"/>
  <c r="G7" i="2"/>
  <c r="G6" i="2"/>
  <c r="G5" i="2"/>
  <c r="G4" i="2"/>
  <c r="N132" i="2"/>
  <c r="Y14" i="5"/>
  <c r="Y13" i="5"/>
  <c r="Y8" i="5"/>
  <c r="Y7" i="5"/>
  <c r="Y6" i="5"/>
  <c r="Y5" i="5"/>
  <c r="Y4" i="5"/>
  <c r="P16" i="5"/>
  <c r="P8" i="5"/>
  <c r="P7" i="5"/>
  <c r="P6" i="5"/>
  <c r="P5" i="5"/>
  <c r="P4" i="5"/>
  <c r="G56" i="5"/>
  <c r="G55" i="5"/>
  <c r="G54" i="5"/>
  <c r="G53" i="5"/>
  <c r="G52" i="5"/>
  <c r="G35" i="5"/>
  <c r="G34" i="5"/>
  <c r="G33" i="5"/>
  <c r="G32" i="5"/>
  <c r="G26" i="5"/>
  <c r="G25" i="5"/>
  <c r="G24" i="5"/>
  <c r="G17" i="5"/>
  <c r="G16" i="5"/>
  <c r="G15" i="5"/>
  <c r="G14" i="5"/>
  <c r="G7" i="5"/>
  <c r="G6" i="5"/>
  <c r="G5" i="5"/>
  <c r="N132" i="5"/>
  <c r="G4" i="5"/>
  <c r="G67" i="6" l="1"/>
  <c r="K70" i="6" s="1"/>
  <c r="N174" i="5"/>
  <c r="N173" i="5"/>
  <c r="N172" i="5"/>
  <c r="N171" i="5"/>
  <c r="N170" i="5"/>
  <c r="N169" i="5"/>
  <c r="N168" i="5"/>
  <c r="N167" i="5"/>
  <c r="N166" i="5"/>
  <c r="N165" i="5"/>
  <c r="N164" i="5"/>
  <c r="N163" i="5"/>
  <c r="N162" i="5"/>
  <c r="N161" i="5"/>
  <c r="N160" i="5"/>
  <c r="N159" i="5"/>
  <c r="N158" i="5"/>
  <c r="N157" i="5"/>
  <c r="N156" i="5"/>
  <c r="N155" i="5"/>
  <c r="N154" i="5"/>
  <c r="N153" i="5"/>
  <c r="N152" i="5"/>
  <c r="N151" i="5"/>
  <c r="N150" i="5"/>
  <c r="N149" i="5"/>
  <c r="N148" i="5"/>
  <c r="N147" i="5"/>
  <c r="N146" i="5"/>
  <c r="N145" i="5"/>
  <c r="N144" i="5"/>
  <c r="N143" i="5"/>
  <c r="N142" i="5"/>
  <c r="N141" i="5"/>
  <c r="N140" i="5"/>
  <c r="N139" i="5"/>
  <c r="N138" i="5"/>
  <c r="N137" i="5"/>
  <c r="N136" i="5"/>
  <c r="N135" i="5"/>
  <c r="N134" i="5"/>
  <c r="N133" i="5"/>
  <c r="D60" i="5"/>
  <c r="C58" i="5"/>
  <c r="B58" i="5"/>
  <c r="G58" i="5"/>
  <c r="C38" i="5"/>
  <c r="B38" i="5"/>
  <c r="G38" i="5"/>
  <c r="U23" i="5"/>
  <c r="T23" i="5"/>
  <c r="L23" i="5"/>
  <c r="K23" i="5"/>
  <c r="C20" i="5"/>
  <c r="B20" i="5"/>
  <c r="G11" i="5"/>
  <c r="G10" i="5"/>
  <c r="G9" i="5"/>
  <c r="G8" i="5"/>
  <c r="Y23" i="5"/>
  <c r="B60" i="5" l="1"/>
  <c r="G20" i="5"/>
  <c r="G60" i="5" s="1"/>
  <c r="K61" i="5"/>
  <c r="C60" i="5"/>
  <c r="K62" i="5" s="1"/>
  <c r="M63" i="5"/>
  <c r="P23" i="5"/>
  <c r="O63" i="5"/>
  <c r="N63" i="5"/>
  <c r="K63" i="5" l="1"/>
  <c r="P63" i="5"/>
  <c r="N133" i="2" l="1"/>
  <c r="N135" i="2"/>
  <c r="N134" i="2"/>
  <c r="G11" i="2"/>
  <c r="G10" i="2"/>
  <c r="G9" i="2"/>
  <c r="G8" i="2"/>
  <c r="Y23" i="2" l="1"/>
  <c r="N136" i="2" l="1"/>
  <c r="D60" i="2"/>
  <c r="G58" i="2"/>
  <c r="O63" i="2" s="1"/>
  <c r="C58" i="2"/>
  <c r="B58" i="2"/>
  <c r="G38" i="2"/>
  <c r="N63" i="2" s="1"/>
  <c r="C38" i="2"/>
  <c r="B38" i="2"/>
  <c r="U23" i="2"/>
  <c r="T23" i="2"/>
  <c r="P23" i="2"/>
  <c r="L23" i="2"/>
  <c r="K23" i="2"/>
  <c r="C20" i="2"/>
  <c r="N137" i="2" l="1"/>
  <c r="C60" i="2"/>
  <c r="K62" i="2" s="1"/>
  <c r="N138" i="2" l="1"/>
  <c r="N139" i="2" l="1"/>
  <c r="N140" i="2" l="1"/>
  <c r="N141" i="2" l="1"/>
  <c r="N142" i="2" l="1"/>
  <c r="N143" i="2" l="1"/>
  <c r="N144" i="2" l="1"/>
  <c r="N145" i="2" l="1"/>
  <c r="N146" i="2" l="1"/>
  <c r="N147" i="2" l="1"/>
  <c r="N148" i="2" l="1"/>
  <c r="N149" i="2" l="1"/>
  <c r="N150" i="2" l="1"/>
  <c r="N151" i="2" l="1"/>
  <c r="N152" i="2" l="1"/>
  <c r="N153" i="2" l="1"/>
  <c r="N154" i="2" l="1"/>
  <c r="N155" i="2" l="1"/>
  <c r="N156" i="2" l="1"/>
  <c r="N157" i="2" l="1"/>
  <c r="N158" i="2" l="1"/>
  <c r="N159" i="2" l="1"/>
  <c r="N160" i="2" l="1"/>
  <c r="N161" i="2" l="1"/>
  <c r="N162" i="2" l="1"/>
  <c r="N163" i="2" l="1"/>
  <c r="N164" i="2" l="1"/>
  <c r="N165" i="2" l="1"/>
  <c r="N166" i="2" l="1"/>
  <c r="N167" i="2" l="1"/>
  <c r="N168" i="2" l="1"/>
  <c r="N169" i="2" l="1"/>
  <c r="N170" i="2" l="1"/>
  <c r="N171" i="2" l="1"/>
  <c r="N172" i="2" l="1"/>
  <c r="N173" i="2" l="1"/>
  <c r="N174" i="2" l="1"/>
  <c r="B20" i="2" l="1"/>
  <c r="B60" i="2" s="1"/>
  <c r="K61" i="2" s="1"/>
  <c r="G20" i="2"/>
  <c r="M63" i="2" l="1"/>
  <c r="P63" i="2" s="1"/>
  <c r="G60" i="2"/>
  <c r="K63" i="2" s="1"/>
  <c r="N5" i="59"/>
  <c r="P5" i="59"/>
  <c r="N70" i="59" s="1"/>
  <c r="P25" i="59" l="1"/>
  <c r="K70" i="5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tc={7FA87125-ADF2-C840-AE6A-E0D5A1EDA2AC}</author>
  </authors>
  <commentList>
    <comment ref="Y15" authorId="0" shapeId="0" xr:uid="{7FA87125-ADF2-C840-AE6A-E0D5A1EDA2AC}">
      <text>
        <t>[Comentario encadenado]
Su versión de Excel le permite leer este comentario encadenado; sin embargo, las ediciones que se apliquen se quitarán si el archivo se abre en una versión más reciente de Excel. Más información: https://go.microsoft.com/fwlink/?linkid=870924
Comentario:
    Se adiciona un operario del camión de sevillana</t>
      </text>
    </comment>
  </commentList>
</comments>
</file>

<file path=xl/sharedStrings.xml><?xml version="1.0" encoding="utf-8"?>
<sst xmlns="http://schemas.openxmlformats.org/spreadsheetml/2006/main" count="21114" uniqueCount="553">
  <si>
    <t>ZONA NORTE</t>
  </si>
  <si>
    <t>RUTAS CICLOVÍA 40 M3</t>
  </si>
  <si>
    <t>ATN CICLOVÍA, ESCUELA DE LA BICI, ADICIONALES 25 M3</t>
  </si>
  <si>
    <t>CONOS CICLOVÍA 25 M3</t>
  </si>
  <si>
    <t>CORREDOR</t>
  </si>
  <si>
    <t># OPERARIOS</t>
  </si>
  <si>
    <t># CAMIONES</t>
  </si>
  <si>
    <t>MODELO</t>
  </si>
  <si>
    <t>$</t>
  </si>
  <si>
    <t>ZONA</t>
  </si>
  <si>
    <t>NORTE 1</t>
  </si>
  <si>
    <t>NORTE</t>
  </si>
  <si>
    <t>CENTRO</t>
  </si>
  <si>
    <t xml:space="preserve">CENTRO 5 CAMION 1 UNICONOS </t>
  </si>
  <si>
    <t>NORTE 2</t>
  </si>
  <si>
    <t xml:space="preserve">CENTRO 5 CAMION 2 UNICONOS </t>
  </si>
  <si>
    <t>NORTE 3</t>
  </si>
  <si>
    <t xml:space="preserve">CENTRO 4 CAMION 3 UNICONOS </t>
  </si>
  <si>
    <t>NORTE 5</t>
  </si>
  <si>
    <t xml:space="preserve">CENTRO 4 CAMION 4 UNICONOS </t>
  </si>
  <si>
    <t xml:space="preserve">CENTRO 4 CAMION 5 UNICONOS </t>
  </si>
  <si>
    <t>OPERARIOS ADICIONALES</t>
  </si>
  <si>
    <t>RUTAS CICLOVÍA 25 M3</t>
  </si>
  <si>
    <t>APOYO CICLOVÍA</t>
  </si>
  <si>
    <t xml:space="preserve">NORTE 1 CAMION 6 UNICONOS </t>
  </si>
  <si>
    <t>ATN CICLOVÍA, ESCUELA DE LA BICI, ADICIONALES 40 M3</t>
  </si>
  <si>
    <t xml:space="preserve">NORTE 1 CAMION 7 UNICONOS </t>
  </si>
  <si>
    <t xml:space="preserve">NORTE 5 CAMION 8 UNICONOS </t>
  </si>
  <si>
    <t>NORTE 4</t>
  </si>
  <si>
    <t>valor total</t>
  </si>
  <si>
    <t>ZONA CENTRO</t>
  </si>
  <si>
    <t>TOTAL</t>
  </si>
  <si>
    <t>CENTRO 2</t>
  </si>
  <si>
    <t>CENTRO 4</t>
  </si>
  <si>
    <t>CENTRO 5</t>
  </si>
  <si>
    <t>&gt;</t>
  </si>
  <si>
    <t>CENTRO 1</t>
  </si>
  <si>
    <t>CENTRO 3 ZONA 1</t>
  </si>
  <si>
    <t>CENTRO 3 ZONA 2</t>
  </si>
  <si>
    <t>PARQUE NACIONAL</t>
  </si>
  <si>
    <t>ZONA SUR</t>
  </si>
  <si>
    <t xml:space="preserve"> SUR 1 ZONA 1 </t>
  </si>
  <si>
    <t xml:space="preserve"> SUR 1 ZONA 2</t>
  </si>
  <si>
    <t xml:space="preserve"> SUR 2 ZONA 1 </t>
  </si>
  <si>
    <t xml:space="preserve"> SUR 2 ZONA 2</t>
  </si>
  <si>
    <t>SUR 3</t>
  </si>
  <si>
    <t>GRAN TOTAL OPERA</t>
  </si>
  <si>
    <t>GRAN TOTAL CAMIONES</t>
  </si>
  <si>
    <t>VALOR $</t>
  </si>
  <si>
    <t xml:space="preserve">OTRAS NOVEDADES  DE JORNADA </t>
  </si>
  <si>
    <t xml:space="preserve">
</t>
  </si>
  <si>
    <t xml:space="preserve">     
Apoyan Guardaines ATN Norte 4, Norte 2 y Norte 3
Apoan Guardianes ATN Norte 1, Centro 1 y Centro 5
Apoyan Guardianes ATN Centro 4, Centro 3 y Sur 3
Apoyan Guardianes ATN Sur 1, Sur 2 y Centro 2</t>
  </si>
  <si>
    <t>DISPONIBILIDAD</t>
  </si>
  <si>
    <t>2012-2020</t>
  </si>
  <si>
    <t>ESCUELA</t>
  </si>
  <si>
    <t>COMPLETA</t>
  </si>
  <si>
    <t>PEDAGOGÍA - LUDICA</t>
  </si>
  <si>
    <t>SUR</t>
  </si>
  <si>
    <t>RECREOVÍA</t>
  </si>
  <si>
    <r>
      <rPr>
        <b/>
        <sz val="14"/>
        <color rgb="FFFF0000"/>
        <rFont val="Arial"/>
        <family val="2"/>
      </rPr>
      <t>MOVIMIENTOS:</t>
    </r>
    <r>
      <rPr>
        <sz val="14"/>
        <color rgb="FFFF0000"/>
        <rFont val="Arial"/>
        <family val="2"/>
      </rPr>
      <t xml:space="preserve"> 
</t>
    </r>
    <r>
      <rPr>
        <b/>
        <sz val="14"/>
        <color rgb="FFFF0000"/>
        <rFont val="Arial"/>
        <family val="2"/>
      </rPr>
      <t>* SE REQUIEREN TODOS LOS CAMIONES, 8:00 AM EN IDRD PARA REVISIÓN DE MEDIDAS FURGONES.</t>
    </r>
    <r>
      <rPr>
        <sz val="14"/>
        <color rgb="FFFF0000"/>
        <rFont val="Arial"/>
        <family val="2"/>
      </rPr>
      <t xml:space="preserve">
</t>
    </r>
    <r>
      <rPr>
        <sz val="14"/>
        <rFont val="Arial"/>
        <family val="2"/>
      </rPr>
      <t xml:space="preserve">* SE REQUIERE QUE LOS DOS OPERARIOS PARA APOYO DE CICLOVÍA LLEGUEN A IDRD A LAS 7:00 AM Y ESTEN DISPONIBLES HASTA LAS 3:00 PM. ENCARGADO EDUARDO TIJARO.
* LOS VEHÍCULOS DE ESCUELA Y PADAGOGÍA - LUDICA- SPA PARA PERROS, DEBEN LLEGAR A LAS 5:00 AM AL IDRD.
* LOS VEHÍCULOS DE RECREOVÍA DEBEN LLEGAR A LAS 5:30 AM A TERCER MILENIO.
</t>
    </r>
    <r>
      <rPr>
        <sz val="14"/>
        <color indexed="8"/>
        <rFont val="Arial"/>
        <family val="2"/>
      </rPr>
      <t xml:space="preserve">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LIBARDO SÁNCHEZ.</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EDUARDO TIJARO</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LIBARDO SÁNCHEZ.
</t>
    </r>
    <r>
      <rPr>
        <sz val="14"/>
        <color indexed="8"/>
        <rFont val="Arial"/>
        <family val="2"/>
      </rPr>
      <t xml:space="preserve">
</t>
    </r>
    <r>
      <rPr>
        <b/>
        <sz val="14"/>
        <color rgb="FFFF0000"/>
        <rFont val="Arial"/>
        <family val="2"/>
      </rPr>
      <t>ESCUELA DE LA BICI:</t>
    </r>
    <r>
      <rPr>
        <sz val="14"/>
        <color indexed="8"/>
        <rFont val="Arial"/>
        <family val="2"/>
      </rPr>
      <t xml:space="preserve">  DEBE LLEGAR 5:00 AM A IDRD CARGA ELEMENTOS POSTERIORMENTE SE DIRIGE A AV. BOYACÁ CON CALLE 136 Y CALLE 160 RESPECTIVAMENTE.
</t>
    </r>
    <r>
      <rPr>
        <b/>
        <sz val="14"/>
        <color rgb="FFFF0000"/>
        <rFont val="Arial"/>
        <family val="2"/>
      </rPr>
      <t xml:space="preserve">
CICLOPASEO:</t>
    </r>
    <r>
      <rPr>
        <sz val="14"/>
        <color indexed="8"/>
        <rFont val="Arial"/>
        <family val="2"/>
      </rPr>
      <t xml:space="preserve">  NO HAY
</t>
    </r>
    <r>
      <rPr>
        <b/>
        <sz val="14"/>
        <color rgb="FFFF0000"/>
        <rFont val="Arial"/>
        <family val="2"/>
      </rPr>
      <t xml:space="preserve">PUNTO ENCUENTRO: </t>
    </r>
    <r>
      <rPr>
        <sz val="14"/>
        <rFont val="Arial"/>
        <family val="2"/>
      </rPr>
      <t xml:space="preserve">
</t>
    </r>
    <r>
      <rPr>
        <b/>
        <sz val="14"/>
        <color rgb="FFFF0000"/>
        <rFont val="Arial"/>
        <family val="2"/>
      </rPr>
      <t xml:space="preserve">BICICLETAS:  
ENCARGADO: </t>
    </r>
    <r>
      <rPr>
        <sz val="14"/>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PEDAGOGÍA - LUDICA : </t>
    </r>
    <r>
      <rPr>
        <sz val="14"/>
        <color indexed="8"/>
        <rFont val="Arial"/>
        <family val="2"/>
      </rPr>
      <t xml:space="preserve"> DEBE LLEGAR 5:00 AM A IDRD, CARGAR MATERIAL RECREATIVO, 4 MODULOS DE PEDAGOGÍA, VALLAS DE PUNTO DE INFORMACIÓN,  LLEVAR AV. BOYACÁ NORTE Y REALIZA DISTRIBUCIÓN DE MATERIAL.
</t>
    </r>
  </si>
  <si>
    <t>SENCILLO C 4OP</t>
  </si>
  <si>
    <t>SENCILLO C 3OP</t>
  </si>
  <si>
    <t>SENCILLO C 2OP</t>
  </si>
  <si>
    <t>SENCILLO C 1OP</t>
  </si>
  <si>
    <t>SENCILLO C 0OP</t>
  </si>
  <si>
    <t>SENCILLO M 4OP</t>
  </si>
  <si>
    <t>SENCILLO M 3OP</t>
  </si>
  <si>
    <t>SENCILLO M 2OP</t>
  </si>
  <si>
    <t>SENCILLO M 1OP</t>
  </si>
  <si>
    <t>SENCILLO M 0OP</t>
  </si>
  <si>
    <t>SENCILLO R 4OP</t>
  </si>
  <si>
    <t>SENCILLO R 3OP</t>
  </si>
  <si>
    <t>SENCILLO R 2OP</t>
  </si>
  <si>
    <t>SENCILLO R 1OP</t>
  </si>
  <si>
    <t>SENCILLO R 0OP</t>
  </si>
  <si>
    <t>TURBO C 4OP</t>
  </si>
  <si>
    <t>TURBO C 3OP</t>
  </si>
  <si>
    <t>TURBO C 2OP</t>
  </si>
  <si>
    <t>TURBO C 1OP</t>
  </si>
  <si>
    <t>TURBO C 0OP</t>
  </si>
  <si>
    <t>TURBO M 4OP</t>
  </si>
  <si>
    <t>TURBO M 3OP</t>
  </si>
  <si>
    <t>TURBO M 2OP</t>
  </si>
  <si>
    <t>TURBO M 1OP</t>
  </si>
  <si>
    <t>TURBO M 0OP</t>
  </si>
  <si>
    <t>TURBO R 4OP</t>
  </si>
  <si>
    <t>TURBO R 3OP</t>
  </si>
  <si>
    <t>TURBO R 2OP</t>
  </si>
  <si>
    <t>TURBO R 1OP</t>
  </si>
  <si>
    <t>TURBO R 0OP</t>
  </si>
  <si>
    <t>FURGONADA C</t>
  </si>
  <si>
    <t>FURGONADA M</t>
  </si>
  <si>
    <t>FURGONADA R</t>
  </si>
  <si>
    <t>4X4 C</t>
  </si>
  <si>
    <t>4X4 M</t>
  </si>
  <si>
    <t>4X4 R</t>
  </si>
  <si>
    <t>MONTACARGA C</t>
  </si>
  <si>
    <t>MONTACARGA H</t>
  </si>
  <si>
    <t>GRUA C</t>
  </si>
  <si>
    <t>GRUA H</t>
  </si>
  <si>
    <t>OPERARIO 8 H</t>
  </si>
  <si>
    <t>OPERARIO 6 H</t>
  </si>
  <si>
    <t>1 SENCILLO C 4OP</t>
  </si>
  <si>
    <t>2 SENCILLO C 3OP</t>
  </si>
  <si>
    <t>3 SENCILLO C 2OP</t>
  </si>
  <si>
    <t>4 SENCILLO C 1OP</t>
  </si>
  <si>
    <t>5 SENCILLO C 0OP</t>
  </si>
  <si>
    <t>6 SENCILLO M 4OP</t>
  </si>
  <si>
    <t>7 SENCILLO M 3OP</t>
  </si>
  <si>
    <t>8 SENCILLO M 2OP</t>
  </si>
  <si>
    <t>9 SENCILLO M 1OP</t>
  </si>
  <si>
    <t>10 SENCILLO M 0OP</t>
  </si>
  <si>
    <t>11 SENCILLO R 4OP</t>
  </si>
  <si>
    <t>12 SENCILLO R 3OP</t>
  </si>
  <si>
    <t>13 SENCILLO R 2OP</t>
  </si>
  <si>
    <t>14 SENCILLO R 1OP</t>
  </si>
  <si>
    <t>15 SENCILLO R 0OP</t>
  </si>
  <si>
    <t>16 TURBO C 4OP</t>
  </si>
  <si>
    <t>17 TURBO C 3OP</t>
  </si>
  <si>
    <t>18 TURBO C 2OP</t>
  </si>
  <si>
    <t>19 TURBO C 1OP</t>
  </si>
  <si>
    <t>20 TURBO C 0OP</t>
  </si>
  <si>
    <t>21 TURBO M 4OP</t>
  </si>
  <si>
    <t>22 TURBO M 3OP</t>
  </si>
  <si>
    <t>23 TURBO M 2OP</t>
  </si>
  <si>
    <t>24 TURBO M 1OP</t>
  </si>
  <si>
    <t>25 TURBO M 0OP</t>
  </si>
  <si>
    <t>26 TURBO R 4OP</t>
  </si>
  <si>
    <t>27 TURBO R 3OP</t>
  </si>
  <si>
    <t>28 TURBO R 2OP</t>
  </si>
  <si>
    <t>29 TURBO R 1OP</t>
  </si>
  <si>
    <t>30 TURBO R 0OP</t>
  </si>
  <si>
    <t>31 FURGONADA C</t>
  </si>
  <si>
    <t>32 FURGONADA M</t>
  </si>
  <si>
    <t>33 FURGONADA R</t>
  </si>
  <si>
    <t>34 4X4 C</t>
  </si>
  <si>
    <t>35 4X4 M</t>
  </si>
  <si>
    <t>36 4X4 R</t>
  </si>
  <si>
    <t>37 MONTACARGA C</t>
  </si>
  <si>
    <t>38 MONTACARGA H</t>
  </si>
  <si>
    <t>39 GRUA C</t>
  </si>
  <si>
    <t>40 GRUA H</t>
  </si>
  <si>
    <t>41 OPERARIO 8 H</t>
  </si>
  <si>
    <t>42 OPERARIO 6 H</t>
  </si>
  <si>
    <t>C</t>
  </si>
  <si>
    <t>R</t>
  </si>
  <si>
    <t>M</t>
  </si>
  <si>
    <t>H</t>
  </si>
  <si>
    <t>OPERARIOS</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</si>
  <si>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</si>
  <si>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</si>
  <si>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</si>
  <si>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</si>
  <si>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</si>
  <si>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</si>
  <si>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</si>
  <si>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</si>
  <si>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</si>
  <si>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</si>
  <si>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</si>
  <si>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</si>
  <si>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</si>
  <si>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</si>
  <si>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</si>
  <si>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</si>
  <si>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</si>
  <si>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</si>
  <si>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</si>
  <si>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</si>
  <si>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</si>
  <si>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</si>
  <si>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</si>
  <si>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</si>
  <si>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</si>
  <si>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</si>
  <si>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</si>
  <si>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</si>
  <si>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</si>
  <si>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</si>
  <si>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</si>
  <si>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</si>
  <si>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</si>
  <si>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</si>
  <si>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</si>
  <si>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</si>
  <si>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</si>
  <si>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</si>
  <si>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</si>
  <si>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</si>
  <si>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</si>
  <si>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</si>
  <si>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</si>
  <si>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1. SENCILLO C 4OP</t>
  </si>
  <si>
    <t>2. SENCILLO C 3OP</t>
  </si>
  <si>
    <t>3. SENCILLO C 2OP</t>
  </si>
  <si>
    <t>4. SENCILLO C 1OP</t>
  </si>
  <si>
    <t>5. SENCILLO C 0OP</t>
  </si>
  <si>
    <t>6. SENCILLO M 4OP</t>
  </si>
  <si>
    <t>7. SENCILLO M 3OP</t>
  </si>
  <si>
    <t>8. SENCILLO M 2OP</t>
  </si>
  <si>
    <t>9. SENCILLO M 1OP</t>
  </si>
  <si>
    <t>10. SENCILLO M 0OP</t>
  </si>
  <si>
    <t>11. SENCILLO R 4OP</t>
  </si>
  <si>
    <t>12. SENCILLO R 3OP</t>
  </si>
  <si>
    <t>13. SENCILLO R 2OP</t>
  </si>
  <si>
    <t>14. SENCILLO R 1OP</t>
  </si>
  <si>
    <t>15. SENCILLO R 0OP</t>
  </si>
  <si>
    <t>16. TURBO C 4OP</t>
  </si>
  <si>
    <t>17. TURBO C 3OP</t>
  </si>
  <si>
    <t>18. TURBO C 2OP</t>
  </si>
  <si>
    <t>19. TURBO C 1OP</t>
  </si>
  <si>
    <t>20. TURBO C 0OP</t>
  </si>
  <si>
    <t>21. TURBO M 4OP</t>
  </si>
  <si>
    <t>22. TURBO M 3OP</t>
  </si>
  <si>
    <t>23. TURBO M 2OP</t>
  </si>
  <si>
    <t>24. TURBO M 1OP</t>
  </si>
  <si>
    <t>25. TURBO M 0OP</t>
  </si>
  <si>
    <t>26. TURBO R 4OP</t>
  </si>
  <si>
    <t>27. TURBO R 3OP</t>
  </si>
  <si>
    <t>28. TURBO R 2OP</t>
  </si>
  <si>
    <t>29. TURBO R 1OP</t>
  </si>
  <si>
    <t>30. TURBO R 0OP</t>
  </si>
  <si>
    <t>31. FURGONADA C</t>
  </si>
  <si>
    <t>32. FURGONADA M</t>
  </si>
  <si>
    <t>33. FURGONADA R</t>
  </si>
  <si>
    <t>34. 4X4 C</t>
  </si>
  <si>
    <t>35. 4X4 M</t>
  </si>
  <si>
    <t>36. 4X4 R</t>
  </si>
  <si>
    <t>37. MONTACARGA C</t>
  </si>
  <si>
    <t>38. MONTACARGA H</t>
  </si>
  <si>
    <t>39. GRUA C</t>
  </si>
  <si>
    <t>40. GRUA H</t>
  </si>
  <si>
    <t>41. OPERARIO 8 H</t>
  </si>
  <si>
    <t>42. OPERARIO 6 H</t>
  </si>
  <si>
    <t>TIPO DE DISPONIBILIDAD</t>
  </si>
  <si>
    <t>TIPO DE SERVICIO</t>
  </si>
  <si>
    <t>ADICIONALES</t>
  </si>
  <si>
    <t>CAMIONETA FURGONADA PENDONES CALLE 26</t>
  </si>
  <si>
    <t>RUTA</t>
  </si>
  <si>
    <t>BODEGA</t>
  </si>
  <si>
    <t>CENTRO 6 ZONA 1</t>
  </si>
  <si>
    <t>CENTRO 6 ZONA 2</t>
  </si>
  <si>
    <t xml:space="preserve">HORA </t>
  </si>
  <si>
    <t>NORTE 5 ZONA 1</t>
  </si>
  <si>
    <t>NORTE 5 ZONA 2</t>
  </si>
  <si>
    <t xml:space="preserve">CENTRO 4 CAMION 1 UNICONOS </t>
  </si>
  <si>
    <t xml:space="preserve">NORTE 1 MALETINES </t>
  </si>
  <si>
    <t>DISTRIBUCIÓN VEHÍCULOS CICLOVÍA DOMINGO</t>
  </si>
  <si>
    <t>NORTE 1 DIVISORES</t>
  </si>
  <si>
    <t xml:space="preserve"> SUR 2 CANECAS 1</t>
  </si>
  <si>
    <t xml:space="preserve"> SUR 2 CANECAS 2</t>
  </si>
  <si>
    <t xml:space="preserve"> SUR 2 CANECAS 3</t>
  </si>
  <si>
    <t xml:space="preserve"> SUR 2 CANECAS 4</t>
  </si>
  <si>
    <t>SUR 1 MALETINES</t>
  </si>
  <si>
    <t>SUR 3 ZONA 1</t>
  </si>
  <si>
    <t>SUR 3 ZONA 2</t>
  </si>
  <si>
    <t>CENTRO DE DESPACHO Y OPERACIONES LOGISTICAS CALLE 3</t>
  </si>
  <si>
    <t xml:space="preserve"> SUR 2 RUTA</t>
  </si>
  <si>
    <t>1 SENCILLO 15H 4OP</t>
  </si>
  <si>
    <t>2 SENCILLO 15H 3OP</t>
  </si>
  <si>
    <t>3 SENCILLO 15H 2OP</t>
  </si>
  <si>
    <t>4 SENCILLO 15H 1OP</t>
  </si>
  <si>
    <t>5 SENCILLO 15H 0OP</t>
  </si>
  <si>
    <t>16 TURBO 15H 4OP</t>
  </si>
  <si>
    <t>17 TURBO 15H 3OP</t>
  </si>
  <si>
    <t>18 TURBO 15H 2OP</t>
  </si>
  <si>
    <t>19 TURBO 15H 1OP</t>
  </si>
  <si>
    <t>20 TURBO 15H 0OP</t>
  </si>
  <si>
    <t>43.</t>
  </si>
  <si>
    <t>44.</t>
  </si>
  <si>
    <t>45.</t>
  </si>
  <si>
    <t>46.</t>
  </si>
  <si>
    <t>4X4-15H</t>
  </si>
  <si>
    <t>4X4-9H</t>
  </si>
  <si>
    <t>MONTACARGA-15H</t>
  </si>
  <si>
    <t>MONTACARGA-1H</t>
  </si>
  <si>
    <t>GRUA-15H-</t>
  </si>
  <si>
    <t>GRUA-1H</t>
  </si>
  <si>
    <t>OPERARIO-8-H</t>
  </si>
  <si>
    <t>OPERARIO-6-H</t>
  </si>
  <si>
    <t>40m³-15H-4OP</t>
  </si>
  <si>
    <t>40m³-15H-3OP</t>
  </si>
  <si>
    <t>40m³-15H-2OP</t>
  </si>
  <si>
    <t>40m³-15H-1OP</t>
  </si>
  <si>
    <t>40m³-15H-0OP</t>
  </si>
  <si>
    <t>40m³-9H-4OP</t>
  </si>
  <si>
    <t>40m³-9H-3OP</t>
  </si>
  <si>
    <t>40m³-9H-2OP</t>
  </si>
  <si>
    <t>40m³-9H-1OP</t>
  </si>
  <si>
    <t>40m³-9H-0OP</t>
  </si>
  <si>
    <t>40m³-4H-4OP</t>
  </si>
  <si>
    <t>40m³-4H-3OP</t>
  </si>
  <si>
    <t>40m³-4H-2OP</t>
  </si>
  <si>
    <t>40m³-4H-1OP</t>
  </si>
  <si>
    <t>40m³-4H-0OP</t>
  </si>
  <si>
    <t>25m³-15H-4OP</t>
  </si>
  <si>
    <t>25m³-15H-3OP</t>
  </si>
  <si>
    <t>25m³-15H-2OP</t>
  </si>
  <si>
    <t>25m³-15H-1OP</t>
  </si>
  <si>
    <t>25m³-15H-0OP</t>
  </si>
  <si>
    <t>25m³-9H-4OP</t>
  </si>
  <si>
    <t>25m³-9H-3OP</t>
  </si>
  <si>
    <t>25m³-9H-2OP</t>
  </si>
  <si>
    <t>25m³-9H-1OP</t>
  </si>
  <si>
    <t>25m³-9H-0OP</t>
  </si>
  <si>
    <t>25m³-4H-4OP</t>
  </si>
  <si>
    <t>25m³-4H-3OP</t>
  </si>
  <si>
    <t>25m³-4H-2OP</t>
  </si>
  <si>
    <t>25m³-4H-1OP</t>
  </si>
  <si>
    <t>25m³-4H-0OP</t>
  </si>
  <si>
    <t>BOGOTA-REGION-40m³-</t>
  </si>
  <si>
    <t>BOGOTA-REGION-25m³-</t>
  </si>
  <si>
    <t>BOGOTA-REGION-FURGON-</t>
  </si>
  <si>
    <t>BOGOTA-REGION-4X4</t>
  </si>
  <si>
    <t>4X4-4H</t>
  </si>
  <si>
    <t>FURGON-15H</t>
  </si>
  <si>
    <t>FURGON-9H</t>
  </si>
  <si>
    <t>FURGON-4H</t>
  </si>
  <si>
    <t/>
  </si>
  <si>
    <t>1.CAMION TIPO40m³-15 HORAS-4 OP</t>
  </si>
  <si>
    <t>2.CAMION TIPO40m³-15 HORAS-3 OP</t>
  </si>
  <si>
    <t>3.CAMION TIPO40m³-15 HORAS-2 OP</t>
  </si>
  <si>
    <t>4.CAMION TIPO40m³-15 HORAS-1 OP</t>
  </si>
  <si>
    <t>5.CAMION TIPO40m³-15 HORAS-0 OP</t>
  </si>
  <si>
    <t>6.CAMION TIPO40m³-09 HORAS-4 OP</t>
  </si>
  <si>
    <t>7.CAMION TIPO40m³-09 HORAS-3 OP</t>
  </si>
  <si>
    <t>8.CAMION TIPO40m³-09 HORAS-2 OP</t>
  </si>
  <si>
    <t>9.CAMION TIPO40m³-09 HORAS-1 OP</t>
  </si>
  <si>
    <t>10.CAMION TIPO40m³-09 HORAS-0 OP</t>
  </si>
  <si>
    <t>11.CAMION TIPO40m³-04 HORAS-4 OP</t>
  </si>
  <si>
    <t>12.CAMION TIPO40m³-04 HORAS-3 OP</t>
  </si>
  <si>
    <t>13.CAMION TIPO40m³-04 HORAS-2 OP</t>
  </si>
  <si>
    <t>14.CAMION TIPO40m³-04 HORAS-1 OP</t>
  </si>
  <si>
    <t>15.CAMION TIPO40m³-04 HORAS-0 OP</t>
  </si>
  <si>
    <t>16.CAMION TIPO25m³-15 HORAS-4 OP</t>
  </si>
  <si>
    <t>17.CAMION TIPO25m³-15 HORAS-3 OP</t>
  </si>
  <si>
    <t>18.CAMION TIPO25m³-15 HORAS-2 OP</t>
  </si>
  <si>
    <t>19.CAMION TIPO25m³-15 HORAS-1 OP</t>
  </si>
  <si>
    <t>20.CAMION TIPO25m³-15 HORAS-0 OP</t>
  </si>
  <si>
    <t>21.CAMION TIPO25m³-09 HORAS-4 OP</t>
  </si>
  <si>
    <t>22.CAMION TIPO25m³-09 HORAS-3 OP</t>
  </si>
  <si>
    <t>23.CAMION TIPO25m³-09 HORAS-2 OP</t>
  </si>
  <si>
    <t>24.CAMION TIPO25m³-09 HORAS-1 OP</t>
  </si>
  <si>
    <t>25.CAMION TIPO25m³-09 HORAS-0 OP</t>
  </si>
  <si>
    <t>26.CAMION TIPO25m³-04 HORAS-4 OP</t>
  </si>
  <si>
    <t>27.CAMION TIPO25m³-04 HORAS-3 OP</t>
  </si>
  <si>
    <t>28.CAMION TIPO25m³-04 HORAS-2 OP</t>
  </si>
  <si>
    <t>29.CAMION TIPO25m³-04 HORAS-1 OP</t>
  </si>
  <si>
    <t>30.CAMION TIPO25m³-04 HORAS-0 OP</t>
  </si>
  <si>
    <t>31.CAMION TIPOFURGON-15 HORAS</t>
  </si>
  <si>
    <t>32.CAMION TIPOFURGON-09 HORAS</t>
  </si>
  <si>
    <t>33.CAMION TIPOFURGON-04 HORAS</t>
  </si>
  <si>
    <t>34.4X4-15 HORAS</t>
  </si>
  <si>
    <t>35.4X4-09 HORAS</t>
  </si>
  <si>
    <t>36.4X4-04 HORAS</t>
  </si>
  <si>
    <t>37.MONTACARGA-15 HORAS</t>
  </si>
  <si>
    <t>38.MONTACARGA-01 HORAS</t>
  </si>
  <si>
    <t>39.GRUA-15 HORAS</t>
  </si>
  <si>
    <t>40.GRUA-01 HORAS</t>
  </si>
  <si>
    <t>41.OPERARIO-08 HORAS</t>
  </si>
  <si>
    <t>42.OPERARIO-06 HORAS</t>
  </si>
  <si>
    <t>43.BOGOTA-REGION-40m³-9 HORAS</t>
  </si>
  <si>
    <t>44.BOGOTA-REGION-25m³-9 HORAS</t>
  </si>
  <si>
    <t>45.BOGOTA-REGION-FURGON-9 HORAS</t>
  </si>
  <si>
    <t>46.BOGOTA-REGION-4X4-9 HORAS</t>
  </si>
  <si>
    <t>2014-2020</t>
  </si>
  <si>
    <t>NORTE 1 MALETINES</t>
  </si>
  <si>
    <t>SUR 2</t>
  </si>
  <si>
    <t xml:space="preserve">SUR 2 CANECAS 1 </t>
  </si>
  <si>
    <t>SUR 2 CANECAS 2</t>
  </si>
  <si>
    <t>SUR 2 CANECAS 3</t>
  </si>
  <si>
    <t>SUR 2 CANECAS 4</t>
  </si>
  <si>
    <t xml:space="preserve">SUR 3 ZONA 1 </t>
  </si>
  <si>
    <t xml:space="preserve">SUR 3 ZONA 2 </t>
  </si>
  <si>
    <t>CICLOVÍA</t>
  </si>
  <si>
    <t>LUDICA CICLOVÍA, ESCUELA DE LA BICI, ADICIONALES 25 M3</t>
  </si>
  <si>
    <t xml:space="preserve">CAMIONETA 4 X4 DOBLE CABINA CON PLATON </t>
  </si>
  <si>
    <t>NA</t>
  </si>
  <si>
    <t>GRAN TOTAL OPERARIOS</t>
  </si>
  <si>
    <t>OTRAS NOVEDADES  PARA LA JORNADA</t>
  </si>
  <si>
    <t xml:space="preserve">12:00 m </t>
  </si>
  <si>
    <t>DISTRIBUCIÓN VEHÍCULOS CICLOVÍA NOCTURNA</t>
  </si>
  <si>
    <t xml:space="preserve">CAMIONENTA TIPO FURGON </t>
  </si>
  <si>
    <t xml:space="preserve">CAMIONETA 4 X 4 DOBLE CABINA </t>
  </si>
  <si>
    <t>CENTRO DE DESPACHO Y OPERACIONES LOGISTICAS CALLE 4</t>
  </si>
  <si>
    <t>CENTRO DE DESPACHO Y OPERACIONES LOGISTICAS CALLE 5</t>
  </si>
  <si>
    <t>CENTRO DE DESPACHO Y OPERACIONES LOGISTICAS CALLE 6</t>
  </si>
  <si>
    <r>
      <rPr>
        <b/>
        <sz val="14"/>
        <color rgb="FFFF0000"/>
        <rFont val="Arial"/>
        <family val="2"/>
      </rPr>
      <t>MOVIMIENTOS:</t>
    </r>
    <r>
      <rPr>
        <sz val="14"/>
        <color rgb="FFFF0000"/>
        <rFont val="Arial"/>
        <family val="2"/>
      </rPr>
      <t xml:space="preserve"> 
</t>
    </r>
    <r>
      <rPr>
        <b/>
        <sz val="14"/>
        <color theme="1"/>
        <rFont val="Arial"/>
        <family val="2"/>
      </rPr>
      <t xml:space="preserve">PARA LA JORNADA DE CICLOVÍA NO SE PROGRAMARON LOS CAMIONES DE C3 ZONA 1, C6 ZONA 1 Y ZONA 2, CENTRO 4, Y CAMIÓN DE CONOS 3, LO ANTERIOR EN RESPUESTA DE LAS SUSPENSIONES QUE TIENE EL PROGRAMA POR LA POSESIÓN PRESIDENCIAL DE ESTE DÍA. 
</t>
    </r>
    <r>
      <rPr>
        <sz val="14"/>
        <color rgb="FFFF0000"/>
        <rFont val="Arial"/>
        <family val="2"/>
      </rPr>
      <t xml:space="preserve">
</t>
    </r>
    <r>
      <rPr>
        <sz val="14"/>
        <rFont val="Arial"/>
        <family val="2"/>
      </rPr>
      <t xml:space="preserve">*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sz val="14"/>
        <color indexed="8"/>
        <rFont val="Arial"/>
        <family val="2"/>
      </rPr>
      <t xml:space="preserve">* PARA EL CAMIÓN DE C3 Y CAMIONES DE CONOS 1 Y 2 SE TIENEN LAS SIGUIENTES OBERVACIONES:
- CAMIÓN DE C3; SE CARGA COMPLETAMENTE SIN EMEBARGO TIENE SU RECORRIDO DESDE LA CARRERA 7 CON CALLE 72 A LA CARRERA 7 CON CALLE 45. 
- CAMIONES DE CONOS; CONOS 1 PERTENECIENTE A C4, TENDRA RECORRIDO DESDE LA CALLE 26 CARRERA 60 HASTA LA CALLE 26 CON CARRERA 96 I. CONOS 2 PERTENECIENTE A C5 TENDRA SU RECRORRIDO DESDE CALLE 26 CON CARRERA 96I HASTA LA CARRERA 60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LUIS MARTÍNEZ.</t>
    </r>
    <r>
      <rPr>
        <sz val="14"/>
        <rFont val="Arial"/>
        <family val="2"/>
      </rPr>
      <t xml:space="preserve">
</t>
    </r>
    <r>
      <rPr>
        <b/>
        <sz val="14"/>
        <color indexed="10"/>
        <rFont val="Arial"/>
        <family val="2"/>
      </rPr>
      <t xml:space="preserve">
CAMIONETA 2: </t>
    </r>
    <r>
      <rPr>
        <sz val="14"/>
        <rFont val="Arial"/>
        <family val="2"/>
      </rPr>
      <t>CAMIONETA DEBE LLEGAR A LAS 4:00 AM AL CALLE 3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CALLE 3 QUEDA DISPONIBLE. ENCARGADO LUIS MARTÍNEZ.
</t>
    </r>
    <r>
      <rPr>
        <sz val="14"/>
        <color indexed="8"/>
        <rFont val="Arial"/>
        <family val="2"/>
      </rPr>
      <t xml:space="preserve">
</t>
    </r>
    <r>
      <rPr>
        <b/>
        <sz val="14"/>
        <color rgb="FFFF0000"/>
        <rFont val="Arial"/>
        <family val="2"/>
      </rPr>
      <t>ESCUELA DE LA BICI:</t>
    </r>
    <r>
      <rPr>
        <sz val="14"/>
        <color indexed="8"/>
        <rFont val="Arial"/>
        <family val="2"/>
      </rPr>
      <t xml:space="preserve">  DEBE LLEGAR 5:00 AM A UDS CARGA ELEMENTOS POSTERIORMENTE SE DIRIGE A PARK WAY Y POSTERIORMENTE A OTRO PUNTO POR CONFIRMAR. 
</t>
    </r>
    <r>
      <rPr>
        <b/>
        <sz val="14"/>
        <color rgb="FFFF0000"/>
        <rFont val="Arial"/>
        <family val="2"/>
      </rPr>
      <t xml:space="preserve">DSIPONIBLES: </t>
    </r>
    <r>
      <rPr>
        <sz val="14"/>
        <color theme="1"/>
        <rFont val="Arial"/>
        <family val="2"/>
      </rPr>
      <t xml:space="preserve">PARA LOS DOS CAMIONES DISPONIBLES DEBEN LLEGAR A LA CALLE 3 A LAS 8 AM. ENCARGADO LUIS MARTÍNEZ </t>
    </r>
    <r>
      <rPr>
        <b/>
        <sz val="14"/>
        <color rgb="FFFF0000"/>
        <rFont val="Arial"/>
        <family val="2"/>
      </rPr>
      <t xml:space="preserve">
</t>
    </r>
    <r>
      <rPr>
        <sz val="14"/>
        <color indexed="8"/>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t>
    </r>
    <r>
      <rPr>
        <sz val="14"/>
        <color indexed="8"/>
        <rFont val="Arial"/>
        <family val="2"/>
      </rPr>
      <t xml:space="preserve">
</t>
    </r>
  </si>
  <si>
    <t>CICLOVIA</t>
  </si>
  <si>
    <t>CICLO SIMULADOR</t>
  </si>
  <si>
    <t>CICLOVÍA - CONTRAFLUJOS</t>
  </si>
  <si>
    <t>CICLOVÍA - CANECAS</t>
  </si>
  <si>
    <t>RUTAS SEGURAS</t>
  </si>
  <si>
    <t xml:space="preserve">CENTRO 6 ZONA 1 </t>
  </si>
  <si>
    <t>OTRAS NOVEDADES  DE JORNADA</t>
  </si>
  <si>
    <t>CICLOVÍA - DISPONIBLE</t>
  </si>
  <si>
    <t>CAMIONETA FURGONADA MOVILIDAD</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</si>
  <si>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6:00 PM Y ESTEN DISPONIBLES HASTA LAS 2:00 AM. ENCARGADO CAMILO MORA.
* LA CAMIONETA FURGONADA DE PENDONES DE CALLE 26 DEBE LLEGAR A LAS  12:00 M A CALLE 3, JUNTO CON LOS DOS OPERARIOS ADICIONALES.
</t>
    </r>
    <r>
      <rPr>
        <sz val="14"/>
        <color indexed="8"/>
        <rFont val="Arial"/>
        <family val="2"/>
      </rPr>
      <t xml:space="preserve">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01:00 M A CALLE 3 QUEDA DISPONIBLE. ENCARGADO LUIS MARTÍNEZ</t>
    </r>
    <r>
      <rPr>
        <sz val="14"/>
        <rFont val="Arial"/>
        <family val="2"/>
      </rPr>
      <t xml:space="preserve">
</t>
    </r>
    <r>
      <rPr>
        <b/>
        <sz val="14"/>
        <color indexed="10"/>
        <rFont val="Arial"/>
        <family val="2"/>
      </rPr>
      <t xml:space="preserve">
CAMIONETA 2: </t>
    </r>
    <r>
      <rPr>
        <sz val="14"/>
        <rFont val="Arial"/>
        <family val="2"/>
      </rPr>
      <t>CAMIONETA DEBE LLEGAR A LAS 12:00 M AL CALLE 3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02:00 AM A IDRD QUEDA DISPONIBLE. ENCARGADO LUIS MARTÍNEZ.
</t>
    </r>
    <r>
      <rPr>
        <b/>
        <sz val="14"/>
        <color rgb="FFFF0000"/>
        <rFont val="Arial"/>
        <family val="2"/>
      </rPr>
      <t xml:space="preserve">
ADICIONALES: </t>
    </r>
    <r>
      <rPr>
        <sz val="14"/>
        <color theme="1"/>
        <rFont val="Arial"/>
        <family val="2"/>
      </rPr>
      <t>LOS TRES CAMIONES ADICIONALES DEBEN LLEGAR A LA CALLE 3 A LAS 12 M CON SUS RESPECTIVOS OPERARIOS; ESPECIFICAMENTE PARA EL CAMIÓN DE 2 OPERARIOS DEBE CARGAR LOS CONTRAFLUJOS DE N1 Y EMPEZAR LA DISTRIBUCIÓN DESDE LA AV BOYACA CON CALLE 170 HASTA LA AV BOYACA CON CALLE 134, EL CAIMIÓN DE CANECAS ADICIONAL DEBE LLEGAR A CALLE 3 Y DESCARGAR EN EN LA AV BOYCA CON SEVILLANA HASTA LA 44 SUR ASÍ MISMO DEBE LLEVAR LAS CASCADAS.  PARA LOS 3 CAMIONES CON DISPONIBILIDAD DE 4 HORAS DEBEN LLEGAR A LA 0::00 AM EN LOS SIGUIENTES PUNTOS, AV BOYACA X CALLE 12 B, AV BOYACA X CALLE 26 Y CARRERA 7 CON CALLE 34.
EL CAMIÓN FURGONADO QUE SE PIDIO DEBE LLEGAR A CALLE 3 12:00 M, Y DIRIGIRSE A PATIO 4 DE SECRETARIA DE MOVILIDAD.</t>
    </r>
    <r>
      <rPr>
        <b/>
        <sz val="14"/>
        <color rgb="FFFF0000"/>
        <rFont val="Arial"/>
        <family val="2"/>
      </rPr>
      <t xml:space="preserve">
</t>
    </r>
    <r>
      <rPr>
        <sz val="14"/>
        <color indexed="8"/>
        <rFont val="Arial"/>
        <family val="2"/>
      </rPr>
      <t xml:space="preserve">
</t>
    </r>
  </si>
  <si>
    <r>
      <rPr>
        <b/>
        <sz val="14"/>
        <color rgb="FFFF0000"/>
        <rFont val="Arial"/>
        <family val="2"/>
      </rPr>
      <t xml:space="preserve">MOVIMIENTOS: </t>
    </r>
    <r>
      <rPr>
        <b/>
        <sz val="14"/>
        <color indexed="53"/>
        <rFont val="Arial"/>
        <family val="2"/>
      </rPr>
      <t xml:space="preserve">
</t>
    </r>
    <r>
      <rPr>
        <sz val="14"/>
        <color theme="1"/>
        <rFont val="Arial"/>
        <family val="2"/>
      </rPr>
      <t xml:space="preserve">
PARA ESTA JORNADA NO OPERA EL CORREDOR DE S2 POR LO TANTO NO SALEN LOS VEHICULOS DE CANECAS NI EL CAMIÓN DE DE S2.  
*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sz val="14"/>
        <color theme="1"/>
        <rFont val="Arial"/>
        <family val="2"/>
      </rPr>
      <t xml:space="preserve">CAMIONETA DEBE LLEGAR A LAS 4:00 AM A CALLE 3 QUEDA DISPONIBLE. ENCARGADO LUIS MARTÍNEZ.
</t>
    </r>
    <r>
      <rPr>
        <b/>
        <sz val="14"/>
        <color indexed="53"/>
        <rFont val="Arial"/>
        <family val="2"/>
      </rPr>
      <t xml:space="preserve">
</t>
    </r>
    <r>
      <rPr>
        <b/>
        <sz val="14"/>
        <color rgb="FFFF0000"/>
        <rFont val="Arial"/>
        <family val="2"/>
      </rPr>
      <t xml:space="preserve">CAMIONETA 2: </t>
    </r>
    <r>
      <rPr>
        <sz val="14"/>
        <color theme="1"/>
        <rFont val="Arial"/>
        <family val="2"/>
      </rPr>
      <t>CAMIONETA DEBE LLEGAR A LAS 4:00 AM AL CALLE 3  QUEDA DISPONIBLE. ENCARGADO CAMILO MORA</t>
    </r>
    <r>
      <rPr>
        <b/>
        <sz val="14"/>
        <color indexed="53"/>
        <rFont val="Arial"/>
        <family val="2"/>
      </rPr>
      <t xml:space="preserve">.
</t>
    </r>
    <r>
      <rPr>
        <b/>
        <sz val="14"/>
        <color rgb="FFFF0000"/>
        <rFont val="Arial"/>
        <family val="2"/>
      </rPr>
      <t>CAMIONETA 3:</t>
    </r>
    <r>
      <rPr>
        <b/>
        <sz val="14"/>
        <color indexed="53"/>
        <rFont val="Arial"/>
        <family val="2"/>
      </rPr>
      <t xml:space="preserve"> </t>
    </r>
    <r>
      <rPr>
        <sz val="14"/>
        <color theme="1"/>
        <rFont val="Arial"/>
        <family val="2"/>
      </rPr>
      <t>CAMIONETA DEBE LLEGAR A LAS 4:00 AM A CALLE 3 QUEDA DISPONIBLE. ENCARGADO LUIS MARTÍNEZ.</t>
    </r>
    <r>
      <rPr>
        <b/>
        <sz val="14"/>
        <color indexed="53"/>
        <rFont val="Arial"/>
        <family val="2"/>
      </rPr>
      <t xml:space="preserve">
</t>
    </r>
    <r>
      <rPr>
        <b/>
        <sz val="14"/>
        <color rgb="FFFF0000"/>
        <rFont val="Arial"/>
        <family val="2"/>
      </rPr>
      <t xml:space="preserve">DSIPONIBLES: </t>
    </r>
    <r>
      <rPr>
        <sz val="14"/>
        <color theme="1"/>
        <rFont val="Arial"/>
        <family val="2"/>
      </rPr>
      <t xml:space="preserve">SE DEBEN DEJAR UN CAMIÓN DISPONIBLE EL CUAL DEBE VOVLER CON SUS OPERARIOS DEBE LLEGAR A LA CALLE 3 A LAS 8 AM. ENCARGADO LUIS MARTÍNEZ. </t>
    </r>
  </si>
  <si>
    <r>
      <rPr>
        <b/>
        <sz val="14"/>
        <color rgb="FFFF0000"/>
        <rFont val="Arial"/>
        <family val="2"/>
      </rPr>
      <t xml:space="preserve">MOVIMIENTOS: </t>
    </r>
    <r>
      <rPr>
        <b/>
        <sz val="14"/>
        <color indexed="53"/>
        <rFont val="Arial"/>
        <family val="2"/>
      </rPr>
      <t xml:space="preserve">
</t>
    </r>
    <r>
      <rPr>
        <sz val="14"/>
        <color theme="1"/>
        <rFont val="Arial"/>
        <family val="2"/>
      </rPr>
      <t xml:space="preserve">PARA LA JORNADA DE CICLOVÍA NO SE PROGRAMARON LOS CAMIONES DE C6 ZONA 1, DE ACUERDO A UNA CARRERA ATLETICA QUE SE TIENE EN EL CIRCUITO DE PARQUE NACIONAL
*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sz val="14"/>
        <color theme="1"/>
        <rFont val="Arial"/>
        <family val="2"/>
      </rPr>
      <t xml:space="preserve">CAMIONETA DEBE LLEGAR A LAS 4:00 AM A CALLE 3 QUEDA DISPONIBLE. ENCARGADO LUIS MARTÍNEZ.
</t>
    </r>
    <r>
      <rPr>
        <b/>
        <sz val="14"/>
        <color indexed="53"/>
        <rFont val="Arial"/>
        <family val="2"/>
      </rPr>
      <t xml:space="preserve">
</t>
    </r>
    <r>
      <rPr>
        <b/>
        <sz val="14"/>
        <color rgb="FFFF0000"/>
        <rFont val="Arial"/>
        <family val="2"/>
      </rPr>
      <t>CAMIONETA 2:</t>
    </r>
    <r>
      <rPr>
        <sz val="14"/>
        <color indexed="53"/>
        <rFont val="Arial"/>
        <family val="2"/>
      </rPr>
      <t xml:space="preserve"> </t>
    </r>
    <r>
      <rPr>
        <sz val="14"/>
        <color theme="1"/>
        <rFont val="Arial"/>
        <family val="2"/>
      </rPr>
      <t>CAMIONETA DEBE LLEGAR A LAS 4:00 AM AL CALLE 3  QUEDA DISPONIBLE. ENCARGADO CAMILO MORA.</t>
    </r>
    <r>
      <rPr>
        <b/>
        <sz val="14"/>
        <color theme="1"/>
        <rFont val="Arial"/>
        <family val="2"/>
      </rPr>
      <t xml:space="preserve">
</t>
    </r>
    <r>
      <rPr>
        <b/>
        <sz val="14"/>
        <color indexed="53"/>
        <rFont val="Arial"/>
        <family val="2"/>
      </rPr>
      <t xml:space="preserve">
</t>
    </r>
    <r>
      <rPr>
        <b/>
        <sz val="14"/>
        <color rgb="FFFF0000"/>
        <rFont val="Arial"/>
        <family val="2"/>
      </rPr>
      <t>CAMIONETA 3:</t>
    </r>
    <r>
      <rPr>
        <b/>
        <sz val="14"/>
        <color indexed="53"/>
        <rFont val="Arial"/>
        <family val="2"/>
      </rPr>
      <t xml:space="preserve"> </t>
    </r>
    <r>
      <rPr>
        <sz val="14"/>
        <color theme="1"/>
        <rFont val="Arial"/>
        <family val="2"/>
      </rPr>
      <t>CAMIONETA DEBE LLEGAR A LAS 4:00 AM A CALLE 3 QUEDA DISPONIBLE. ENCARGADO LUIS MARTÍNEZ.</t>
    </r>
    <r>
      <rPr>
        <b/>
        <sz val="14"/>
        <color indexed="53"/>
        <rFont val="Arial"/>
        <family val="2"/>
      </rPr>
      <t xml:space="preserve">
</t>
    </r>
    <r>
      <rPr>
        <b/>
        <sz val="14"/>
        <color rgb="FFFF0000"/>
        <rFont val="Arial"/>
        <family val="2"/>
      </rPr>
      <t>DSIPONIBLES:</t>
    </r>
    <r>
      <rPr>
        <b/>
        <sz val="14"/>
        <color indexed="53"/>
        <rFont val="Arial"/>
        <family val="2"/>
      </rPr>
      <t xml:space="preserve"> </t>
    </r>
    <r>
      <rPr>
        <sz val="14"/>
        <color theme="1"/>
        <rFont val="Arial"/>
        <family val="2"/>
      </rPr>
      <t xml:space="preserve">SE DEBEN DEJAR UN CAMIÓN DISPONIBLE EL CUAL DEBE VOVLER CON SUS OPERARIOS DEBE LLEGAR A LA CALLE 3 A LAS 8 AM. ENCARGADO LUIS MARTÍNEZ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</si>
  <si>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CAMILO MORA.
* LOS VEHÍCULOS DE ESCUELA,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CAMILO MORA</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CAMILO MORA.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UN CAMIÓN DE 25m2 CON 3 OPERARIOS LOS CUALES DEBEN REGRESAR A LA CALLE 3 A LAS 8:30 AM, ENCARGADA JU</t>
    </r>
    <r>
      <rPr>
        <sz val="14"/>
        <color indexed="8"/>
        <rFont val="Arial"/>
        <family val="2"/>
      </rPr>
      <t xml:space="preserve">LIETH ARROYO. 
</t>
    </r>
  </si>
  <si>
    <t xml:space="preserve">CICLOVÍA </t>
  </si>
  <si>
    <t xml:space="preserve">CICLOPASEO </t>
  </si>
  <si>
    <t xml:space="preserve">CICLOVÍA INTERNACIONAL </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</si>
  <si>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CAMILO MORA.
* LOS VEHÍCULOS DE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CAMILO MORA</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CAMILO MORA.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t>
    </r>
    <r>
      <rPr>
        <b/>
        <sz val="14"/>
        <color rgb="FFFF0000"/>
        <rFont val="Arial"/>
        <family val="2"/>
      </rPr>
      <t xml:space="preserve">ADICIONALES: </t>
    </r>
    <r>
      <rPr>
        <sz val="14"/>
        <color theme="1"/>
        <rFont val="Arial"/>
        <family val="2"/>
      </rPr>
      <t xml:space="preserve">DE ACUERDO A LA REUNIÓN SOSTENIDA EL 24 DE AGOSTO SE SOLICITA UN CAMIÓN DE 25M2  PARA EL CICLOPASEO EL CUAL VA ESTAR POR 9 HORAS DEBE LLEGAR A LAS 7 AM CALLE 3, ASI COMO UN VEHICULO DE 25 M2 POR 4 HORAS DEBE LLEGAR A LAS 4:30 AM A CALLE 3 Y UN CAMÓN DE 25 M2 POR 9 HORAS PARA LA ACTIVIDAD DE CICLOVIA INTENACIONAL EL CUAL DEBE LLEGAR A LAS 6 AM A CALLE 3. </t>
    </r>
    <r>
      <rPr>
        <sz val="14"/>
        <color indexed="8"/>
        <rFont val="Arial"/>
        <family val="2"/>
      </rPr>
      <t xml:space="preserve">
</t>
    </r>
  </si>
  <si>
    <t>CICLOVÍA ENTREGA DE MODULOS</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</si>
  <si>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LOS VEHÍCULOS DE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KEVIN SILVA 3214765973.</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DE ACUERDO A LA REUNIÓN SOSTENIDA EL 30 DE AGOSTO SE SOLICITA UN CAMIÓN DE 25M2  PARA ELENTREGA DE MODULOS EL CUAL VA ESTAR POR 9 HORAS DEBE LLEGAR A LAS 7 AM CALLE 3, ASI COMO UN VEHICULO DE 25 M2 POR 4 HORAS DEBE LLEGAR A LAS 4:30 AM A CALLE 3.</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</si>
  <si>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KEVIN SILVA 3214765973.</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PARA ELENTREGA DE MODULOS EL CUAL VA ESTAR POR 9 HORAS DEBE LLEGAR A LAS 7 AM CALLE 3, ASI COMO UN VEHICULO DE 25 M2 POR 4 HORAS DEBE LLEGAR A LAS 4:30 AM A CALLE 3.
</t>
    </r>
    <r>
      <rPr>
        <b/>
        <sz val="14"/>
        <color rgb="FFFF0000"/>
        <rFont val="Arial"/>
        <family val="2"/>
      </rPr>
      <t>NOVEDADES:</t>
    </r>
    <r>
      <rPr>
        <sz val="14"/>
        <color rgb="FFFF0000"/>
        <rFont val="Arial"/>
        <family val="2"/>
      </rPr>
      <t xml:space="preserve"> </t>
    </r>
    <r>
      <rPr>
        <sz val="14"/>
        <color theme="1"/>
        <rFont val="Arial"/>
        <family val="2"/>
      </rPr>
      <t xml:space="preserve">PARA EL CASO DE LOS CORREDORES DE N5 Y C2 NO SE DEBE DESCARGAR MATERIAL POR LA AFECTACIÓN DE LA CARRERA BIMBO, POR LO CUAL ESTOS VEHICULOS NO DEBEN DESCARGAR MATERIAL ENTRE LA CARRERA 60 ENTRE CALLE 26 Y CALLE 53 Y CALLE 44 ENTRE CARRERA 50 Y CARRERA 60. </t>
    </r>
  </si>
  <si>
    <t xml:space="preserve">NORTE 3 - CONOS </t>
  </si>
  <si>
    <t xml:space="preserve">SUR 2 MALETINES 1 </t>
  </si>
  <si>
    <t>SUR 2 MALETINES 2</t>
  </si>
  <si>
    <t>SUR 2 MALETINES 3</t>
  </si>
  <si>
    <t>SUR 2 DIVISORES</t>
  </si>
  <si>
    <t>WALK BIKE</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</si>
  <si>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4:00 PM Y ESTEN DISPONIBLES HASTA LAS 10:00 PM. ENCARGADO PEDRO LEON 3128073187.
</t>
    </r>
    <r>
      <rPr>
        <b/>
        <sz val="14"/>
        <color rgb="FFFF0000"/>
        <rFont val="Arial"/>
        <family val="2"/>
      </rPr>
      <t>FURGANADA:</t>
    </r>
    <r>
      <rPr>
        <sz val="14"/>
        <rFont val="Arial"/>
        <family val="2"/>
      </rPr>
      <t xml:space="preserve"> * EL VEHÍCULO  TIPO FURGON, ESTA SOLICITADO EN LA PROGRAMACIÓN DE LA MAÑANA POR 15 HORAS POR LO CUAL DEBE ESTAR HASTA ALAS 10 PM. 
* PARA ESTA JORNADA NO HAY VEHICULO DE PENDONES.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6:00 PM A CALLE 3 QUEDA DISPONIBLE. ENCARGADO CAMILO MORA 3212165044</t>
    </r>
    <r>
      <rPr>
        <sz val="14"/>
        <rFont val="Arial"/>
        <family val="2"/>
      </rPr>
      <t xml:space="preserve">
</t>
    </r>
    <r>
      <rPr>
        <b/>
        <sz val="14"/>
        <color indexed="10"/>
        <rFont val="Arial"/>
        <family val="2"/>
      </rPr>
      <t xml:space="preserve">
CAMIONETA 2: </t>
    </r>
    <r>
      <rPr>
        <sz val="14"/>
        <rFont val="Arial"/>
        <family val="2"/>
      </rPr>
      <t>CAMIONETA DEBE LLEGAR A LAS 6:00 PM AL CALLE 3 QUEDA DISPONIBLE. ENCARGADO CAMILO MORA 3212165044.</t>
    </r>
    <r>
      <rPr>
        <sz val="14"/>
        <color rgb="FFFF0000"/>
        <rFont val="Arial"/>
        <family val="2"/>
      </rPr>
      <t xml:space="preserve">
</t>
    </r>
    <r>
      <rPr>
        <sz val="14"/>
        <rFont val="Arial"/>
        <family val="2"/>
      </rPr>
      <t xml:space="preserve">
</t>
    </r>
    <r>
      <rPr>
        <sz val="14"/>
        <color indexed="8"/>
        <rFont val="Arial"/>
        <family val="2"/>
      </rPr>
      <t xml:space="preserve">
</t>
    </r>
    <r>
      <rPr>
        <b/>
        <sz val="14"/>
        <color rgb="FFFF0000"/>
        <rFont val="Arial"/>
        <family val="2"/>
      </rPr>
      <t>ESCUELA DE LA BICI:</t>
    </r>
    <r>
      <rPr>
        <sz val="14"/>
        <color indexed="8"/>
        <rFont val="Arial"/>
        <family val="2"/>
      </rPr>
      <t xml:space="preserve">  ESTE VEHICULO ESTA SOLICTADO POR 9 HORAS EN LA PROGRAMACIÓN DE LA MAÑANA POR LO CUAL SE DEBE TENER EN CUENTA EL HORARIO. 
</t>
    </r>
    <r>
      <rPr>
        <b/>
        <sz val="14"/>
        <color rgb="FFFF0000"/>
        <rFont val="Arial"/>
        <family val="2"/>
      </rPr>
      <t xml:space="preserve">ADICIONALES: </t>
    </r>
    <r>
      <rPr>
        <sz val="14"/>
        <color theme="1"/>
        <rFont val="Arial"/>
        <family val="2"/>
      </rPr>
      <t xml:space="preserve">VEHICULO CICLOVÍA DE 25 M2 POR 4 HORAS DEBE LLEGAR A LAS 4:30 AM A CALLE 3. VEHICULO WALK BIKE DE 25 M2 POR 9 HORAS DEBE LLEGAR A CALLE 3 A LAS 9 AM ENCARGADO DAVID PARRAR CEL 3134941799
</t>
    </r>
    <r>
      <rPr>
        <b/>
        <sz val="14"/>
        <color rgb="FFFF0000"/>
        <rFont val="Arial"/>
        <family val="2"/>
      </rPr>
      <t>NOVEDADES:</t>
    </r>
    <r>
      <rPr>
        <sz val="14"/>
        <color rgb="FFFF0000"/>
        <rFont val="Arial"/>
        <family val="2"/>
      </rPr>
      <t xml:space="preserve"> </t>
    </r>
    <r>
      <rPr>
        <sz val="14"/>
        <color theme="1"/>
        <rFont val="Arial"/>
        <family val="2"/>
      </rPr>
      <t xml:space="preserve">LA RECOLECCIÓN DE ESTA JORNADA SE EMPEZARÁ A REALIZAR A LAS 8 PM POR LO CUAL LOS VEHICULOS DEBENE ESTAR EN LOS PUNTOS DESDE LAS. 6:30 PM PARA LA RESPECTIVA RECOLECCIÓN, TENIENDO EN CUENTA EL ALTO FLUJO VEHICULAR Y LA JORNADA ATIPICA SE SOLICITA A LA EMPRESA CONTEMPLAR ESTE OPERATIVO ESPECIAL PARA NO TENER CONTRATIEMPOS.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</si>
  <si>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A CALLE 3 QUEDA DISPONIBLE. ENCARGADO KEVIN SILVA 3214765973.</t>
    </r>
    <r>
      <rPr>
        <sz val="14"/>
        <color rgb="FFFF0000"/>
        <rFont val="Arial"/>
        <family val="2"/>
      </rPr>
      <t xml:space="preserve">
</t>
    </r>
    <r>
      <rPr>
        <b/>
        <sz val="14"/>
        <color rgb="FFFF0000"/>
        <rFont val="Arial"/>
        <family val="2"/>
      </rPr>
      <t xml:space="preserve">
FURGONADA: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PARA ELENTREGA DE MODULOS EL CUAL VA ESTAR POR 9 HORAS DEBE LLEGAR A LAS 7 AM CALLE 3, ASI COMO UN VEHICULO DE 25 M2 POR 4 HORAS DEBE LLEGAR A LAS 4:30 AM A CALLE 3.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</si>
  <si>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8:00 AM Y ESTEN DISPONIBLES HASTA LAS 5:00 PM. ENCARGADO KEVIN SILVA 3214765973.
</t>
    </r>
    <r>
      <rPr>
        <b/>
        <sz val="14"/>
        <color rgb="FFFF0000"/>
        <rFont val="Arial"/>
        <family val="2"/>
      </rPr>
      <t>FURGONADA:</t>
    </r>
    <r>
      <rPr>
        <sz val="14"/>
        <rFont val="Arial"/>
        <family val="2"/>
      </rPr>
      <t xml:space="preserve"> * EL VEHÍCULO  TIPO FURGON, DEBEN LLEGAR A LAS 10:00 AM A CALLE 3. ENCARGO ADRIANA VALERO CEL 3118382483
* PARA ESTA JORNADA NO HAY VEHICULO DE PENDONES.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CALLE 3 QUEDA DISPONIBLE. ENCARGADO KEVIN SILVA 3214765973.</t>
    </r>
    <r>
      <rPr>
        <sz val="14"/>
        <color rgb="FFFF0000"/>
        <rFont val="Arial"/>
        <family val="2"/>
      </rPr>
      <t xml:space="preserve">
</t>
    </r>
    <r>
      <rPr>
        <b/>
        <sz val="14"/>
        <color rgb="FFFF0000"/>
        <rFont val="Arial"/>
        <family val="2"/>
      </rPr>
      <t xml:space="preserve">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VEHICULO SOLICITADO POR 9 HORAS
</t>
    </r>
    <r>
      <rPr>
        <b/>
        <sz val="14"/>
        <color rgb="FFFF0000"/>
        <rFont val="Arial"/>
        <family val="2"/>
      </rPr>
      <t xml:space="preserve">ADICIONALES: </t>
    </r>
    <r>
      <rPr>
        <sz val="14"/>
        <color theme="1"/>
        <rFont val="Arial"/>
        <family val="2"/>
      </rPr>
      <t xml:space="preserve">VEHICULO CICLOVÍA DE 25 M2 POR 4 HORAS DEBE LLEGAR A LAS 4:30 AM A CALLE 3. VEHICULO WALK BIKE DE 25 M2 POR 9 HORAS DEBE LLEGAR A CALLE 3 A LAS 9 AM ENCARGADO DAVID PARRA CEL 3134941799
</t>
    </r>
    <r>
      <rPr>
        <b/>
        <sz val="14"/>
        <color rgb="FFFF0000"/>
        <rFont val="Arial"/>
        <family val="2"/>
      </rPr>
      <t>NOVEDADES:</t>
    </r>
    <r>
      <rPr>
        <sz val="14"/>
        <color rgb="FFFF0000"/>
        <rFont val="Arial"/>
        <family val="2"/>
      </rPr>
      <t xml:space="preserve"> </t>
    </r>
    <r>
      <rPr>
        <sz val="14"/>
        <color theme="1"/>
        <rFont val="Arial"/>
        <family val="2"/>
      </rPr>
      <t xml:space="preserve">PARA ESTA JORNADA ESPECIAL LA OPERACIÓN DE CICLOVÍA DEBE INICIAR A LAS. 3 AM ENTENDIENDO QUE A LAS 6 AM SE DEBE TENER MONTADO TODO EL OPERATIVO DEL PROGRAMA, POR FAVOR TENER MUY EN CUENTA ESTA NOVEDAD. FINALMENTE EL SERVICIO ESTA DIVIDIDO EN JORNADA MAÑANA Y TARDE POR LO CUAL VERIFICAR MUY BIEN LOS SERVICIOS ADICIONALES CON SUS HORAS RESPECTIVAS. </t>
    </r>
  </si>
  <si>
    <r>
      <rPr>
        <b/>
        <sz val="14"/>
        <color rgb="FFFF0000"/>
        <rFont val="Arial"/>
        <family val="2"/>
      </rPr>
      <t>MOVIMIENTOS:</t>
    </r>
    <r>
      <rPr>
        <sz val="14"/>
        <color rgb="FFFF0000"/>
        <rFont val="Arial"/>
        <family val="2"/>
      </rPr>
      <t xml:space="preserve"> 
</t>
    </r>
    <r>
      <rPr>
        <sz val="14"/>
        <rFont val="Arial"/>
        <family val="2"/>
      </rPr>
      <t xml:space="preserve">* SE REQUIERE QUE LOS DOS OPERARI@S PARA APOYO DE CICLOVÍA LLEGUEN A CALLE 3 A LAS 08:00 AM Y ESTEN DISPONIBLES HASTA LAS 15 HORAS.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A CALLE 3 QUEDA DISPONIBLE. ENCARGADO KEVIN SILVA 3214765973.</t>
    </r>
    <r>
      <rPr>
        <sz val="14"/>
        <color rgb="FFFF0000"/>
        <rFont val="Arial"/>
        <family val="2"/>
      </rPr>
      <t xml:space="preserve">
</t>
    </r>
    <r>
      <rPr>
        <b/>
        <sz val="14"/>
        <color rgb="FFFF0000"/>
        <rFont val="Arial"/>
        <family val="2"/>
      </rPr>
      <t xml:space="preserve">
FURGONADA: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EL CUAL  DEBE LLEGAR A LAS 4:30 AM A CALLE 3.
</t>
    </r>
  </si>
  <si>
    <t>CICLOVÍA INTERNACIONAL</t>
  </si>
  <si>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LLEGUEN A CALLE 3 A LAS 08:00 AM Y ESTEN DISPONIBLES HASTA LAS 08 HORAS. ENCARGADO CAMILO MORA  3214765973.
* LA CAMIONETA FURGONADA DE PENDONES DE CALLE 26 DEBE LLEGAR A LAS  4:00 AM A LA CALLE 3,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JULIETH ARROYO 3214765973.</t>
    </r>
    <r>
      <rPr>
        <b/>
        <sz val="14"/>
        <color indexed="53"/>
        <rFont val="Arial"/>
        <family val="2"/>
      </rPr>
      <t xml:space="preserve">
</t>
    </r>
    <r>
      <rPr>
        <b/>
        <sz val="14"/>
        <color rgb="FFFF0000"/>
        <rFont val="Arial"/>
        <family val="2"/>
      </rPr>
      <t xml:space="preserve">
CAMIONETA 2:</t>
    </r>
    <r>
      <rPr>
        <b/>
        <sz val="14"/>
        <color indexed="53"/>
        <rFont val="Arial"/>
        <family val="2"/>
      </rPr>
      <t xml:space="preserve"> </t>
    </r>
    <r>
      <rPr>
        <b/>
        <sz val="14"/>
        <color theme="1"/>
        <rFont val="Arial"/>
        <family val="2"/>
      </rPr>
      <t xml:space="preserve">CAMIONETA DEBE LLEGAR A LAS 4:00 AM AL A CALLE 3 QUEDA DISPONIBLE. ENCARGADO JULIETH ARROYO 3214765973.
</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JULIETH ARROYO 3214765973.</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 xml:space="preserve">EL VEHÍCULO DE ESCUELA. SE ACALARA QUE DEBEN COMUNICARSE CON EL TALENTO HUMANO DE EL PROGRAMA DE ESCUELA DE LA BICICLETA SERGIO PRIETO CEL 3167160204 O JHONATHAN VALBUENA CEL 3175023577, LO ANTERIOR PARA COORDINAR LOS PUNTOS Y LOS DESPLAZAMIENTOS.
</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 xml:space="preserve">OPERATIVO ESPECIAL MMB: </t>
    </r>
    <r>
      <rPr>
        <b/>
        <sz val="14"/>
        <color theme="1"/>
        <rFont val="Arial"/>
        <family val="2"/>
      </rPr>
      <t xml:space="preserve">DE ACUERDO A LA REUNIÓN SOSTENIDA EL MIERCOLES 28 DE SEPTIEMBRE CON LA EMPRESA DE TRANSPORTE DE CARGA, SE SOLICITA TENER EN CUENTA LOS CAMIONES RESALTADOS EN AMRILLO DE ACUERDO A LO SIGUIENTE: </t>
    </r>
    <r>
      <rPr>
        <b/>
        <sz val="14"/>
        <color indexed="53"/>
        <rFont val="Arial"/>
        <family val="2"/>
      </rPr>
      <t xml:space="preserve">
</t>
    </r>
    <r>
      <rPr>
        <b/>
        <sz val="14"/>
        <color theme="1"/>
        <rFont val="Arial"/>
        <family val="2"/>
      </rPr>
      <t xml:space="preserve">NORTE 3: REALIZA SU DISTRIBUCIÓN NORMAL DEBE CARGAR ADICIONALMENTE 4 VALLAS TIPO 3, LAS CUALES SE DEBEN DISTRIBUIR EN LA CARRERA 7 CON CALLE 72 Y CARRERA 15 CON CALLE 92. LAS CUALES SE DEBEN DISTRIBUIR EN LA CARRERA 7 CON CALLE 72 Y CARRERA 15 CON CALLE 92. DOS VALLAS EN CADA PUNTO.
NORTE 5 Z1: DEBE CARGAR COMÚN Y CORRIENTE Y DEBE DESPLAZARSE CERCANO A LA CARRERA 15 CON CALLE 72, DE ESTA MANERA ESPERAR INSTRUCCIONES PARA REALIZAR LA DISTRIBUCIÓN DE MATERIAL, RECORDAR QUE EL SERVICIO ESTA POR 15 HORAS. 
NORTE 5 Z2:  DEBE CARGAR COMÚN Y CORRIENTE Y DEBE DESPLAZARSE CERCANO A LA CARRERA 60 CON CALLE 53, DE ESTA MANERA ESPERAR INSTRUCCIONES PARA REALIZAR LA DISTRIBUCIÓN DE MATERIAL, RECORDAR QUE EL SERVICIO ESTA POR 15 HORAS.
CENTRO 3 Z1: DEBE CARGAR DOS VALLAS TIPO 3 DE CICLOVÍA SUSPENDIDA POR EVENTO; Y DESCARGARLAS EN LA CARRERA 7 CON CALLE 26.
CENTRO 3 Z2: DEBE CARGAR COMÚN Y CORRIENTE Y DEBE DESPLAZARSE CERCANO A LA CALLE 26 CON CARRERA SEPTIMA, DE ESTA MANERA ESPERAR INSTRUCCIONES PARA REALIZAR LA DISTRIBUCIÓN DE MATERIAL, RECORDAR QUE EL SERVICIO ESTA POR 15 HORAS. 
</t>
    </r>
    <r>
      <rPr>
        <b/>
        <sz val="14"/>
        <color indexed="53"/>
        <rFont val="Arial"/>
        <family val="2"/>
      </rPr>
      <t xml:space="preserve">
</t>
    </r>
    <r>
      <rPr>
        <b/>
        <sz val="14"/>
        <color theme="1"/>
        <rFont val="Arial"/>
        <family val="2"/>
      </rPr>
      <t xml:space="preserve">CENTRO 2: DESCARGA COMÚN Y CORRIENTE, NO DESCARGA LA PARTE DE LA CALLE 44 ENTRE CARRERA 50 Y CARRERA 60, DEBE ESPERAR EN EL ICBF CERCANO A LA 50, 
CENTRO 4: DEBE DESCARGAR UNA VALLA TIPO 3 EN LA CALLE 26 CON AV AMERICAS. 
CENTRO 5: DEBE DESCARGAR UNA VALLA TIPO 3 EN LA CALLE 26 CON CARRERA 60.
CENTRO 6 Z1: DEBE CARGAR COMÚN Y CORRIENTE Y ESPERAR INSTRUCCIONES EN CALLE 3 PARA REALIZAR LA DISTRIBUCIÓN DE MATERIAL, RECORDAR QUE EL SERVICIO ESTA POR 15 HORAS. 
CENTRO 6 Z2: DEBE CARGAR COMÚN Y CORRIENTE Y ESPERAR INSTRUCCIONES EN CALLE 3 PARA REALIZAR LA DISTRIBUCIÓN DE MATERIAL, RECORDAR QUE EL SERVICIO ESTA POR 15 HORAS. 
</t>
    </r>
    <r>
      <rPr>
        <b/>
        <sz val="14"/>
        <color indexed="53"/>
        <rFont val="Arial"/>
        <family val="2"/>
      </rPr>
      <t xml:space="preserve">
</t>
    </r>
  </si>
  <si>
    <r>
      <rPr>
        <b/>
        <sz val="14"/>
        <color rgb="FFFF0000"/>
        <rFont val="Arial"/>
        <family val="2"/>
      </rPr>
      <t xml:space="preserve">MOVIMIENTOS: </t>
    </r>
    <r>
      <rPr>
        <b/>
        <sz val="14"/>
        <color indexed="53"/>
        <rFont val="Arial"/>
        <family val="2"/>
      </rPr>
      <t xml:space="preserve">
</t>
    </r>
    <r>
      <rPr>
        <b/>
        <sz val="14"/>
        <color theme="1"/>
        <rFont val="Arial"/>
        <family val="2"/>
      </rPr>
      <t>* SE REQUIERE QUE LOS DOS OPERARI@S PARA APOYO DE CICLOVÍA LLEGUEN A CALLE 3 A LAS 08:00 AM Y ESTEN DISPONIBLES HASTA LAS 08 HORAS. ENCARGADO LUIS MARTÍNEZ  3124158470.
* LA CAMIONETA FURGONADA DE PENDONES DE CALLE 26 DEBE LLEGAR A LAS  4:00 AM A LA CALLE 3, JUNTO CON LOS DOS OPERARIOS ADICIONALES.</t>
    </r>
    <r>
      <rPr>
        <b/>
        <sz val="14"/>
        <color indexed="53"/>
        <rFont val="Arial"/>
        <family val="2"/>
      </rPr>
      <t xml:space="preserve">
*</t>
    </r>
    <r>
      <rPr>
        <b/>
        <sz val="14"/>
        <color theme="1"/>
        <rFont val="Arial"/>
        <family val="2"/>
      </rPr>
      <t>SE REQUIERE PARA ESTA OCASIÓN UNA CAMIONETA 4X4 PARA UN ACTIVIDAD DE SALUD MENTAL EN EL PARQUE SAN ANDRES, DEBE LLEGAR A LAS 7 AM A CALLE 3.</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JULIETH ARROYO 3214765973.</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AL A CALLE 3 QUEDA DISPONIBLE. ENCARGADO JULIETH ARROYO 3214765973.</t>
    </r>
    <r>
      <rPr>
        <b/>
        <sz val="14"/>
        <color indexed="53"/>
        <rFont val="Arial"/>
        <family val="2"/>
      </rPr>
      <t xml:space="preserve">
</t>
    </r>
    <r>
      <rPr>
        <b/>
        <sz val="14"/>
        <color rgb="FFFF0000"/>
        <rFont val="Arial"/>
        <family val="2"/>
      </rPr>
      <t>FURGONADA:</t>
    </r>
    <r>
      <rPr>
        <b/>
        <sz val="14"/>
        <color theme="1"/>
        <rFont val="Arial"/>
        <family val="2"/>
      </rPr>
      <t xml:space="preserve"> CAMIONETA DEBE LLEGAR A LAS 5:30 AM A CALLE 3 QUEDA DISPONIBLE. ENCARGADO JULIETH ARROYO 3214765973..</t>
    </r>
    <r>
      <rPr>
        <b/>
        <sz val="14"/>
        <color indexed="53"/>
        <rFont val="Arial"/>
        <family val="2"/>
      </rPr>
      <t xml:space="preserve">
</t>
    </r>
    <r>
      <rPr>
        <b/>
        <sz val="14"/>
        <color rgb="FFFF0000"/>
        <rFont val="Arial"/>
        <family val="2"/>
      </rPr>
      <t xml:space="preserve">ESCUELA DE LA BICI: </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 xml:space="preserve">
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OPERATIVO ESPECIAL CAMINATA DE LA SOLIDARIDAD:</t>
    </r>
    <r>
      <rPr>
        <b/>
        <sz val="14"/>
        <color theme="1"/>
        <rFont val="Arial"/>
        <family val="2"/>
      </rPr>
      <t xml:space="preserve"> DE ACUERDO A LA REUNIÓN SOSTENIDA EL MIERCOLES 05 DE OCTUBRE CON LA EMPRESA DE TRANSPORTE DE CARGA, SE SOLICITA TENER EN CUENTA LOS CAMIONES RESALTADOS EN AMRILLO DE ACUERDO A LO SIGUIENTE: </t>
    </r>
    <r>
      <rPr>
        <b/>
        <sz val="14"/>
        <color indexed="53"/>
        <rFont val="Arial"/>
        <family val="2"/>
      </rPr>
      <t xml:space="preserve">
</t>
    </r>
    <r>
      <rPr>
        <b/>
        <sz val="14"/>
        <color theme="1"/>
        <rFont val="Arial"/>
        <family val="2"/>
      </rPr>
      <t>C3Z2: REALIZA SU DISTRIBUCIÓN NORMAL DEBE CARGAR ADICIONALMENTE 4 VALLAS TIPO 3, LAS CUALES SE DEBEN DISTRIBUIR EN LA CARRERA 7 CON CALLE 32 Y CARRERA 7 CON CALLE 45. LAS CUALES SE DEBEN DISTRIBUIR EN LA CARRERA 7 CON CALLE 32 Y CARRERA 7 CON CALLE 45. DOS VALLAS EN CADA PUNTO.</t>
    </r>
    <r>
      <rPr>
        <b/>
        <sz val="14"/>
        <color indexed="53"/>
        <rFont val="Arial"/>
        <family val="2"/>
      </rPr>
      <t xml:space="preserve">
</t>
    </r>
    <r>
      <rPr>
        <b/>
        <sz val="14"/>
        <color theme="1"/>
        <rFont val="Arial"/>
        <family val="2"/>
      </rPr>
      <t xml:space="preserve">C3Z1: DEBE CARGAR COMÚN Y CORRIENTE Y DEBE DESPLAZARSE CERCANO A LA CARRERA 7 CON CALLE 39, DE ESTA MANERA ESPERAR INSTRUCCIONES PARA REALIZAR LA DISTRIBUCIÓN DE MATERIAL, RECORDAR QUE EL SERVICIO ESTA POR 15 HORAS. </t>
    </r>
    <r>
      <rPr>
        <b/>
        <sz val="14"/>
        <color indexed="53"/>
        <rFont val="Arial"/>
        <family val="2"/>
      </rPr>
      <t xml:space="preserve">
</t>
    </r>
    <r>
      <rPr>
        <b/>
        <sz val="14"/>
        <color theme="1"/>
        <rFont val="Arial"/>
        <family val="2"/>
      </rPr>
      <t xml:space="preserve">CENTRO 6 Z1: DEBE CARGAR COMÚN Y CORRIENTE Y ESPERAR INSTRUCCIONES EN CALLE 3 PARA REALIZAR LA DISTRIBUCIÓN DE MATERIAL, RECORDAR QUE EL SERVICIO ESTA POR 15 HORAS. 
CENTRO 6 Z2: DEBE DESCARGAR MATERIAL A PARTIR DE LA DIAGONAL 40 CON CARRERA 13, NO SE DESCARGA ENTRE LA DIAGONAL 40 ENTRE LA CARRERA 7 Y CARRERA 13.  </t>
    </r>
    <r>
      <rPr>
        <b/>
        <sz val="14"/>
        <color indexed="53"/>
        <rFont val="Arial"/>
        <family val="2"/>
      </rPr>
      <t xml:space="preserve">
</t>
    </r>
  </si>
  <si>
    <t>CICLOPASEO SOFA</t>
  </si>
  <si>
    <t xml:space="preserve">FURGONADA SS </t>
  </si>
  <si>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SE REQUIERE QUE LOS DOS OPERARI@S PARA APOYO DE CICLOVÍA LLEGUEN A CALLE 3 A LAS 010:00 AM Y ESTEN DISPONIBLES HASTA LAS 08 HORAS. ENCARGADO DAVID PARRA 3134941799.
* LA CAMIONETA FURGONADA DE PENDONES DE CALLE 26 DEBE LLEGAR A LAS  4:00 AM A LA CALLE 3, JUNTO CON LOS DOS OPERARIOS ADICIONALES.</t>
    </r>
    <r>
      <rPr>
        <b/>
        <sz val="14"/>
        <color indexed="53"/>
        <rFont val="Arial"/>
        <family val="2"/>
      </rPr>
      <t xml:space="preserve">
</t>
    </r>
    <r>
      <rPr>
        <b/>
        <sz val="14"/>
        <color rgb="FFFF0000"/>
        <rFont val="Arial"/>
        <family val="2"/>
      </rPr>
      <t>CAMIONETA 1:</t>
    </r>
    <r>
      <rPr>
        <b/>
        <sz val="14"/>
        <color theme="1"/>
        <rFont val="Arial"/>
        <family val="2"/>
      </rPr>
      <t xml:space="preserve"> CAMIONETA DEBE LLEGAR A LAS 4:00 AM A CALLE 3  QUEDA DISPONIBLE. ENCARGADO CAMILO MORA 3212165044</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 CALLE 3  QUEDA DISPONIBLE. ENCARGADO CAMILO MORA 3212165044</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CAMILO MORA 3212165044</t>
    </r>
    <r>
      <rPr>
        <b/>
        <sz val="14"/>
        <color indexed="53"/>
        <rFont val="Arial"/>
        <family val="2"/>
      </rPr>
      <t xml:space="preserve">
</t>
    </r>
    <r>
      <rPr>
        <b/>
        <sz val="14"/>
        <color rgb="FFFF0000"/>
        <rFont val="Arial"/>
        <family val="2"/>
      </rPr>
      <t xml:space="preserve">
ESCUELA DE LA BICI: </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 xml:space="preserve">
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FURGONADA SS:</t>
    </r>
    <r>
      <rPr>
        <b/>
        <sz val="14"/>
        <color theme="1"/>
        <rFont val="Arial"/>
        <family val="2"/>
      </rPr>
      <t xml:space="preserve"> DEBE LLEGAR A CALLE 3 A LAS 6:00 AM CON SU OPERARIO ADICIONAL REALIZAR EL CARGUE DE LOS SIGUIENTE ELEMENTOS</t>
    </r>
    <r>
      <rPr>
        <b/>
        <sz val="14"/>
        <color indexed="53"/>
        <rFont val="Arial"/>
        <family val="2"/>
      </rPr>
      <t xml:space="preserve">
</t>
    </r>
    <r>
      <rPr>
        <b/>
        <sz val="14"/>
        <color theme="1"/>
        <rFont val="Arial"/>
        <family val="2"/>
      </rPr>
      <t xml:space="preserve">6 BARRERAS EXPANDIBLES
2 CONOS NARANJAS O VERDES BASE NEGRA
2 VALLAS CERRAMIENTO
1 VALLA TIPO 2
2 DIVISORES DE CARRIL
1 CONTRAFLUJO
ENCARGADO A DAVID PARRA. 
</t>
    </r>
    <r>
      <rPr>
        <b/>
        <sz val="14"/>
        <color indexed="53"/>
        <rFont val="Arial"/>
        <family val="2"/>
      </rPr>
      <t xml:space="preserve">
</t>
    </r>
  </si>
  <si>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 A CALLE 3 A LAS 10:00 AM Y A LAS 3:00 PM Y ESTEN DISPONIBLES HASTA LAS 08 HORAS. ENCARGADO CAMILO MORA  3212165044
* LA CAMIONETA FURGONADA DE PENDONES DE CALLE 26 DEBE LLEGAR A LAS  4:00 AM A LA CALLE 3,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CAMILO MORA  3212165044.</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AL A CALLE 3 QUEDA DISPONIBLE. ENCARGADO CAMILO MORA  3212165044</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DAVID PARRA 3134941799.</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 xml:space="preserve">OPERATIVO ESPECIAL: </t>
    </r>
    <r>
      <rPr>
        <b/>
        <sz val="14"/>
        <color indexed="53"/>
        <rFont val="Arial"/>
        <family val="2"/>
      </rPr>
      <t xml:space="preserve">
</t>
    </r>
    <r>
      <rPr>
        <b/>
        <sz val="14"/>
        <color theme="1"/>
        <rFont val="Arial"/>
        <family val="2"/>
      </rPr>
      <t xml:space="preserve">CICLOPASEO SOFA,  LOS VEHICULOS DEBEN LLEGAR A LAS 6:30 AM A CALLE 3 ENTREVISTARSE CON CAMILO MORA 3212165044, SE SOLICITAN DOS VEHICULOS POR LO IMPORTANTE DEL CICLOPASEO, POR FAVOR VERIFICAR LA PUNTUALIDAD Y LA OPERATIVIDAD DE LOS OPERARIOS. </t>
    </r>
  </si>
  <si>
    <t>ENTREGA DE MODULOS</t>
  </si>
  <si>
    <r>
      <t xml:space="preserve">
</t>
    </r>
    <r>
      <rPr>
        <b/>
        <sz val="14"/>
        <color rgb="FFFF0000"/>
        <rFont val="Arial"/>
        <family val="2"/>
      </rPr>
      <t xml:space="preserve">
MOVIMIENTOS: </t>
    </r>
    <r>
      <rPr>
        <b/>
        <sz val="14"/>
        <color theme="1"/>
        <rFont val="Arial"/>
        <family val="2"/>
      </rPr>
      <t xml:space="preserve">
* SE REQUIERE QUE LOS DOS OPERARI@S PARA APOYO DE CICLOVÍA LLEGUEN A CALLE 3 A LAS 010:00 AM Y ESTEN DISPONIBLES HASTA LAS 08 HORAS. ENCARGADO CAMILO MORA 3212165044.
* LA CAMIONETA FURGONADA DE PENDONES DE CALLE 26 DEBE LLEGAR A LAS  4:00 AM A LA CALLE 3, JUNTO CON LOS DOS OPERARIOS ADICIONALES.
</t>
    </r>
    <r>
      <rPr>
        <b/>
        <sz val="14"/>
        <color rgb="FFFF0000"/>
        <rFont val="Arial"/>
        <family val="2"/>
      </rPr>
      <t xml:space="preserve">CAMIONETA 1: </t>
    </r>
    <r>
      <rPr>
        <b/>
        <sz val="14"/>
        <color theme="1"/>
        <rFont val="Arial"/>
        <family val="2"/>
      </rPr>
      <t xml:space="preserve">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 CALLE 3  QUEDA DISPONIBLE. ENCARGADO LUIS MARTINEZ 3124158470
</t>
    </r>
    <r>
      <rPr>
        <b/>
        <sz val="14"/>
        <color rgb="FFFF0000"/>
        <rFont val="Arial"/>
        <family val="2"/>
      </rPr>
      <t xml:space="preserve">FURGONADA: </t>
    </r>
    <r>
      <rPr>
        <b/>
        <sz val="14"/>
        <color theme="1"/>
        <rFont val="Arial"/>
        <family val="2"/>
      </rPr>
      <t xml:space="preserve">CAMIONETA DEBE LLEGAR A LAS 5:30 AM A CALLE 3 QUEDA DISPONIBLE. ENCARGADO CAMILO MORA 3212165044
</t>
    </r>
    <r>
      <rPr>
        <b/>
        <sz val="14"/>
        <color rgb="FFFF0000"/>
        <rFont val="Arial"/>
        <family val="2"/>
      </rPr>
      <t>ESCUELA DE LA BICI:</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ENCARGADA JULIETH ARROYO. 3012802342
</t>
    </r>
    <r>
      <rPr>
        <b/>
        <sz val="14"/>
        <color rgb="FFFF0000"/>
        <rFont val="Arial"/>
        <family val="2"/>
      </rPr>
      <t xml:space="preserve">
CAMIÓN ENTREGA DE MODULOS:</t>
    </r>
    <r>
      <rPr>
        <b/>
        <sz val="14"/>
        <color theme="1"/>
        <rFont val="Arial"/>
        <family val="2"/>
      </rPr>
      <t xml:space="preserve"> PARA EL VEHICULO DE MODULOS DE 25 M2, ESTE DEBE LLEGAR A LAS 7 AM A LA CALLE 3, ENCARGADO CAMILO MORA 3212165044.</t>
    </r>
    <r>
      <rPr>
        <b/>
        <sz val="14"/>
        <color indexed="53"/>
        <rFont val="Arial"/>
        <family val="2"/>
      </rPr>
      <t xml:space="preserve">
</t>
    </r>
  </si>
  <si>
    <t>CARRERA ALIANZ</t>
  </si>
  <si>
    <r>
      <t xml:space="preserve">
</t>
    </r>
    <r>
      <rPr>
        <b/>
        <sz val="14"/>
        <color rgb="FFFF0000"/>
        <rFont val="Arial"/>
        <family val="2"/>
      </rPr>
      <t xml:space="preserve">
MOVIMIENTOS: 
</t>
    </r>
    <r>
      <rPr>
        <b/>
        <sz val="14"/>
        <color theme="1"/>
        <rFont val="Arial"/>
        <family val="2"/>
      </rPr>
      <t xml:space="preserve">
* SE REQUIERE QUE LOS DOS OPERARI@S PARA APOYO DE CICLOVÍA LLEGUEN A CALLE 3 A LAS 010:00 AM Y ESTEN DISPONIBLES HASTA LAS 08 HORAS. ENCARGADO CAMILO MORA 3212165044.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 CALLE 3  QUEDA DISPONIBLE. ENCARGADO LUIS MARTINEZ 3124158470
</t>
    </r>
    <r>
      <rPr>
        <b/>
        <sz val="14"/>
        <color rgb="FFFF0000"/>
        <rFont val="Arial"/>
        <family val="2"/>
      </rPr>
      <t>FURGONADA:</t>
    </r>
    <r>
      <rPr>
        <b/>
        <sz val="14"/>
        <color theme="1"/>
        <rFont val="Arial"/>
        <family val="2"/>
      </rPr>
      <t xml:space="preserve"> CAMIONETA DEBE LLEGAR A LAS 5:30 AM A CALLE 3 QUEDA DISPONIBLE. ENCARGADO CAMILO MORA 3212165044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DISPONIBLES: </t>
    </r>
    <r>
      <rPr>
        <b/>
        <sz val="14"/>
        <color theme="1"/>
        <rFont val="Arial"/>
        <family val="2"/>
      </rPr>
      <t xml:space="preserve">SE DEBE DEJAR DOS CAMIONES DE 25m2 CON 3 OPERARIOS LOS CUALES DEBEN REGRESAR A LA CALLE 3 A LAS 8:30 AM, ENCARGADA JULIETH ARROYO. 3012802342
</t>
    </r>
    <r>
      <rPr>
        <b/>
        <sz val="14"/>
        <color rgb="FFFF0000"/>
        <rFont val="Arial"/>
        <family val="2"/>
      </rPr>
      <t xml:space="preserve">CAMIÓN CICLOVÍA INTERNACIONAL: </t>
    </r>
    <r>
      <rPr>
        <b/>
        <sz val="14"/>
        <color theme="1"/>
        <rFont val="Arial"/>
        <family val="2"/>
      </rPr>
      <t xml:space="preserve">ESTE CAMIÓN DEBE LLEGAR A CALLE 3, A LAS 7:30 HRS, Y REALIZAR EL MOVIMIENTO EN EL AEROPUERTO ESTAR MUY ATENTO PARA REALIZAR LA RECOLECCIÓN SOBRE LAS 2:00 PM.
</t>
    </r>
    <r>
      <rPr>
        <b/>
        <sz val="14"/>
        <color rgb="FFFF0000"/>
        <rFont val="Arial"/>
        <family val="2"/>
      </rPr>
      <t>CAMIÓN CARRERA ALIANZ:</t>
    </r>
    <r>
      <rPr>
        <b/>
        <sz val="14"/>
        <color theme="1"/>
        <rFont val="Arial"/>
        <family val="2"/>
      </rPr>
      <t xml:space="preserve">  DEBE DISTRIBUIR 2 VALLAS DE CICLOVÍA SUSPENDIDA POR EVENTO EN LA CARRERA 9 CON CALLE 136 Y UNA VALLA EN LA CALLE 116 CON CARRERA 9, DESPUES DIRIGIRES AL PRD A RECOGER 30 VALLAS DE CERRAMIENTO SOBRE EL MEDIO DÍA.   
</t>
    </r>
    <r>
      <rPr>
        <b/>
        <sz val="14"/>
        <color rgb="FFFF0000"/>
        <rFont val="Arial"/>
        <family val="2"/>
      </rPr>
      <t>OPERATIVO CARRERA ALIANZ 15K</t>
    </r>
    <r>
      <rPr>
        <b/>
        <sz val="14"/>
        <color theme="1"/>
        <rFont val="Arial"/>
        <family val="2"/>
      </rPr>
      <t xml:space="preserve">: ESTA CARRERA TENDRA AFECTACIÓN EN LOS CORREDORES DE NORTE 2, NORTE 4, NORTE 5, CENTRO 4, Y CENTRO 2  SE DEBE ESTAR ATENTOS A LA DISTRIBUCIÓN DE LA SIGUIENTE FORMA;
NORTE 2: CAMIÓN DISTRIBUYE NORMALMENTE, SI SE PRESENTAN INCONVENIENTES POR FAVOR INFORMAR O CONTRATIEMPO.
NORTE 4: CAMIÓN DISTRIBUYE NORMALMENTE, SI SE PRESENTAN INCONVENIENTES POR FAVOR INFORMAR O CONTRATIEMPO.
NORTE 5Z2: CAMIÓN DISTRIBUYE NORMALMENTE, DEBE DEJAR VALLAS DE CICLOVÍA SUSPENDIDA POR EVENTO EN LA CARRERA 60 CON CALLE 53 Y DEJAR LAS VALLAS DE CERRAMIENTO EN EL ANDEN EN LOS PUNTOS DE LA CARREA 60 CON CALLE 26 Y CALLE 53. 
CENTRO 2: DSITRIBUYE NORMALMENTE A EXCEPECIÓN DE LA CALLE 44 ENTRE CARREA 50 Y CARRERA 60, POR LO CUAL EL VEHICULO DEBE QUEDARSE CERCANO AL PUNTO PARA HABILITAR ESTE TRAMO PARA CUANDO DESDE EL PMU SE AUTORICE LA HABLITACIÓN, ADICIONALMENTE SE DEBE DEJAR UNA VALLA DE CICLOVÍA SUSPENDIDA POR EVENTO TIPO 3 EN LA CARRERA 50 CON CALLE 44. 
CENTRO 4: CAMIÓN DISTRIBUYE NORMALMENTE, SI SE PRESENTAN INCONVENIENTES POR FAVOR INFORMAR O CONTRATIEMPO. DEBE DEJAR UNA VALLA DE CICLOVÍA SUSPENDIDA POR EVENTO EN LA CARRERA 60 CON CALLE 26. 
</t>
    </r>
  </si>
  <si>
    <r>
      <rPr>
        <b/>
        <sz val="14"/>
        <color theme="1"/>
        <rFont val="Arial"/>
        <family val="2"/>
      </rPr>
      <t xml:space="preserve"> 
</t>
    </r>
    <r>
      <rPr>
        <b/>
        <sz val="14"/>
        <color rgb="FFFF0000"/>
        <rFont val="Arial"/>
        <family val="2"/>
      </rPr>
      <t>MOVIMIENTOS:</t>
    </r>
    <r>
      <rPr>
        <b/>
        <sz val="14"/>
        <color theme="1"/>
        <rFont val="Arial"/>
        <family val="2"/>
      </rPr>
      <t xml:space="preserve"> 
* SE REQUIERE QUE LOS DOS OPERARI@S PARA APOYO DE CICLOVÍA LLEGUEN A CALLE 3 A LAS 010:00 AM Y ESTEN DISPONIBLES 08 HORAS. ENCARGADO DAVID PARRA 3134941799.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KEVIN SILVA 3214765973
</t>
    </r>
    <r>
      <rPr>
        <b/>
        <sz val="14"/>
        <color rgb="FFFF0000"/>
        <rFont val="Arial"/>
        <family val="2"/>
      </rPr>
      <t>CAMIONETA 2:</t>
    </r>
    <r>
      <rPr>
        <b/>
        <sz val="14"/>
        <color theme="1"/>
        <rFont val="Arial"/>
        <family val="2"/>
      </rPr>
      <t xml:space="preserve"> CAMIONETA DEBE LLEGAR A LAS 4:00 AM A CALLE 3  QUEDA DISPONIBLE. ENCARGADO KEVIN SILVA 3214765973
</t>
    </r>
    <r>
      <rPr>
        <b/>
        <sz val="14"/>
        <color rgb="FFFF0000"/>
        <rFont val="Arial"/>
        <family val="2"/>
      </rPr>
      <t>FURGONADA:</t>
    </r>
    <r>
      <rPr>
        <b/>
        <sz val="14"/>
        <color theme="1"/>
        <rFont val="Arial"/>
        <family val="2"/>
      </rPr>
      <t xml:space="preserve"> CAMIONETA DEBE LLEGAR A LAS 5:30 AM A CALLE 3 QUEDA DISPONIBLE. ENCARGADO KEVIN SILVA 3214765973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t>
    </r>
    <r>
      <rPr>
        <b/>
        <sz val="14"/>
        <color theme="1"/>
        <rFont val="Arial"/>
        <family val="2"/>
      </rPr>
      <t xml:space="preserve"> SE RECUERDA QUE PARA EL DÍA DOMINGO SE DEBEN REGRESAR CON SUS OPERARIOS LOS VEHICULOS DE CENTRO 1, CENTRO 3 ZONA 2, CONOS 1, CENTRO 6 ZONA 1 Y SUR 2, LO ANTERIOR DE ACUERDO A LA REUNIÓN DEL 02 DE NOVIEMBRE.
</t>
    </r>
    <r>
      <rPr>
        <b/>
        <sz val="14"/>
        <color rgb="FFFF0000"/>
        <rFont val="Arial"/>
        <family val="2"/>
      </rPr>
      <t xml:space="preserve">MOVIMIENTOS ESPECIALES: </t>
    </r>
    <r>
      <rPr>
        <b/>
        <sz val="14"/>
        <color theme="1"/>
        <rFont val="Arial"/>
        <family val="2"/>
      </rPr>
      <t xml:space="preserve">PARA EL DOMINGO 06 DE NOVIEMBRE SE REAIZARA LA CARRERA DE SERVIDORES PUBLICOS 5K, POR LO CONSIGUIENTE SE SOLICITA TENER EN CUENTA EL SIGUIENTE OPERATIVO PARA EL CORREDOR DE C2. 
CAMIÓN DE C2, DEBE DESCARGAR COMO USUALMENTE LO REALIZA A EXCEPECIÓN DE LA CALLE 44 ENTRE CARRERA 60 Y CARRERA 50, UBICARSE CERCANO AL PUNTO PARA UNA VEZ EL PMU AUTORICE SE PUEDA HABILITAR ESTE ESPACIO.  MUY PENDIENTE COORDINADOR DE LOS CENTROS.
CAMION DE N5 Z2, DEBE REALIZAR LA DISTRIBUCIÓN COMO USUALMENTE LA REALIZA A EXCEPCIÓN DE LA CARRERA 60 ENTRE CALLE 63 Y CALLE 26, UBICARSE CERCANO AL PUNTO PARA UNA VEZ EL PMU AUTORICE SE PUEDA HABLITAR ESTE ESPACIO. POR FAVOR MUY PENDIENTE COORDINADORA DE LOS NORTES. 
</t>
    </r>
    <r>
      <rPr>
        <b/>
        <sz val="14"/>
        <color indexed="53"/>
        <rFont val="Arial"/>
        <family val="2"/>
      </rPr>
      <t xml:space="preserve">
</t>
    </r>
  </si>
  <si>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 A CALLE 3 A LAS 10:00 AM Y A LAS 3:00 PM Y ESTEN DISPONIBLES HASTA LAS 08 HORAS. ENCARGADO KEVIN SILVA 3214765973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AL A CALLE 3 QUEDA DISPONIBLE. ENCARGADO CAMILO MORA  3212165044
</t>
    </r>
    <r>
      <rPr>
        <b/>
        <sz val="14"/>
        <color rgb="FFFF0000"/>
        <rFont val="Arial"/>
        <family val="2"/>
      </rPr>
      <t>FURGONADA:</t>
    </r>
    <r>
      <rPr>
        <b/>
        <sz val="14"/>
        <color theme="1"/>
        <rFont val="Arial"/>
        <family val="2"/>
      </rPr>
      <t xml:space="preserve"> CAMIONETA DEBE LLEGAR A LAS 5:30 AM A CALLE 3 QUEDA DISPONIBLE. ENCARGADO DAVID PARRA 3134941799.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ENCARGADA JULIETH ARROYO. 3012802342
</t>
    </r>
    <r>
      <rPr>
        <b/>
        <sz val="14"/>
        <color indexed="53"/>
        <rFont val="Arial"/>
        <family val="2"/>
      </rPr>
      <t xml:space="preserve">
</t>
    </r>
  </si>
  <si>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CALLE 3 A LAS 010:00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ENCARGADA EDDY CAMACHO 3163678143. 3012802342</t>
    </r>
    <r>
      <rPr>
        <b/>
        <sz val="14"/>
        <color rgb="FFFF0000"/>
        <rFont val="Arial"/>
        <family val="2"/>
      </rPr>
      <t xml:space="preserve">
MOVIMIENTOS ESPECIALES: </t>
    </r>
    <r>
      <rPr>
        <b/>
        <sz val="14"/>
        <color theme="1"/>
        <rFont val="Arial"/>
        <family val="2"/>
      </rPr>
      <t xml:space="preserve">SE DEBE REALIZAR UN MOVIMIENTO DESDE LA CALLE 3 AL IDRD, VERIFICAR MUY BIEN ESTE MOVIMIENTO CON KEVIN SILVA. 
</t>
    </r>
    <r>
      <rPr>
        <b/>
        <sz val="14"/>
        <color indexed="53"/>
        <rFont val="Arial"/>
        <family val="2"/>
      </rPr>
      <t xml:space="preserve">
</t>
    </r>
  </si>
  <si>
    <r>
      <t xml:space="preserve">
</t>
    </r>
    <r>
      <rPr>
        <b/>
        <sz val="14"/>
        <color rgb="FFFF0000"/>
        <rFont val="Arial"/>
        <family val="2"/>
      </rPr>
      <t xml:space="preserve">
MOVIMIENTOS: 
</t>
    </r>
    <r>
      <rPr>
        <b/>
        <sz val="14"/>
        <color indexed="53"/>
        <rFont val="Arial"/>
        <family val="2"/>
      </rPr>
      <t xml:space="preserve">
</t>
    </r>
    <r>
      <rPr>
        <b/>
        <sz val="14"/>
        <color theme="1"/>
        <rFont val="Arial"/>
        <family val="2"/>
      </rPr>
      <t>* SE REQUIERE QUE LOS DOS OPERARI@S PARA APOYO DE CICLOVÍA LLEGUE A CALLE 3 A LAS 10:00 AM Y A LAS 3:00 PM Y ESTEN DISPONIBLES HASTA LAS 08 HORAS. ENCARGADO KEVIN SILVA 3214765973
* LA CAMIONETA FURGONADA DE PENDONES DE CALLE 26 DEBE LLEGAR A LAS  4:00 AM A LA CALLE 3, JUNTO CON LOS DOS OPERARIOS ADICIONALES.</t>
    </r>
    <r>
      <rPr>
        <b/>
        <sz val="14"/>
        <color indexed="53"/>
        <rFont val="Arial"/>
        <family val="2"/>
      </rPr>
      <t xml:space="preserve">
</t>
    </r>
    <r>
      <rPr>
        <b/>
        <sz val="14"/>
        <color rgb="FFFF0000"/>
        <rFont val="Arial"/>
        <family val="2"/>
      </rPr>
      <t>CAMIONETA 1:</t>
    </r>
    <r>
      <rPr>
        <b/>
        <sz val="14"/>
        <color theme="1"/>
        <rFont val="Arial"/>
        <family val="2"/>
      </rPr>
      <t xml:space="preserve"> CAMIONETA DEBE LLEGAR A LAS 4:00 AM A CALLE 3  QUEDA DISPONIBLE. ENCARGADO CAMILO MORA  3212165044</t>
    </r>
    <r>
      <rPr>
        <b/>
        <sz val="14"/>
        <color indexed="53"/>
        <rFont val="Arial"/>
        <family val="2"/>
      </rPr>
      <t xml:space="preserve">
</t>
    </r>
    <r>
      <rPr>
        <b/>
        <sz val="14"/>
        <color rgb="FFFF0000"/>
        <rFont val="Arial"/>
        <family val="2"/>
      </rPr>
      <t xml:space="preserve">
CAMIONETA 2: </t>
    </r>
    <r>
      <rPr>
        <b/>
        <sz val="14"/>
        <color theme="1"/>
        <rFont val="Arial"/>
        <family val="2"/>
      </rPr>
      <t>CAMIONETA DEBE LLEGAR A LAS 4:00 AM AL A CALLE 3 QUEDA DISPONIBLE. ENCARGADO CAMILO MORA  3212165044</t>
    </r>
    <r>
      <rPr>
        <b/>
        <sz val="14"/>
        <color indexed="53"/>
        <rFont val="Arial"/>
        <family val="2"/>
      </rPr>
      <t xml:space="preserve">
</t>
    </r>
    <r>
      <rPr>
        <b/>
        <sz val="14"/>
        <color rgb="FFFF0000"/>
        <rFont val="Arial"/>
        <family val="2"/>
      </rPr>
      <t xml:space="preserve">CAMIONETA 3: </t>
    </r>
    <r>
      <rPr>
        <b/>
        <sz val="14"/>
        <color theme="1"/>
        <rFont val="Arial"/>
        <family val="2"/>
      </rPr>
      <t>CAMIONETA DEBE LLEGAR A LAS 4:00 AM A CALLE 3  QUEDA DISPONIBLE. ENCARGADO KEVIN SILVA 3214765973</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DAVID PARRA 3134941799.</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</si>
  <si>
    <t xml:space="preserve">SUR </t>
  </si>
  <si>
    <t>CICLOVIA INTERNACIONAL</t>
  </si>
  <si>
    <t>CICLOPASEO POR EL BUEN TRATO</t>
  </si>
  <si>
    <r>
      <rPr>
        <b/>
        <sz val="14"/>
        <color rgb="FFFF0000"/>
        <rFont val="Arial"/>
        <family val="2"/>
      </rPr>
      <t xml:space="preserve"> 
MOVIMIENTOS:</t>
    </r>
    <r>
      <rPr>
        <b/>
        <sz val="14"/>
        <color theme="1"/>
        <rFont val="Arial"/>
        <family val="2"/>
      </rPr>
      <t xml:space="preserve"> 
*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CAMIONETA 1: </t>
    </r>
    <r>
      <rPr>
        <b/>
        <sz val="14"/>
        <color theme="1"/>
        <rFont val="Arial"/>
        <family val="2"/>
      </rPr>
      <t xml:space="preserve">CAMIONETA DEBE LLEGAR A LAS 4:00 AM A CALLE 3  QUEDA DISPONIBLE. ENCARGADO KEVIN SILVA 3214765973
</t>
    </r>
    <r>
      <rPr>
        <b/>
        <sz val="14"/>
        <color rgb="FFFF0000"/>
        <rFont val="Arial"/>
        <family val="2"/>
      </rPr>
      <t xml:space="preserve">
CAMIONETA 2: </t>
    </r>
    <r>
      <rPr>
        <b/>
        <sz val="14"/>
        <color theme="1"/>
        <rFont val="Arial"/>
        <family val="2"/>
      </rPr>
      <t xml:space="preserve">CAMIONETA DEBE LLEGAR A LAS 4:00 AM A CALLE 3  QUEDA DISPONIBLE. ENCARGADO KEVIN SILVA 3214765973
</t>
    </r>
    <r>
      <rPr>
        <b/>
        <sz val="14"/>
        <color rgb="FFFF0000"/>
        <rFont val="Arial"/>
        <family val="2"/>
      </rPr>
      <t xml:space="preserve">
CAMIONETA 3:</t>
    </r>
    <r>
      <rPr>
        <b/>
        <sz val="14"/>
        <color theme="1"/>
        <rFont val="Arial"/>
        <family val="2"/>
      </rPr>
      <t xml:space="preserve"> CAMIONETA DEBE LLEGAR A LAS 4:00 AM A CALLE 3  QUEDA DISPONIBLE. ENCARGADO KEVIN SILVA 3214765973
</t>
    </r>
    <r>
      <rPr>
        <b/>
        <sz val="14"/>
        <color rgb="FFFF0000"/>
        <rFont val="Arial"/>
        <family val="2"/>
      </rPr>
      <t xml:space="preserve">FURGONADA: </t>
    </r>
    <r>
      <rPr>
        <b/>
        <sz val="14"/>
        <color theme="1"/>
        <rFont val="Arial"/>
        <family val="2"/>
      </rPr>
      <t xml:space="preserve">CAMIONETA DEBE LLEGAR A LAS 5:30 AM A CALLE 3 QUEDA DISPONIBLE. ENCARGADO KEVIN SILVA 3214765973
</t>
    </r>
    <r>
      <rPr>
        <b/>
        <sz val="14"/>
        <color rgb="FFFF0000"/>
        <rFont val="Arial"/>
        <family val="2"/>
      </rPr>
      <t>ESCUELA DE LA BICI:</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ENCARGADO EDDY CAMACHO 3163678143. 3012802342
</t>
    </r>
    <r>
      <rPr>
        <b/>
        <sz val="14"/>
        <color rgb="FFFF0000"/>
        <rFont val="Arial"/>
        <family val="2"/>
      </rPr>
      <t xml:space="preserve">MOVIMIENTOS ESPECIALES: </t>
    </r>
    <r>
      <rPr>
        <b/>
        <sz val="14"/>
        <color theme="1"/>
        <rFont val="Arial"/>
        <family val="2"/>
      </rPr>
      <t xml:space="preserve">
</t>
    </r>
    <r>
      <rPr>
        <b/>
        <sz val="14"/>
        <color rgb="FFFF0000"/>
        <rFont val="Arial"/>
        <family val="2"/>
      </rPr>
      <t xml:space="preserve">CICLOVÍA INTERNACIONAL: </t>
    </r>
    <r>
      <rPr>
        <b/>
        <sz val="14"/>
        <color theme="1"/>
        <rFont val="Arial"/>
        <family val="2"/>
      </rPr>
      <t xml:space="preserve"> EL CAMION CON SUS OPERARIOS DEBEN LLEGAR A LA CALLE 3 A LAS 7:30 AM Y DRIGIRESE AL AEROPUERTO, ASÍ MISMO ES IMPORTANTE QUE LOS DATOS DE ESTE PERSONAL SEAN ENVIADOS RAPIDAMENTE A LUIS MARTÍNEZ, LO ANTERIOR PARA COORDINAR LOS INGRESOS DE DESCARGUE AL AEROPUERTO.
</t>
    </r>
    <r>
      <rPr>
        <b/>
        <sz val="14"/>
        <color rgb="FFFF0000"/>
        <rFont val="Arial"/>
        <family val="2"/>
      </rPr>
      <t>CICLOPASEO BUEN TRATO:</t>
    </r>
    <r>
      <rPr>
        <b/>
        <sz val="14"/>
        <color theme="1"/>
        <rFont val="Arial"/>
        <family val="2"/>
      </rPr>
      <t xml:space="preserve"> EL CAMIÓN DEBE LLEGAR A CALLE 3 A LAS 6:30 AM, LO ANTERIOR PARA QUE CARGUEN 25 BICICLETAS Y PUEDAN DESPLZARSE HACIA PARK WAY Y DEBE RECOGER EN EL PARQUE SIMÓN BOLIVAR SOBRE LA 10:30 AM
</t>
    </r>
  </si>
  <si>
    <t>CICLOPASEO BOGOTA PEDALEA 1</t>
  </si>
  <si>
    <t>CICLOPASEO BOGOTA PEDALEA 2</t>
  </si>
  <si>
    <r>
      <rPr>
        <b/>
        <sz val="14"/>
        <color rgb="FFFF0000"/>
        <rFont val="Arial"/>
        <family val="2"/>
      </rPr>
      <t xml:space="preserve">
MOVIMIENTOS: 
</t>
    </r>
    <r>
      <rPr>
        <b/>
        <sz val="14"/>
        <color theme="1"/>
        <rFont val="Arial"/>
        <family val="2"/>
      </rPr>
      <t xml:space="preserve">
*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CAMIONETA 2:</t>
    </r>
    <r>
      <rPr>
        <b/>
        <sz val="14"/>
        <color theme="1"/>
        <rFont val="Arial"/>
        <family val="2"/>
      </rPr>
      <t xml:space="preserve"> CAMIONETA DEBE LLEGAR A LAS 4:00 AM A CALLE 3  QUEDA DISPONIBLE. ENCARGADO KEVIN SILVA 3214765973
</t>
    </r>
    <r>
      <rPr>
        <b/>
        <sz val="14"/>
        <color rgb="FFFF0000"/>
        <rFont val="Arial"/>
        <family val="2"/>
      </rPr>
      <t>CAMIONETA 3:</t>
    </r>
    <r>
      <rPr>
        <b/>
        <sz val="14"/>
        <color theme="1"/>
        <rFont val="Arial"/>
        <family val="2"/>
      </rPr>
      <t xml:space="preserve"> CAMIONETA DEBE LLEGAR A LAS 4:00 AM A CALLE 3  QUEDA DISPONIBLE. ENCARGADO KEVIN SILVA 3214765973
</t>
    </r>
    <r>
      <rPr>
        <b/>
        <sz val="14"/>
        <color rgb="FFFF0000"/>
        <rFont val="Arial"/>
        <family val="2"/>
      </rPr>
      <t xml:space="preserve">FURGONADA: </t>
    </r>
    <r>
      <rPr>
        <b/>
        <sz val="14"/>
        <color theme="1"/>
        <rFont val="Arial"/>
        <family val="2"/>
      </rPr>
      <t xml:space="preserve">CAMIONETA DEBE LLEGAR A LAS 5:30 AM A CALLE 3 QUEDA DISPONIBLE. ENCARGADO KEVIN SILVA 3214765973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DISPONIBLES: </t>
    </r>
    <r>
      <rPr>
        <b/>
        <sz val="14"/>
        <color theme="1"/>
        <rFont val="Arial"/>
        <family val="2"/>
      </rPr>
      <t xml:space="preserve">SE DEBE REGRASAR LOS VEHICULOS QUE TERMINARON FUERA DE TIEMPO EL 20 DE NOVIEMBRE, QUE PARA EL CASO SON; N2, C1, C3 Z1, C3Z2, CONOS 2, SZ1, CANECAS 1.  ENCARGADO EDDY CAMACHO 3163678143. 3012802342
</t>
    </r>
    <r>
      <rPr>
        <b/>
        <sz val="14"/>
        <color rgb="FFFF0000"/>
        <rFont val="Arial"/>
        <family val="2"/>
      </rPr>
      <t xml:space="preserve">MOVIMIENTOS ESPECIALES: </t>
    </r>
    <r>
      <rPr>
        <b/>
        <sz val="14"/>
        <color theme="1"/>
        <rFont val="Arial"/>
        <family val="2"/>
      </rPr>
      <t xml:space="preserve">
CICLOPASEO BOGOTA PEDALEA 1:  EL CAMION CON SUS OPERARIOS DEBEN LLEGAR A LA CALLE 3 A LAS 6:00 AM Y DRIGIRESE AL IDRD, ASÍ MISMO ES IMPORTANTE QUE EL CAMIÓN ESTE LISTO PARA LA RECOLECCIÓN DE ESTE MATARIAL EN EL PARQUE RENACIMIENTO UNA VEZ DESCARGUE EN EL IDRD. 
CICLOPASEO BOGOTA PEDALEA 2:  EL CAMION CON SUS OPERARIOS DEBEN LLEGAR A LA CALLE 3 A LAS 6:00 AM Y DRIGIRESE AL IDRD, ASÍ MISMO ES IMPORTANTE QUE EL CAMIÓN ESTE LISTO PARA LA RECOLECCIÓN DE ESTE MATARIAL EN EL PARQUE RENACIMIENTO UNA VEZ DESCARGUE EN EL IDRD. </t>
    </r>
  </si>
  <si>
    <r>
      <t xml:space="preserve">
MOVIMIENTOS: 
</t>
    </r>
    <r>
      <rPr>
        <b/>
        <sz val="14"/>
        <color theme="1"/>
        <rFont val="Arial"/>
        <family val="2"/>
      </rPr>
      <t xml:space="preserve">*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 xml:space="preserve">CAMIONETA DEBE LLEGAR A LAS 4:00 AM A CALLE 3  QUEDA DISPONIBLE. ENCARGADO KEVIN SILVA 3214765973
</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DISPONIBLES:</t>
    </r>
    <r>
      <rPr>
        <b/>
        <sz val="14"/>
        <color theme="1"/>
        <rFont val="Arial"/>
        <family val="2"/>
      </rPr>
      <t xml:space="preserve"> SE DEBE REGRASAR LOS VEHICULOS QUE TERMINARON FUERA DE TIEMPO EL 20 DE NOVIEMBRE, QUE PARA EL CASO SON; N2, N3, N5Z2, C1, C3Z2, C4, CONOS 1, C5, S1Z1  ENCARGADO EDDY CAMACHO 3163678143. 3012802342</t>
    </r>
    <r>
      <rPr>
        <b/>
        <sz val="14"/>
        <color rgb="FFFF0000"/>
        <rFont val="Arial"/>
        <family val="2"/>
      </rPr>
      <t xml:space="preserve">
MOVIMIENTOS Y OPERATIVOS ESPECIALES: 
CARRERA RUN TOUR AVIANCA: 
</t>
    </r>
    <r>
      <rPr>
        <b/>
        <sz val="14"/>
        <color theme="1"/>
        <rFont val="Arial"/>
        <family val="2"/>
      </rPr>
      <t xml:space="preserve">SE REALIZARA LA CARRERA EN LOS CORREDORES DE CICLOVÍA LA CUAL TENDRA LAS AFECTACIONES ACOSTUMBRADAS, POR LO CUAL LOS SIGUIENTES VEHICULOS DEBEN ESPERAR EN EL PUNTO PARA REALIZAR EL DESCARGUE Y LA HABILITACIÓN DE LAS CALZADAS APENAS LE CONFIRMEN AL PROGRAMA: 
</t>
    </r>
    <r>
      <rPr>
        <b/>
        <sz val="14"/>
        <color rgb="FFFF0000"/>
        <rFont val="Arial"/>
        <family val="2"/>
      </rPr>
      <t>N5Z2:</t>
    </r>
    <r>
      <rPr>
        <b/>
        <sz val="14"/>
        <color theme="1"/>
        <rFont val="Arial"/>
        <family val="2"/>
      </rPr>
      <t xml:space="preserve"> DEBE REALIZAR EL DESCARGUE COMUN Y CORRIENTE PARA LA HABILITACIÓN A POSTERIOR.
</t>
    </r>
    <r>
      <rPr>
        <b/>
        <sz val="14"/>
        <color rgb="FFFF0000"/>
        <rFont val="Arial"/>
        <family val="2"/>
      </rPr>
      <t>C2:</t>
    </r>
    <r>
      <rPr>
        <b/>
        <sz val="14"/>
        <color theme="1"/>
        <rFont val="Arial"/>
        <family val="2"/>
      </rPr>
      <t xml:space="preserve"> DESCARGA COMO USUALMENTE LO HACE, A EXCEPECIÓN DE LA CALLE 44 ENTRE CARRERA 50 Y CARRERA 60, ESTE VEHICULO DEBE ESPERAR INSTRUCCIONES PARA DESCARGAR ESTE TRAMO.  
FINALMENTE, SE ENVIAN VALLAS TIPO 3 DE CICLOVÍA SUSPENDIDA POR EVENTO EN LOS CAMIONES DE C4, C2, N5Z2, LAS CUALES SE DEBEN DESCARGAR RESPECTIVAMENTE EN CALLE 26 CON CARRERA 60, CALLE 44 CON CARRERA 50 Y CARRERA 60 CON CALLE 63. 
POR LO CUAL LOS CAMIONES QUEDAN RESALTADOS EN AMARILLO, PARA SU FACIL CONSULTA. </t>
    </r>
  </si>
  <si>
    <t>CICLOPASEO</t>
  </si>
  <si>
    <r>
      <t xml:space="preserve">
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t>
    </r>
    <r>
      <rPr>
        <b/>
        <sz val="14"/>
        <color theme="1"/>
        <rFont val="Arial"/>
        <family val="2"/>
      </rPr>
      <t xml:space="preserve">*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CICLOPASEO: </t>
    </r>
    <r>
      <rPr>
        <b/>
        <sz val="14"/>
        <color theme="1"/>
        <rFont val="Arial"/>
        <family val="2"/>
      </rPr>
      <t>VEHICULO DEBE LLEGAR A LAS 6:30 AM A LA CALLE 3, ENCARGADO LUIS MARTÍNEZ 3124158470</t>
    </r>
  </si>
  <si>
    <t xml:space="preserve">CICLOVÍA INTERACIONAL </t>
  </si>
  <si>
    <t xml:space="preserve">2014 - 2020 </t>
  </si>
  <si>
    <r>
      <t xml:space="preserve">
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t>
    </r>
    <r>
      <rPr>
        <b/>
        <sz val="14"/>
        <color theme="1"/>
        <rFont val="Arial"/>
        <family val="2"/>
      </rPr>
      <t xml:space="preserve">*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CICLOVÍA INTERNACIONAL: </t>
    </r>
    <r>
      <rPr>
        <b/>
        <sz val="14"/>
        <color theme="1"/>
        <rFont val="Arial"/>
        <family val="2"/>
      </rPr>
      <t>VEHICULO DEBE LLEGAR A LAS 7:30 AM A LA CALLE 3, ENCARGADO CAMILO MORA 3212165044</t>
    </r>
  </si>
  <si>
    <t>CICLOVÍA - CANECAS CASCADAS</t>
  </si>
  <si>
    <t>CICLOVÍA - CASCADAS 2</t>
  </si>
  <si>
    <t xml:space="preserve">CICLOPASEO CUMPLEANOS </t>
  </si>
  <si>
    <r>
      <rPr>
        <b/>
        <sz val="14"/>
        <color rgb="FFFF0000"/>
        <rFont val="Arial"/>
        <family val="2"/>
      </rPr>
      <t>MOVIMIENTOS:</t>
    </r>
    <r>
      <rPr>
        <b/>
        <sz val="14"/>
        <color indexed="53"/>
        <rFont val="Arial"/>
        <family val="2"/>
      </rPr>
      <t xml:space="preserve"> 
*</t>
    </r>
    <r>
      <rPr>
        <b/>
        <sz val="14"/>
        <color theme="1"/>
        <rFont val="Arial"/>
        <family val="2"/>
      </rPr>
      <t xml:space="preserve"> SE REQUIERE QUE LOS DOS OPERARIOS PARA APOYO DE CICLOVÍA LLEGUEN A CALLE 3 A LAS 6:00 PM Y ESTEN DISPONIBLES HASTA LAS 2:00 AM. ENCARGADO KEVIN SILVA.
* LA CAMIONETA FURGONADA DE PENDONES DE CALLE 26 DEBE LLEGAR A LAS  2:00 PM A CALLE 3, JUNTO CON LOS DOS OPERARIOS ADICIONALES. NO REALIZAN PUESTA DE PENDONES A DISPONBILIDAD DEL EQUIPO DE OPERACIONES. 
CAMIONETA 1: CAMIONETA DEBE LLEGAR A LAS 02:00 PM A CALLE 3 QUEDA DISPONIBLE. ENCARGADO LUIS MARTÍNEZ
CAMIONETA 2: CAMIONETA DEBE LLEGAR A LAS 02:00 PM AL CALLE 3  QUEDA DISPONIBLE. ENCARGADO CAMILO MORA.
CAMIONETA 3: CAMIONETA DEBE LLEGAR A LAS 04:00 PM A IDRD QUEDA DISPONIBLE. ENCARGADO LUIS MARTÍNEZ.</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 xml:space="preserve">LOS TRES CAMIONES ADICIONALES DEBEN LLEGAR A LA CALLE 3 A LAS 12 M CON SUS RESPECTIVOS OPERARIOS; ESPECIFICAMENTE PARA EL CAMIÓN DE 2 OPERARIOS DEBE CARGAR LOS CONTRAFLUJOS DE N1 Y EMPEZAR LA DISTRIBUCIÓN DESDE LA AV BOYACA CON CALLE 170 HASTA LA AV BOYACA CON CALLE 134, EL CAIMIÓN DE CANECAS ADICIONAL DEBE LLEGAR A CALLE 3 Y DESCARGAR EN LA AV BOYACA CON SEVILLANA HASTA LA 44 SUR. ASÍ MISMO DEBE LLEVAR LAS CASCADAS A LOS SIGUIENTES PUNTOS : AV BOYACA CON CARRERA 24 (PARQUE EL TUNAL), CALLE 26 CON CARRERA 39 SENTIDO ORIENTE OCCIDENTE, CALLE 26 CON DIAGONAL 44 SENTIDO OCCIDENTE ORIENTE, CALLE 26 CON 96I.
EL CAMIÓN FURGONADO QUE SE PIDIO DEBE LLEGAR A CALLE 3 13:00 HRS, Y DIRIGIRSE A PATIO 4 DE SECRETARIA DE MOVILIDAD.
</t>
    </r>
    <r>
      <rPr>
        <b/>
        <sz val="14"/>
        <color rgb="FFFF0000"/>
        <rFont val="Arial"/>
        <family val="2"/>
      </rPr>
      <t xml:space="preserve">CENTRO 2: </t>
    </r>
    <r>
      <rPr>
        <b/>
        <sz val="14"/>
        <color theme="1"/>
        <rFont val="Arial"/>
        <family val="2"/>
      </rPr>
      <t xml:space="preserve">
PARA EL CAMIÓN DE C2, PARA ESTA JORNADA SOLO FUNCIONA HASTA LA CARRERA 50 CON CALLE 6, PUNTO DE REFRENCIA CENTRO COMERCIAL CARRERA, DEBE CARGAR COMO DE COSTUMBRE. 
</t>
    </r>
    <r>
      <rPr>
        <b/>
        <sz val="14"/>
        <color rgb="FFFF0000"/>
        <rFont val="Arial"/>
        <family val="2"/>
      </rPr>
      <t xml:space="preserve">CICLOPASEO CUMPLEANOS: </t>
    </r>
    <r>
      <rPr>
        <b/>
        <sz val="14"/>
        <color theme="1"/>
        <rFont val="Arial"/>
        <family val="2"/>
      </rPr>
      <t xml:space="preserve">
SE NECESITA EN CALLE 3 A LAS 4:00 PM, ENCARGADA JULIETH ARROYO. </t>
    </r>
  </si>
  <si>
    <t>CAMIONETA FURGONADA RECOLECCIÓN MÓDULOS</t>
  </si>
  <si>
    <r>
      <t xml:space="preserve">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 LA CAMIONETA FURGONADA DE PENDONES DE CALLE 26 DEBE LLEGAR A LAS  4:00 AM A LA CALLE 3, JUNTO CON LOS DOS OPERARIOS ADICIONALES.
CAMIONETA 1:</t>
    </r>
    <r>
      <rPr>
        <b/>
        <sz val="14"/>
        <color theme="1"/>
        <rFont val="Arial"/>
        <family val="2"/>
      </rPr>
      <t xml:space="preserve"> CAMIONETA DEBE LLEGAR A LAS 10:00 AM A CALLE 3  QUEDA DISPONIBLE. ENCARGADO KEVIN SILVA 3214765973</t>
    </r>
    <r>
      <rPr>
        <b/>
        <sz val="14"/>
        <color rgb="FFFF0000"/>
        <rFont val="Arial"/>
        <family val="2"/>
      </rPr>
      <t xml:space="preserve">
CAMIONETA 2:</t>
    </r>
    <r>
      <rPr>
        <b/>
        <sz val="14"/>
        <color theme="1"/>
        <rFont val="Arial"/>
        <family val="2"/>
      </rPr>
      <t xml:space="preserve"> CAMIONETA DEBE LLEGAR A LAS 4:00 AM A CALLE 3  QUEDA DISPONIBLE. ENCARGADO KEVIN SILVA 3214765973</t>
    </r>
    <r>
      <rPr>
        <b/>
        <sz val="14"/>
        <color rgb="FFFF0000"/>
        <rFont val="Arial"/>
        <family val="2"/>
      </rPr>
      <t xml:space="preserve">
CAMIONETA 3:</t>
    </r>
    <r>
      <rPr>
        <b/>
        <sz val="14"/>
        <color theme="1"/>
        <rFont val="Arial"/>
        <family val="2"/>
      </rPr>
      <t xml:space="preserve"> 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CICLOVÍA INTERNACIONAL: </t>
    </r>
    <r>
      <rPr>
        <b/>
        <sz val="14"/>
        <color theme="1"/>
        <rFont val="Arial"/>
        <family val="2"/>
      </rPr>
      <t xml:space="preserve">VEHICULO DEBE LLEGAR A LAS 7:30 AM A LA CALLE 3, ENCARGADO CAMILO MORA 3212165044
</t>
    </r>
    <r>
      <rPr>
        <b/>
        <sz val="14"/>
        <color rgb="FFFF0000"/>
        <rFont val="Arial"/>
        <family val="2"/>
      </rPr>
      <t xml:space="preserve">
FURGONADA RECOLECCIÓN MÓDULOS: </t>
    </r>
    <r>
      <rPr>
        <b/>
        <sz val="14"/>
        <color theme="1"/>
        <rFont val="Arial"/>
        <family val="2"/>
      </rPr>
      <t xml:space="preserve">ESTA DEBE LLEGAR A LA CALLE 3 A LAS 8:30 AM, PARA LA RECOLECCIÓN RESPECTIVA 9 HRS DE DISPONIBILIDAD. </t>
    </r>
  </si>
  <si>
    <t>47A 6 OPERARIO-08 HORAS</t>
  </si>
  <si>
    <t>48A 8 OPERARIO-08 HORAS</t>
  </si>
  <si>
    <t>49A 10 OPERARIO-08 HORAS</t>
  </si>
  <si>
    <t>50A 12 OPERARIO-08 HORAS</t>
  </si>
  <si>
    <t>51A 6 OPERARIO-06 HORAS</t>
  </si>
  <si>
    <t>52A 8 OPERARIO-06 HORAS</t>
  </si>
  <si>
    <t>53A 10 OPERARIO-06 HORAS</t>
  </si>
  <si>
    <t>54A 12 OPERARIO-06 HORAS</t>
  </si>
  <si>
    <r>
      <t xml:space="preserve">MOVIMIENTOS: 
</t>
    </r>
    <r>
      <rPr>
        <b/>
        <sz val="14"/>
        <color theme="1"/>
        <rFont val="Arial"/>
        <family val="2"/>
      </rPr>
      <t>* SE REQUIERE QUE LOS DOS OPERARI@S PARA APOYO DE CICLOVÍA LLEGUEN A CALLE 3 A LAS  10:00 AM Y ESTEN DISPONIBLES 08 HORAS. ENCARGADO EDDY CAMACHO 3163678143
* LA CAMIONETA FURGONADA DE PENDONES DE CALLE 26 DEBE LLEGAR A LAS  4:00 AM A LA CALLE 3, JUNTO CON LOS DOS OPERARIOS ADICIONALES.</t>
    </r>
    <r>
      <rPr>
        <b/>
        <sz val="14"/>
        <color rgb="FFFF0000"/>
        <rFont val="Arial"/>
        <family val="2"/>
      </rPr>
      <t xml:space="preserve">
CAMIONETA 1:</t>
    </r>
    <r>
      <rPr>
        <b/>
        <sz val="14"/>
        <color theme="1"/>
        <rFont val="Arial"/>
        <family val="2"/>
      </rPr>
      <t xml:space="preserve"> CAMIONETA DEBE LLEGAR A LAS 10:00 AM A CALLE 3  QUEDA DISPONIBLE. ENCARGADO LUIS MARTINEZ 3124158470.</t>
    </r>
    <r>
      <rPr>
        <b/>
        <sz val="14"/>
        <color rgb="FFFF0000"/>
        <rFont val="Arial"/>
        <family val="2"/>
      </rPr>
      <t xml:space="preserve">
CAMIONETA 2: </t>
    </r>
    <r>
      <rPr>
        <b/>
        <sz val="14"/>
        <color theme="1"/>
        <rFont val="Arial"/>
        <family val="2"/>
      </rPr>
      <t xml:space="preserve">CAMIONETA DEBE LLEGAR A LAS 4:00 AM A CALLE 3  QUEDA DISPONIBLE. ENCARGADO LUIS MARTINEZ 3124158470.
</t>
    </r>
    <r>
      <rPr>
        <b/>
        <sz val="14"/>
        <color rgb="FFFF0000"/>
        <rFont val="Arial"/>
        <family val="2"/>
      </rPr>
      <t xml:space="preserve">
CAMIONETA 3: </t>
    </r>
    <r>
      <rPr>
        <b/>
        <sz val="14"/>
        <color theme="1"/>
        <rFont val="Arial"/>
        <family val="2"/>
      </rPr>
      <t>CAMIONETA DEBE LLEGAR A LAS 4:00 AM A CALLE 3  QUEDA DISPONIBLE. ENCARGADO LUIS MARTINEZ 3124158470.</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t>
    </r>
    <r>
      <rPr>
        <b/>
        <sz val="14"/>
        <color theme="1"/>
        <rFont val="Arial"/>
        <family val="2"/>
      </rPr>
      <t xml:space="preserve">SE RECOMIENDA A LA EMPRESA DE TRANSPORTE TENER PLANES DE CONTIGENCIA ANTE LA INASISTENCIA DE CAMIONES Y OPERARIOS, ENTENDIENDO LAS FESTIVIDADES, ASÍ COMO LA REVISIÓN DE QUE SU TALENTO HUMANO, CONDUCTORES Y NO SE PRESENTE BAJO EL EFECTO DE SUSTANCIAS EMBRIAGANTES O PSICOACTIVAS. 
FINALMENTE, INFORMAR CON BUEN TIEMPO DE ANTELACIÓN LOS VEHICULOS QUE REQUIEREN ACOMPA~AMIENTO DEL LAS RUTAS. </t>
    </r>
  </si>
  <si>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CALLE 3 A LAS 10:00 AM Y ESTEN DISPONIBLES 08 AM.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ENCARGADO EDDY CAMACHO 3163678143. 3012802342</t>
    </r>
    <r>
      <rPr>
        <b/>
        <sz val="14"/>
        <color rgb="FFFF0000"/>
        <rFont val="Arial"/>
        <family val="2"/>
      </rPr>
      <t xml:space="preserve">
MOVIMIENTOS ESPECIALES: </t>
    </r>
    <r>
      <rPr>
        <b/>
        <sz val="14"/>
        <color theme="1"/>
        <rFont val="Arial"/>
        <family val="2"/>
      </rPr>
      <t xml:space="preserve">SE DEBE REALIZAR UN MOVIMIENTO DESDE LA CALLE 3 AL IDRD, VERIFICAR MUY BIEN ESTE MOVIMIENTO CON KEVIN SILVA CON LO VEHICULOS DISPONIBLES. 
</t>
    </r>
    <r>
      <rPr>
        <b/>
        <sz val="14"/>
        <color indexed="53"/>
        <rFont val="Arial"/>
        <family val="2"/>
      </rPr>
      <t xml:space="preserve">
</t>
    </r>
  </si>
  <si>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CALLE 3 A LAS 10:00 AM Y ESTEN DISPONIBLES 08 AM.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ENCARGADO EDDY CAMACHO 3163678143. 3012802342</t>
    </r>
    <r>
      <rPr>
        <b/>
        <sz val="14"/>
        <color rgb="FFFF0000"/>
        <rFont val="Arial"/>
        <family val="2"/>
      </rPr>
      <t xml:space="preserve">
</t>
    </r>
    <r>
      <rPr>
        <b/>
        <sz val="14"/>
        <color indexed="53"/>
        <rFont val="Arial"/>
        <family val="2"/>
      </rPr>
      <t xml:space="preserve">
</t>
    </r>
  </si>
  <si>
    <t>LOGISTICA Y REDES DE DISTRIBUCION S.A.S- IDRD 2022 ZONA NORTE-CENTRO-SUR</t>
  </si>
  <si>
    <t>FECHA</t>
  </si>
  <si>
    <t>CAMIONES</t>
  </si>
  <si>
    <t>OPERARIOS 
ADICIONALES</t>
  </si>
  <si>
    <t>JORNADA</t>
  </si>
  <si>
    <t>DESCRIPCION DEL DESCUENTO</t>
  </si>
  <si>
    <t>VALOR TOTAL CAMIONES</t>
  </si>
  <si>
    <t>VALOR OPERARIOS ADICIONALES</t>
  </si>
  <si>
    <t>VALOR DESCUENTOS</t>
  </si>
  <si>
    <t>ZONA NORTE- CENTRO - SUR</t>
  </si>
  <si>
    <t xml:space="preserve"> </t>
  </si>
  <si>
    <t>DOMINGO - CICLOVIA RUTA</t>
  </si>
  <si>
    <t>DOMINGO - CAMIONES DE CONOS</t>
  </si>
  <si>
    <t>DOMINGO- ESCUELA DE LA BICICLETA</t>
  </si>
  <si>
    <t>CICLOVÍA + RECREOVÍA</t>
  </si>
  <si>
    <t>,</t>
  </si>
  <si>
    <t xml:space="preserve">TOTAL </t>
  </si>
  <si>
    <t>VALOR</t>
  </si>
  <si>
    <t>VALOR 
OPERARIOS ADICIONALES</t>
  </si>
  <si>
    <t>TOTAL ZONA NORTE</t>
  </si>
  <si>
    <t>TOTAL ZONA CENTRO</t>
  </si>
  <si>
    <t>TOTAL ZONA SUR</t>
  </si>
  <si>
    <t>VALOR TOTAL</t>
  </si>
  <si>
    <t xml:space="preserve"> TOTAL CICLOVIA</t>
  </si>
  <si>
    <t>TOTAL RECREOVÍA</t>
  </si>
  <si>
    <t>SERVICIOS ADICIONALES</t>
  </si>
  <si>
    <t>RECREOVÍA TOTAL</t>
  </si>
  <si>
    <r>
      <rPr>
        <b/>
        <sz val="15"/>
        <rFont val="Arial"/>
        <family val="2"/>
      </rPr>
      <t xml:space="preserve">FECHA 
</t>
    </r>
    <r>
      <rPr>
        <sz val="11"/>
        <color theme="1"/>
        <rFont val="Calibri"/>
        <family val="2"/>
        <scheme val="minor"/>
      </rPr>
      <t>(Ej. 19-Jul-09)</t>
    </r>
  </si>
  <si>
    <r>
      <rPr>
        <b/>
        <sz val="15"/>
        <rFont val="Arial"/>
        <family val="2"/>
      </rPr>
      <t xml:space="preserve">HORA INICIO
</t>
    </r>
    <r>
      <rPr>
        <sz val="11"/>
        <color theme="1"/>
        <rFont val="Calibri"/>
        <family val="2"/>
        <scheme val="minor"/>
      </rPr>
      <t>(Hora Militar)</t>
    </r>
  </si>
  <si>
    <r>
      <rPr>
        <b/>
        <sz val="15"/>
        <rFont val="Arial"/>
        <family val="2"/>
      </rPr>
      <t xml:space="preserve">HORA FINAL
</t>
    </r>
    <r>
      <rPr>
        <sz val="11"/>
        <color theme="1"/>
        <rFont val="Calibri"/>
        <family val="2"/>
        <scheme val="minor"/>
      </rPr>
      <t>(Hora Militar)</t>
    </r>
  </si>
  <si>
    <r>
      <rPr>
        <b/>
        <sz val="15"/>
        <rFont val="Arial"/>
        <family val="2"/>
      </rPr>
      <t xml:space="preserve">EVENTO
</t>
    </r>
    <r>
      <rPr>
        <sz val="11"/>
        <color theme="1"/>
        <rFont val="Calibri"/>
        <family val="2"/>
        <scheme val="minor"/>
      </rPr>
      <t>(Como aparece en el plan de acción)</t>
    </r>
  </si>
  <si>
    <t>LUGAR Y DIRECCION</t>
  </si>
  <si>
    <r>
      <t xml:space="preserve">PROYECTO DE INVERSIÓN
</t>
    </r>
    <r>
      <rPr>
        <sz val="11"/>
        <color theme="1"/>
        <rFont val="Calibri"/>
        <family val="2"/>
        <scheme val="minor"/>
      </rPr>
      <t>(Como aparece en el plan de acción)</t>
    </r>
  </si>
  <si>
    <t>PROGRAMA</t>
  </si>
  <si>
    <t>Disponibilidad</t>
  </si>
  <si>
    <t>Tipo de servicio</t>
  </si>
  <si>
    <t>valor</t>
  </si>
  <si>
    <t>7851</t>
  </si>
  <si>
    <t>7852</t>
  </si>
  <si>
    <t xml:space="preserve">COMUNIDADES ACTIVIDAS Y SALUDABLES </t>
  </si>
  <si>
    <t>7854</t>
  </si>
  <si>
    <t>X</t>
  </si>
  <si>
    <t>SAF- 5119</t>
  </si>
  <si>
    <t xml:space="preserve"> TOTAL SERVICIOS ADICIONALES</t>
  </si>
  <si>
    <t xml:space="preserve">GRAN TOTAL: </t>
  </si>
  <si>
    <t xml:space="preserve">       </t>
  </si>
  <si>
    <t xml:space="preserve">TRASLADO ELEMENTOS IDRD </t>
  </si>
  <si>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CALLE 3 A LAS 10:00 AM Y ESTEN DISPONIBLES 05 PM.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TRASLADO DE ELEMENTOS: </t>
    </r>
    <r>
      <rPr>
        <b/>
        <sz val="14"/>
        <color theme="1"/>
        <rFont val="Arial"/>
        <family val="2"/>
      </rPr>
      <t xml:space="preserve">ESTE CAMIÓN DEBE LLEGAR A LA CALLE 3 A LAS 9:00 AM ENCARGADO LUIS MARTINEZ 3124158470, VEHICULO DISPONIBLE POR 9 HRS.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ENCARGADO EDDY CAMACHO 3163678143. 3012802342</t>
    </r>
    <r>
      <rPr>
        <b/>
        <sz val="14"/>
        <color rgb="FFFF0000"/>
        <rFont val="Arial"/>
        <family val="2"/>
      </rPr>
      <t xml:space="preserve">
</t>
    </r>
    <r>
      <rPr>
        <b/>
        <sz val="14"/>
        <color indexed="53"/>
        <rFont val="Arial"/>
        <family val="2"/>
      </rPr>
      <t xml:space="preserve">
</t>
    </r>
  </si>
  <si>
    <t>-</t>
  </si>
  <si>
    <t xml:space="preserve">CENTRO 2 </t>
  </si>
  <si>
    <t xml:space="preserve">CENTRO 4 CONOS </t>
  </si>
  <si>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PLAZA DE LOS ARTESANOS Carrera 60 #63A-52 A LAS 10:00 AM Y ESTEN DISPONIBLES 05 PM. ENCARGADO EDDY CAMACHO 3163678143
* LA CAMIONETA FURGONADA DE PENDONES DE CALLE 26 DEBE LLEGAR A LAS  4:00 AM A LA PLAZA DE ARTESANOS,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ENCARGADO EDDY CAMACHO 3163678143. 3012802342</t>
    </r>
    <r>
      <rPr>
        <b/>
        <sz val="14"/>
        <color rgb="FFFF0000"/>
        <rFont val="Arial"/>
        <family val="2"/>
      </rPr>
      <t xml:space="preserve">
</t>
    </r>
    <r>
      <rPr>
        <b/>
        <sz val="14"/>
        <color indexed="53"/>
        <rFont val="Arial"/>
        <family val="2"/>
      </rPr>
      <t xml:space="preserve">
</t>
    </r>
  </si>
  <si>
    <r>
      <t>CONTRATO 1916 DE 2022 - CORTE</t>
    </r>
    <r>
      <rPr>
        <b/>
        <sz val="24"/>
        <color rgb="FF000000"/>
        <rFont val="Calibri"/>
        <family val="2"/>
      </rPr>
      <t xml:space="preserve"> DEL 1 ENERO DE 2023 AL 05 DE FEBRERO DE 2023</t>
    </r>
  </si>
  <si>
    <t>RP</t>
  </si>
  <si>
    <t>RUBRO</t>
  </si>
  <si>
    <t xml:space="preserve">VALOR RP </t>
  </si>
  <si>
    <t xml:space="preserve">SERVICIO AGOSOTO </t>
  </si>
  <si>
    <t>SALDO</t>
  </si>
  <si>
    <t xml:space="preserve">ADICIONAL MAURO </t>
  </si>
  <si>
    <t>TOTAL CONTRATO</t>
  </si>
  <si>
    <t xml:space="preserve">Saldo actual </t>
  </si>
  <si>
    <t>Proyección 7852</t>
  </si>
  <si>
    <t>Cantidad de meses para cubrir</t>
  </si>
  <si>
    <t xml:space="preserve">Fecha para nuevo contrato </t>
  </si>
  <si>
    <t xml:space="preserve">SERVICIO SEPTIEMBRE </t>
  </si>
  <si>
    <t>SERVICIO OCTUBRE</t>
  </si>
  <si>
    <t>SERVICIO NOVIMEBRE</t>
  </si>
  <si>
    <t>SERVICIO DICIEMBRE</t>
  </si>
  <si>
    <t>SERVICIO ENERO - FEB 07</t>
  </si>
  <si>
    <t>09 HORAS</t>
  </si>
  <si>
    <t>MANZANAS DEL CUIDADO</t>
  </si>
  <si>
    <t>UDS (CALLE 63 X CRA 68)</t>
  </si>
  <si>
    <t xml:space="preserve">CENTRO </t>
  </si>
  <si>
    <t xml:space="preserve">TRASLADO DE ELEMENTOS </t>
  </si>
  <si>
    <t>TRASLADO DE ELMENTOS CICLOVÍA</t>
  </si>
  <si>
    <t xml:space="preserve">CALLE 3 - PLAZA DE LOS ARTESANOS </t>
  </si>
  <si>
    <t>RECREACIÓN Y DEPORTE PARA LA FORMACIÓN CIUDADANA</t>
  </si>
  <si>
    <t>47. 6 OPERARIO-06 HORAS</t>
  </si>
  <si>
    <t>48. 8 OPERARIO-06 HORAS</t>
  </si>
  <si>
    <t>50. 6 OPERARIO-08 HORAS</t>
  </si>
  <si>
    <t>51. 8 OPERARIO-08 HORAS</t>
  </si>
  <si>
    <t>49. 10 OPERARIO-06 HORAS</t>
  </si>
  <si>
    <t>52. 10 OPERARIO-08 HORAS</t>
  </si>
  <si>
    <r>
      <rPr>
        <b/>
        <sz val="16"/>
        <color rgb="FF000000"/>
        <rFont val="Calibri"/>
        <family val="2"/>
      </rPr>
      <t>MES ENERO Y FEBRERO RECREOVIA:</t>
    </r>
    <r>
      <rPr>
        <sz val="16"/>
        <color indexed="8"/>
        <rFont val="Calibri"/>
        <family val="2"/>
      </rPr>
      <t xml:space="preserve"> 
CAMIONES CON 4 OPERARIOS
(15 HORAS) 12</t>
    </r>
    <r>
      <rPr>
        <b/>
        <sz val="16"/>
        <color rgb="FF000000"/>
        <rFont val="Calibri"/>
        <family val="2"/>
      </rPr>
      <t xml:space="preserve"> - </t>
    </r>
    <r>
      <rPr>
        <sz val="16"/>
        <color indexed="8"/>
        <rFont val="Calibri"/>
        <family val="2"/>
      </rPr>
      <t>CAMIONES CON 
3 OPERARIOS (15 HORAS) 12</t>
    </r>
    <r>
      <rPr>
        <b/>
        <sz val="16"/>
        <color rgb="FF000000"/>
        <rFont val="Calibri"/>
        <family val="2"/>
      </rPr>
      <t xml:space="preserve"> - </t>
    </r>
    <r>
      <rPr>
        <sz val="16"/>
        <color rgb="FF000000"/>
        <rFont val="Calibri"/>
        <family val="2"/>
      </rPr>
      <t>CAMIONES CON 2 OPERARIOS (15 HORAS) 0</t>
    </r>
    <r>
      <rPr>
        <sz val="16"/>
        <color indexed="8"/>
        <rFont val="Calibri"/>
        <family val="2"/>
      </rPr>
      <t xml:space="preserve"> - CAMIONES CON 
4 OPERARIOS (9 HORAS) 0</t>
    </r>
    <r>
      <rPr>
        <b/>
        <sz val="16"/>
        <color rgb="FF000000"/>
        <rFont val="Calibri"/>
        <family val="2"/>
      </rPr>
      <t xml:space="preserve"> - </t>
    </r>
    <r>
      <rPr>
        <sz val="16"/>
        <color rgb="FF000000"/>
        <rFont val="Calibri"/>
        <family val="2"/>
      </rPr>
      <t xml:space="preserve">OPERARIOS  (8 HORAS) </t>
    </r>
    <r>
      <rPr>
        <b/>
        <sz val="16"/>
        <color rgb="FF000000"/>
        <rFont val="Calibri"/>
        <family val="2"/>
      </rPr>
      <t>227</t>
    </r>
    <r>
      <rPr>
        <sz val="16"/>
        <color indexed="8"/>
        <rFont val="Calibri"/>
        <family val="2"/>
      </rPr>
      <t xml:space="preserve"> - OPERARIOS (6 HORAS) 220</t>
    </r>
  </si>
  <si>
    <t xml:space="preserve">JEC - TRASLADO MATERIAL VERAGUAS </t>
  </si>
  <si>
    <t>TRASLADO MATERIAL VERAGUAS</t>
  </si>
  <si>
    <t xml:space="preserve">FORMACIÓN CIUDADANA </t>
  </si>
  <si>
    <t xml:space="preserve">TARMIAS - RECREOAVÍA </t>
  </si>
  <si>
    <t>TRASLADO MATERIAL PLAZA DE LOS ARTESANOS</t>
  </si>
  <si>
    <t xml:space="preserve"> SEGUIMIENTO CONTRATO 1916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</si>
</sst>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 #,##0.00_-;\-&quot;$&quot;\ * #,##0.00_-;_-&quot;$&quot;\ * &quot;-&quot;??_-;_-@_-"/>
    <numFmt numFmtId="164" formatCode="_-&quot;$&quot;* #,##0_-;\-&quot;$&quot;* #,##0_-;_-&quot;$&quot;* &quot;-&quot;_-;_-@_-"/>
    <numFmt numFmtId="165" formatCode="_-&quot;$&quot;* #,##0.00_-;\-&quot;$&quot;* #,##0.00_-;_-&quot;$&quot;* &quot;-&quot;??_-;_-@_-"/>
    <numFmt numFmtId="166" formatCode="[$$-240A]#,##0.00;[Red]\([$$-240A]#,##0.00\)"/>
    <numFmt numFmtId="167" formatCode="[$$-240A]\ #,##0.00_);[Red]\([$$-240A]\ #,##0.00\)"/>
    <numFmt numFmtId="168" formatCode="&quot;$&quot;\ #,##0.00"/>
    <numFmt numFmtId="169" formatCode="[$$-240A]\ #,##0.00;[Red][$$-240A]\ #,##0.00"/>
    <numFmt numFmtId="170" formatCode="[$$-240A]\ #,##0_);[Red]\([$$-240A]\ #,##0\)"/>
    <numFmt numFmtId="171" formatCode="dddd&quot;, &quot;dd&quot; de &quot;mmmm&quot; de &quot;yyyy;@"/>
    <numFmt numFmtId="172" formatCode="h:mm:ss&quot; a.&quot;m&quot;./p.&quot;m\.;@"/>
    <numFmt numFmtId="173" formatCode="[$-F800]dddd\,\ mmmm\ dd\,\ yyyy"/>
    <numFmt numFmtId="174" formatCode="#,##0.00&quot;    &quot;;\-#,##0.00&quot;    &quot;;\-#&quot;    &quot;;@\ "/>
    <numFmt numFmtId="175" formatCode="_(&quot;$&quot;\ * #,##0.00_);_(&quot;$&quot;\ * \(#,##0.00\);_(&quot;$&quot;\ * &quot;-&quot;??_);_(@_)"/>
    <numFmt numFmtId="176" formatCode="#,##0&quot;    &quot;;\-#,##0&quot;    &quot;;\-#&quot;    &quot;;@\ "/>
    <numFmt numFmtId="177" formatCode="&quot;$&quot;\ #,##0"/>
    <numFmt numFmtId="178" formatCode="0.0"/>
    <numFmt numFmtId="179" formatCode="[$$-240A]#,##0;[Red]\([$$-240A]#,##0\)"/>
  </numFmts>
  <fonts count="79"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b/>
      <sz val="12"/>
      <color indexed="8"/>
      <name val="Arial"/>
      <family val="2"/>
    </font>
    <font>
      <sz val="12"/>
      <name val="Arial"/>
      <family val="2"/>
    </font>
    <font>
      <b/>
      <sz val="9"/>
      <color indexed="8"/>
      <name val="Arial"/>
      <family val="2"/>
    </font>
    <font>
      <sz val="12"/>
      <color indexed="8"/>
      <name val="Arial"/>
      <family val="2"/>
    </font>
    <font>
      <sz val="12"/>
      <color theme="1"/>
      <name val="Calibri"/>
      <family val="2"/>
      <scheme val="minor"/>
    </font>
    <font>
      <b/>
      <sz val="12"/>
      <name val="Arial"/>
      <family val="2"/>
    </font>
    <font>
      <b/>
      <sz val="12"/>
      <color theme="1"/>
      <name val="Calibri"/>
      <family val="2"/>
      <scheme val="minor"/>
    </font>
    <font>
      <sz val="12"/>
      <color indexed="16"/>
      <name val="Arial"/>
      <family val="2"/>
    </font>
    <font>
      <b/>
      <sz val="30"/>
      <name val="Arial"/>
      <family val="2"/>
    </font>
    <font>
      <b/>
      <sz val="14"/>
      <color indexed="53"/>
      <name val="Arial"/>
      <family val="2"/>
    </font>
    <font>
      <b/>
      <sz val="14"/>
      <color rgb="FFFF0000"/>
      <name val="Arial"/>
      <family val="2"/>
    </font>
    <font>
      <sz val="14"/>
      <color rgb="FFFF0000"/>
      <name val="Arial"/>
      <family val="2"/>
    </font>
    <font>
      <sz val="14"/>
      <name val="Arial"/>
      <family val="2"/>
    </font>
    <font>
      <sz val="14"/>
      <color indexed="8"/>
      <name val="Arial"/>
      <family val="2"/>
    </font>
    <font>
      <b/>
      <sz val="14"/>
      <color indexed="10"/>
      <name val="Arial"/>
      <family val="2"/>
    </font>
    <font>
      <sz val="14"/>
      <color rgb="FF00000A"/>
      <name val="Calibri"/>
      <family val="2"/>
    </font>
    <font>
      <sz val="13.5"/>
      <color rgb="FF00000A"/>
      <name val="Calibri"/>
      <family val="2"/>
    </font>
    <font>
      <sz val="10"/>
      <color rgb="FF000000"/>
      <name val="Arial"/>
      <family val="2"/>
    </font>
    <font>
      <b/>
      <sz val="11"/>
      <color theme="1"/>
      <name val="Calibri"/>
      <family val="2"/>
      <scheme val="minor"/>
    </font>
    <font>
      <b/>
      <sz val="11"/>
      <color indexed="8"/>
      <name val="Arial"/>
      <family val="2"/>
    </font>
    <font>
      <sz val="10"/>
      <color theme="0"/>
      <name val="Arial"/>
      <family val="2"/>
    </font>
    <font>
      <sz val="8"/>
      <name val="Calibri"/>
      <family val="2"/>
      <scheme val="minor"/>
    </font>
    <font>
      <b/>
      <sz val="14"/>
      <color theme="1"/>
      <name val="Arial"/>
      <family val="2"/>
    </font>
    <font>
      <sz val="14"/>
      <color theme="1"/>
      <name val="Arial"/>
      <family val="2"/>
    </font>
    <font>
      <sz val="14"/>
      <color indexed="53"/>
      <name val="Arial"/>
      <family val="2"/>
    </font>
    <font>
      <sz val="11"/>
      <color theme="1"/>
      <name val="Calibri"/>
      <family val="2"/>
      <scheme val="minor"/>
    </font>
    <font>
      <b/>
      <i/>
      <sz val="48"/>
      <color indexed="8"/>
      <name val="Calibri"/>
      <family val="2"/>
    </font>
    <font>
      <b/>
      <sz val="24"/>
      <color indexed="8"/>
      <name val="Calibri"/>
      <family val="2"/>
    </font>
    <font>
      <b/>
      <sz val="24"/>
      <color rgb="FF000000"/>
      <name val="Calibri"/>
      <family val="2"/>
    </font>
    <font>
      <b/>
      <sz val="12"/>
      <color indexed="8"/>
      <name val="Calibri"/>
      <family val="2"/>
    </font>
    <font>
      <b/>
      <sz val="20"/>
      <color indexed="8"/>
      <name val="Calibri"/>
      <family val="2"/>
    </font>
    <font>
      <sz val="14"/>
      <color indexed="8"/>
      <name val="Calibri"/>
      <family val="2"/>
    </font>
    <font>
      <sz val="15"/>
      <color indexed="8"/>
      <name val="Calibri"/>
      <family val="2"/>
    </font>
    <font>
      <sz val="16"/>
      <color indexed="8"/>
      <name val="Calibri"/>
      <family val="2"/>
    </font>
    <font>
      <b/>
      <sz val="16"/>
      <color rgb="FF000000"/>
      <name val="Calibri"/>
      <family val="2"/>
    </font>
    <font>
      <sz val="16"/>
      <color rgb="FF000000"/>
      <name val="Calibri"/>
      <family val="2"/>
    </font>
    <font>
      <sz val="12"/>
      <color indexed="8"/>
      <name val="Calibri"/>
      <family val="2"/>
    </font>
    <font>
      <sz val="18"/>
      <name val="Arial"/>
      <family val="2"/>
    </font>
    <font>
      <b/>
      <sz val="16"/>
      <color indexed="8"/>
      <name val="Calibri"/>
      <family val="2"/>
    </font>
    <font>
      <b/>
      <sz val="14"/>
      <color indexed="12"/>
      <name val="Calibri"/>
      <family val="2"/>
    </font>
    <font>
      <b/>
      <sz val="14"/>
      <color indexed="12"/>
      <name val="Arial"/>
      <family val="2"/>
    </font>
    <font>
      <sz val="20"/>
      <name val="Arial"/>
      <family val="2"/>
    </font>
    <font>
      <sz val="10"/>
      <color indexed="8"/>
      <name val="Arial"/>
      <family val="2"/>
    </font>
    <font>
      <sz val="24"/>
      <name val="Arial"/>
      <family val="2"/>
    </font>
    <font>
      <sz val="26"/>
      <name val="Arial"/>
      <family val="2"/>
    </font>
    <font>
      <sz val="16"/>
      <color rgb="FF000000"/>
      <name val="Calibri"/>
      <family val="2"/>
      <scheme val="minor"/>
    </font>
    <font>
      <sz val="11"/>
      <color indexed="8"/>
      <name val="Calibri"/>
      <family val="2"/>
    </font>
    <font>
      <b/>
      <sz val="14"/>
      <color indexed="8"/>
      <name val="Calibri"/>
      <family val="2"/>
    </font>
    <font>
      <b/>
      <sz val="18"/>
      <color indexed="8"/>
      <name val="Calibri"/>
      <family val="2"/>
    </font>
    <font>
      <b/>
      <sz val="22"/>
      <color indexed="8"/>
      <name val="Calibri"/>
      <family val="2"/>
    </font>
    <font>
      <b/>
      <sz val="66"/>
      <color indexed="8"/>
      <name val="Calibri"/>
      <family val="2"/>
    </font>
    <font>
      <b/>
      <sz val="20"/>
      <name val="Arial"/>
      <family val="2"/>
    </font>
    <font>
      <sz val="15"/>
      <name val="Arial"/>
      <family val="2"/>
    </font>
    <font>
      <b/>
      <sz val="15"/>
      <name val="Arial"/>
      <family val="2"/>
    </font>
    <font>
      <b/>
      <sz val="13"/>
      <name val="Arial"/>
      <family val="2"/>
    </font>
    <font>
      <sz val="22"/>
      <name val="Arial"/>
      <family val="2"/>
    </font>
    <font>
      <b/>
      <sz val="15"/>
      <color theme="0"/>
      <name val="Arial"/>
      <family val="2"/>
    </font>
    <font>
      <b/>
      <sz val="12"/>
      <color theme="0"/>
      <name val="Arial"/>
      <family val="2"/>
    </font>
    <font>
      <sz val="11"/>
      <name val="Arial"/>
      <family val="2"/>
    </font>
    <font>
      <sz val="8"/>
      <name val="Arial"/>
      <family val="2"/>
    </font>
    <font>
      <b/>
      <sz val="15"/>
      <color rgb="FFFFFFFF"/>
      <name val="Arial"/>
      <family val="2"/>
    </font>
    <font>
      <b/>
      <sz val="24"/>
      <name val="Arial"/>
      <family val="2"/>
    </font>
    <font>
      <b/>
      <sz val="48"/>
      <color indexed="8"/>
      <name val="Calibri"/>
      <family val="2"/>
    </font>
    <font>
      <b/>
      <sz val="36"/>
      <color indexed="8"/>
      <name val="Calibri"/>
      <family val="2"/>
    </font>
    <font>
      <sz val="24"/>
      <color indexed="8"/>
      <name val="Calibri"/>
      <family val="2"/>
    </font>
    <font>
      <sz val="15"/>
      <color indexed="8"/>
      <name val="Arial"/>
      <family val="2"/>
    </font>
    <font>
      <sz val="16"/>
      <name val="Arial"/>
      <family val="2"/>
    </font>
    <font>
      <b/>
      <sz val="48"/>
      <color theme="0"/>
      <name val="Calibri"/>
      <family val="2"/>
    </font>
    <font>
      <b/>
      <sz val="20"/>
      <color theme="0"/>
      <name val="Calibri"/>
      <family val="2"/>
    </font>
    <font>
      <b/>
      <sz val="11"/>
      <color theme="1"/>
      <name val="Arial"/>
      <family val="2"/>
    </font>
    <font>
      <sz val="11"/>
      <color theme="1"/>
      <name val="Arial"/>
      <family val="2"/>
    </font>
    <font>
      <sz val="11"/>
      <color theme="0"/>
      <name val="Calibri"/>
      <family val="2"/>
      <scheme val="minor"/>
    </font>
  </fonts>
  <fills count="45">
    <fill>
      <patternFill patternType="none"/>
    </fill>
    <fill>
      <patternFill patternType="gray125"/>
    </fill>
    <fill>
      <patternFill patternType="solid">
        <fgColor rgb="FFFFC000"/>
        <bgColor indexed="22"/>
      </patternFill>
    </fill>
    <fill>
      <patternFill patternType="solid">
        <fgColor indexed="31"/>
        <bgColor indexed="22"/>
      </patternFill>
    </fill>
    <fill>
      <patternFill patternType="solid">
        <fgColor theme="0"/>
        <bgColor indexed="22"/>
      </patternFill>
    </fill>
    <fill>
      <patternFill patternType="solid">
        <fgColor indexed="9"/>
        <bgColor indexed="26"/>
      </patternFill>
    </fill>
    <fill>
      <patternFill patternType="solid">
        <fgColor theme="0"/>
        <bgColor indexed="26"/>
      </patternFill>
    </fill>
    <fill>
      <patternFill patternType="solid">
        <fgColor theme="0"/>
        <bgColor indexed="64"/>
      </patternFill>
    </fill>
    <fill>
      <patternFill patternType="solid">
        <fgColor theme="9" tint="0.59999389629810485"/>
        <bgColor indexed="64"/>
      </patternFill>
    </fill>
    <fill>
      <patternFill patternType="solid">
        <fgColor rgb="FFFFFF00"/>
        <bgColor indexed="26"/>
      </patternFill>
    </fill>
    <fill>
      <patternFill patternType="solid">
        <fgColor theme="9" tint="0.39997558519241921"/>
        <bgColor indexed="22"/>
      </patternFill>
    </fill>
    <fill>
      <patternFill patternType="solid">
        <fgColor rgb="FFFFFF00"/>
        <bgColor indexed="64"/>
      </patternFill>
    </fill>
    <fill>
      <patternFill patternType="solid">
        <fgColor rgb="FF00B0F0"/>
        <bgColor indexed="22"/>
      </patternFill>
    </fill>
    <fill>
      <patternFill patternType="solid">
        <fgColor indexed="43"/>
        <bgColor indexed="13"/>
      </patternFill>
    </fill>
    <fill>
      <patternFill patternType="solid">
        <fgColor rgb="FFFF0000"/>
        <bgColor indexed="64"/>
      </patternFill>
    </fill>
    <fill>
      <patternFill patternType="solid">
        <fgColor rgb="FFFFFF00"/>
        <bgColor indexed="10"/>
      </patternFill>
    </fill>
    <fill>
      <patternFill patternType="solid">
        <fgColor theme="7" tint="0.59999389629810485"/>
        <bgColor indexed="64"/>
      </patternFill>
    </fill>
    <fill>
      <patternFill patternType="solid">
        <fgColor theme="4" tint="0.59999389629810485"/>
        <bgColor indexed="64"/>
      </patternFill>
    </fill>
    <fill>
      <patternFill patternType="solid">
        <fgColor theme="0"/>
        <bgColor indexed="10"/>
      </patternFill>
    </fill>
    <fill>
      <patternFill patternType="solid">
        <fgColor rgb="FF00B0F0"/>
        <bgColor indexed="64"/>
      </patternFill>
    </fill>
    <fill>
      <patternFill patternType="solid">
        <fgColor theme="4" tint="0.59999389629810485"/>
        <bgColor indexed="26"/>
      </patternFill>
    </fill>
    <fill>
      <patternFill patternType="solid">
        <fgColor indexed="13"/>
        <bgColor indexed="34"/>
      </patternFill>
    </fill>
    <fill>
      <patternFill patternType="solid">
        <fgColor rgb="FF92D050"/>
        <bgColor indexed="34"/>
      </patternFill>
    </fill>
    <fill>
      <patternFill patternType="solid">
        <fgColor indexed="8"/>
        <bgColor indexed="58"/>
      </patternFill>
    </fill>
    <fill>
      <patternFill patternType="solid">
        <fgColor indexed="22"/>
        <bgColor indexed="31"/>
      </patternFill>
    </fill>
    <fill>
      <patternFill patternType="solid">
        <fgColor rgb="FFFFFF00"/>
        <bgColor indexed="31"/>
      </patternFill>
    </fill>
    <fill>
      <patternFill patternType="solid">
        <fgColor rgb="FFFF66FF"/>
        <bgColor indexed="64"/>
      </patternFill>
    </fill>
    <fill>
      <patternFill patternType="solid">
        <fgColor theme="0"/>
        <bgColor indexed="31"/>
      </patternFill>
    </fill>
    <fill>
      <patternFill patternType="solid">
        <fgColor rgb="FFC0C0C0"/>
        <bgColor rgb="FFCCCCFF"/>
      </patternFill>
    </fill>
    <fill>
      <patternFill patternType="solid">
        <fgColor theme="1"/>
        <bgColor indexed="31"/>
      </patternFill>
    </fill>
    <fill>
      <patternFill patternType="solid">
        <fgColor theme="1"/>
        <bgColor indexed="64"/>
      </patternFill>
    </fill>
    <fill>
      <patternFill patternType="solid">
        <fgColor indexed="44"/>
        <bgColor indexed="31"/>
      </patternFill>
    </fill>
    <fill>
      <patternFill patternType="solid">
        <fgColor indexed="40"/>
        <bgColor indexed="49"/>
      </patternFill>
    </fill>
    <fill>
      <patternFill patternType="solid">
        <fgColor indexed="51"/>
        <bgColor indexed="13"/>
      </patternFill>
    </fill>
    <fill>
      <patternFill patternType="solid">
        <fgColor indexed="55"/>
        <bgColor indexed="23"/>
      </patternFill>
    </fill>
    <fill>
      <patternFill patternType="solid">
        <fgColor rgb="FF7030A0"/>
        <bgColor indexed="64"/>
      </patternFill>
    </fill>
    <fill>
      <patternFill patternType="solid">
        <fgColor rgb="FF7030A0"/>
        <bgColor indexed="26"/>
      </patternFill>
    </fill>
    <fill>
      <patternFill patternType="solid">
        <fgColor theme="8" tint="0.59999389629810485"/>
        <bgColor indexed="26"/>
      </patternFill>
    </fill>
    <fill>
      <patternFill patternType="solid">
        <fgColor theme="0"/>
        <bgColor indexed="23"/>
      </patternFill>
    </fill>
    <fill>
      <patternFill patternType="solid">
        <fgColor rgb="FF7030A0"/>
        <bgColor rgb="FF000000"/>
      </patternFill>
    </fill>
    <fill>
      <patternFill patternType="solid">
        <fgColor rgb="FFFF0000"/>
        <bgColor indexed="23"/>
      </patternFill>
    </fill>
    <fill>
      <patternFill patternType="solid">
        <fgColor theme="4" tint="0.79998168889431442"/>
        <bgColor indexed="26"/>
      </patternFill>
    </fill>
    <fill>
      <patternFill patternType="solid">
        <fgColor theme="9" tint="0.59999389629810485"/>
        <bgColor indexed="22"/>
      </patternFill>
    </fill>
    <fill>
      <patternFill patternType="solid">
        <fgColor theme="7" tint="-0.249977111117893"/>
        <bgColor indexed="64"/>
      </patternFill>
    </fill>
    <fill>
      <patternFill patternType="solid">
        <fgColor theme="7" tint="-0.249977111117893"/>
        <bgColor indexed="26"/>
      </patternFill>
    </fill>
  </fills>
  <borders count="65">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hair">
        <color indexed="8"/>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thin">
        <color indexed="8"/>
      </left>
      <right style="thin">
        <color indexed="8"/>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8"/>
      </left>
      <right/>
      <top style="thin">
        <color indexed="8"/>
      </top>
      <bottom/>
      <diagonal/>
    </border>
    <border>
      <left style="hair">
        <color indexed="8"/>
      </left>
      <right/>
      <top style="medium">
        <color indexed="64"/>
      </top>
      <bottom/>
      <diagonal/>
    </border>
    <border>
      <left/>
      <right/>
      <top style="medium">
        <color indexed="64"/>
      </top>
      <bottom/>
      <diagonal/>
    </border>
    <border>
      <left/>
      <right style="hair">
        <color indexed="8"/>
      </right>
      <top style="hair">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thick">
        <color indexed="8"/>
      </top>
      <bottom style="medium">
        <color indexed="8"/>
      </bottom>
      <diagonal/>
    </border>
    <border>
      <left style="thin">
        <color indexed="8"/>
      </left>
      <right style="thin">
        <color indexed="8"/>
      </right>
      <top style="thick">
        <color indexed="8"/>
      </top>
      <bottom style="medium">
        <color indexed="8"/>
      </bottom>
      <diagonal/>
    </border>
    <border>
      <left style="thin">
        <color indexed="8"/>
      </left>
      <right/>
      <top style="thick">
        <color indexed="8"/>
      </top>
      <bottom style="medium">
        <color indexed="8"/>
      </bottom>
      <diagonal/>
    </border>
    <border>
      <left style="medium">
        <color indexed="8"/>
      </left>
      <right style="medium">
        <color indexed="8"/>
      </right>
      <top style="thick">
        <color indexed="8"/>
      </top>
      <bottom style="medium">
        <color indexed="8"/>
      </bottom>
      <diagonal/>
    </border>
    <border>
      <left style="thick">
        <color indexed="8"/>
      </left>
      <right style="thick">
        <color indexed="8"/>
      </right>
      <top style="thick">
        <color indexed="8"/>
      </top>
      <bottom style="thick">
        <color indexed="8"/>
      </bottom>
      <diagonal/>
    </border>
    <border>
      <left style="thick">
        <color indexed="8"/>
      </left>
      <right/>
      <top style="thick">
        <color indexed="8"/>
      </top>
      <bottom style="thick">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rgb="FF000000"/>
      </left>
      <right style="thick">
        <color rgb="FF000000"/>
      </right>
      <top style="thick">
        <color rgb="FF000000"/>
      </top>
      <bottom style="thick">
        <color rgb="FF000000"/>
      </bottom>
      <diagonal/>
    </border>
    <border>
      <left/>
      <right/>
      <top style="thick">
        <color indexed="8"/>
      </top>
      <bottom style="thick">
        <color indexed="8"/>
      </bottom>
      <diagonal/>
    </border>
    <border>
      <left/>
      <right style="thin">
        <color indexed="64"/>
      </right>
      <top style="thick">
        <color indexed="8"/>
      </top>
      <bottom style="thick">
        <color indexed="8"/>
      </bottom>
      <diagonal/>
    </border>
    <border>
      <left style="thick">
        <color indexed="8"/>
      </left>
      <right style="thick">
        <color indexed="8"/>
      </right>
      <top style="thick">
        <color indexed="8"/>
      </top>
      <bottom/>
      <diagonal/>
    </border>
    <border>
      <left style="medium">
        <color indexed="64"/>
      </left>
      <right style="thick">
        <color indexed="8"/>
      </right>
      <top style="medium">
        <color indexed="64"/>
      </top>
      <bottom style="medium">
        <color indexed="64"/>
      </bottom>
      <diagonal/>
    </border>
    <border>
      <left style="thick">
        <color indexed="8"/>
      </left>
      <right style="thick">
        <color indexed="8"/>
      </right>
      <top style="medium">
        <color indexed="64"/>
      </top>
      <bottom style="medium">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top/>
      <bottom style="medium">
        <color indexed="64"/>
      </bottom>
      <diagonal/>
    </border>
    <border>
      <left/>
      <right/>
      <top/>
      <bottom style="medium">
        <color indexed="64"/>
      </bottom>
      <diagonal/>
    </border>
    <border>
      <left style="medium">
        <color indexed="64"/>
      </left>
      <right style="thick">
        <color indexed="8"/>
      </right>
      <top style="medium">
        <color indexed="64"/>
      </top>
      <bottom/>
      <diagonal/>
    </border>
    <border>
      <left style="thick">
        <color indexed="8"/>
      </left>
      <right style="thick">
        <color indexed="8"/>
      </right>
      <top style="medium">
        <color indexed="64"/>
      </top>
      <bottom/>
      <diagonal/>
    </border>
    <border>
      <left style="thick">
        <color indexed="8"/>
      </left>
      <right style="medium">
        <color indexed="64"/>
      </right>
      <top style="medium">
        <color indexed="64"/>
      </top>
      <bottom/>
      <diagonal/>
    </border>
    <border>
      <left style="thick">
        <color indexed="8"/>
      </left>
      <right style="thick">
        <color indexed="8"/>
      </right>
      <top/>
      <bottom style="thick">
        <color indexed="8"/>
      </bottom>
      <diagonal/>
    </border>
    <border>
      <left style="thick">
        <color indexed="8"/>
      </left>
      <right/>
      <top/>
      <bottom style="thick">
        <color indexed="8"/>
      </bottom>
      <diagonal/>
    </border>
    <border>
      <left/>
      <right style="thin">
        <color indexed="64"/>
      </right>
      <top/>
      <bottom style="thick">
        <color indexed="8"/>
      </bottom>
      <diagonal/>
    </border>
    <border>
      <left/>
      <right/>
      <top style="medium">
        <color indexed="8"/>
      </top>
      <bottom/>
      <diagonal/>
    </border>
    <border>
      <left style="thin">
        <color indexed="64"/>
      </left>
      <right/>
      <top/>
      <bottom/>
      <diagonal/>
    </border>
  </borders>
  <cellStyleXfs count="5">
    <xf numFmtId="0" fontId="0" fillId="0" borderId="0"/>
    <xf numFmtId="0" fontId="6" fillId="0" borderId="0"/>
    <xf numFmtId="165" fontId="32" fillId="0" borderId="0" applyFont="0" applyFill="0" applyBorder="0" applyAlignment="0" applyProtection="0"/>
    <xf numFmtId="164" fontId="32" fillId="0" borderId="0" applyFont="0" applyFill="0" applyBorder="0" applyAlignment="0" applyProtection="0"/>
    <xf numFmtId="174" fontId="53" fillId="0" borderId="0" applyFill="0" applyBorder="0" applyAlignment="0" applyProtection="0"/>
  </cellStyleXfs>
  <cellXfs count="463">
    <xf numFmtId="0" fontId="0" fillId="0" borderId="0" xfId="0"/>
    <xf numFmtId="0" fontId="8" fillId="0" borderId="0" xfId="1" applyFont="1"/>
    <xf numFmtId="0" fontId="6" fillId="0" borderId="0" xfId="1"/>
    <xf numFmtId="0" fontId="7" fillId="2" borderId="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3" borderId="5" xfId="1" applyFont="1" applyFill="1" applyBorder="1" applyAlignment="1">
      <alignment horizontal="center" vertical="center"/>
    </xf>
    <xf numFmtId="0" fontId="7" fillId="3" borderId="5"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center" vertical="center" wrapText="1"/>
    </xf>
    <xf numFmtId="0" fontId="7" fillId="5" borderId="5" xfId="0" applyFont="1" applyFill="1" applyBorder="1" applyAlignment="1">
      <alignment horizontal="center" vertical="center"/>
    </xf>
    <xf numFmtId="0" fontId="10" fillId="5" borderId="6" xfId="0" applyFont="1" applyFill="1" applyBorder="1" applyAlignment="1">
      <alignment horizontal="center" vertical="center"/>
    </xf>
    <xf numFmtId="166" fontId="10" fillId="5" borderId="6" xfId="1" applyNumberFormat="1" applyFont="1" applyFill="1" applyBorder="1" applyAlignment="1">
      <alignment horizontal="center" vertical="center"/>
    </xf>
    <xf numFmtId="0" fontId="7" fillId="6" borderId="7" xfId="0" applyFont="1" applyFill="1" applyBorder="1" applyAlignment="1">
      <alignment horizontal="center" vertical="center"/>
    </xf>
    <xf numFmtId="0" fontId="11" fillId="7" borderId="7" xfId="0" applyFont="1" applyFill="1" applyBorder="1" applyAlignment="1">
      <alignment horizontal="center"/>
    </xf>
    <xf numFmtId="0" fontId="10" fillId="7" borderId="7" xfId="0" applyFont="1" applyFill="1" applyBorder="1" applyAlignment="1">
      <alignment horizontal="center" vertical="center"/>
    </xf>
    <xf numFmtId="0" fontId="10" fillId="5" borderId="7" xfId="0" applyFont="1" applyFill="1" applyBorder="1" applyAlignment="1">
      <alignment horizontal="center" vertical="center"/>
    </xf>
    <xf numFmtId="166" fontId="10" fillId="6" borderId="7" xfId="1" applyNumberFormat="1" applyFont="1" applyFill="1" applyBorder="1" applyAlignment="1">
      <alignment horizontal="center" vertical="center"/>
    </xf>
    <xf numFmtId="0" fontId="12" fillId="8" borderId="7" xfId="1" applyFont="1" applyFill="1" applyBorder="1" applyAlignment="1">
      <alignment horizontal="center"/>
    </xf>
    <xf numFmtId="0" fontId="11" fillId="0" borderId="7" xfId="0" applyFont="1" applyBorder="1"/>
    <xf numFmtId="0" fontId="11" fillId="0" borderId="7" xfId="0" applyFont="1" applyBorder="1" applyAlignment="1">
      <alignment horizontal="center" vertical="center"/>
    </xf>
    <xf numFmtId="0" fontId="10" fillId="5" borderId="4" xfId="0" applyFont="1" applyFill="1" applyBorder="1" applyAlignment="1">
      <alignment horizontal="center" vertical="center"/>
    </xf>
    <xf numFmtId="0" fontId="6" fillId="7" borderId="0" xfId="1" applyFill="1"/>
    <xf numFmtId="0" fontId="6" fillId="7" borderId="0" xfId="1" applyFill="1" applyAlignment="1">
      <alignment horizontal="center" vertical="center"/>
    </xf>
    <xf numFmtId="0" fontId="10" fillId="6" borderId="0" xfId="1" applyFont="1" applyFill="1" applyAlignment="1">
      <alignment horizontal="center" vertical="center"/>
    </xf>
    <xf numFmtId="166" fontId="10" fillId="6" borderId="0" xfId="1" applyNumberFormat="1" applyFont="1" applyFill="1" applyAlignment="1">
      <alignment horizontal="center" vertical="center"/>
    </xf>
    <xf numFmtId="0" fontId="7" fillId="5" borderId="7" xfId="0" applyFont="1" applyFill="1" applyBorder="1" applyAlignment="1">
      <alignment horizontal="center" vertical="center"/>
    </xf>
    <xf numFmtId="0" fontId="12" fillId="7" borderId="7" xfId="1" applyFont="1" applyFill="1" applyBorder="1" applyAlignment="1">
      <alignment horizontal="center"/>
    </xf>
    <xf numFmtId="0" fontId="10" fillId="6" borderId="4" xfId="0" applyFont="1" applyFill="1" applyBorder="1" applyAlignment="1">
      <alignment horizontal="center" vertical="center"/>
    </xf>
    <xf numFmtId="0" fontId="10" fillId="5" borderId="7" xfId="1" applyFont="1" applyFill="1" applyBorder="1" applyAlignment="1">
      <alignment horizontal="center" vertical="center"/>
    </xf>
    <xf numFmtId="0" fontId="12" fillId="8" borderId="8" xfId="1" applyFont="1" applyFill="1" applyBorder="1" applyAlignment="1">
      <alignment horizontal="center"/>
    </xf>
    <xf numFmtId="0" fontId="11" fillId="0" borderId="8" xfId="0" applyFont="1" applyBorder="1"/>
    <xf numFmtId="0" fontId="11" fillId="0" borderId="8" xfId="0" applyFont="1" applyBorder="1" applyAlignment="1">
      <alignment horizontal="center" vertical="center"/>
    </xf>
    <xf numFmtId="0" fontId="7" fillId="5" borderId="7" xfId="1" applyFont="1" applyFill="1" applyBorder="1" applyAlignment="1">
      <alignment horizontal="center" vertical="center"/>
    </xf>
    <xf numFmtId="0" fontId="12" fillId="7" borderId="0" xfId="1" applyFont="1" applyFill="1" applyAlignment="1">
      <alignment horizontal="center"/>
    </xf>
    <xf numFmtId="0" fontId="11" fillId="0" borderId="0" xfId="0" applyFont="1"/>
    <xf numFmtId="0" fontId="10" fillId="5" borderId="0" xfId="0" applyFont="1" applyFill="1" applyAlignment="1">
      <alignment horizontal="center" vertical="center"/>
    </xf>
    <xf numFmtId="166" fontId="10" fillId="6" borderId="8" xfId="1" applyNumberFormat="1" applyFont="1" applyFill="1" applyBorder="1" applyAlignment="1">
      <alignment horizontal="center" vertical="center"/>
    </xf>
    <xf numFmtId="0" fontId="6" fillId="0" borderId="7" xfId="1" applyBorder="1"/>
    <xf numFmtId="166" fontId="8" fillId="0" borderId="7" xfId="1" applyNumberFormat="1" applyFont="1" applyBorder="1"/>
    <xf numFmtId="0" fontId="12" fillId="8" borderId="7" xfId="1" applyFont="1" applyFill="1" applyBorder="1" applyAlignment="1">
      <alignment horizontal="center" vertical="center"/>
    </xf>
    <xf numFmtId="0" fontId="8" fillId="0" borderId="7" xfId="1" applyFont="1" applyBorder="1" applyAlignment="1">
      <alignment horizontal="center" vertical="center"/>
    </xf>
    <xf numFmtId="0" fontId="13" fillId="0" borderId="7" xfId="0" applyFont="1" applyBorder="1" applyAlignment="1">
      <alignment horizontal="center" vertical="center"/>
    </xf>
    <xf numFmtId="0" fontId="10" fillId="5" borderId="4" xfId="1" applyFont="1" applyFill="1" applyBorder="1" applyAlignment="1">
      <alignment horizontal="center" vertical="center"/>
    </xf>
    <xf numFmtId="166" fontId="8" fillId="7" borderId="7" xfId="1" applyNumberFormat="1" applyFont="1" applyFill="1" applyBorder="1"/>
    <xf numFmtId="0" fontId="7" fillId="5" borderId="1" xfId="0" applyFont="1" applyFill="1" applyBorder="1" applyAlignment="1">
      <alignment horizontal="center" vertical="center"/>
    </xf>
    <xf numFmtId="0" fontId="7" fillId="5" borderId="1" xfId="1" applyFont="1" applyFill="1" applyBorder="1" applyAlignment="1">
      <alignment horizontal="center" vertical="center"/>
    </xf>
    <xf numFmtId="0" fontId="10" fillId="5" borderId="4" xfId="1" applyFont="1" applyFill="1" applyBorder="1" applyAlignment="1">
      <alignment horizontal="center" vertical="center" wrapText="1"/>
    </xf>
    <xf numFmtId="0" fontId="7" fillId="6" borderId="8" xfId="0" applyFont="1" applyFill="1" applyBorder="1" applyAlignment="1">
      <alignment horizontal="center" vertical="center"/>
    </xf>
    <xf numFmtId="0" fontId="11" fillId="7" borderId="8" xfId="0" applyFont="1" applyFill="1" applyBorder="1" applyAlignment="1">
      <alignment horizontal="center"/>
    </xf>
    <xf numFmtId="0" fontId="10" fillId="7" borderId="8" xfId="0" applyFont="1" applyFill="1" applyBorder="1" applyAlignment="1">
      <alignment horizontal="center" vertical="center"/>
    </xf>
    <xf numFmtId="0" fontId="7" fillId="5" borderId="9" xfId="1" applyFont="1" applyFill="1" applyBorder="1" applyAlignment="1">
      <alignment horizontal="center" vertical="center" wrapText="1"/>
    </xf>
    <xf numFmtId="0" fontId="10" fillId="5" borderId="9" xfId="1" applyFont="1" applyFill="1" applyBorder="1" applyAlignment="1">
      <alignment horizontal="center" vertical="center" wrapText="1"/>
    </xf>
    <xf numFmtId="167" fontId="10" fillId="9" borderId="9" xfId="1" applyNumberFormat="1" applyFont="1" applyFill="1" applyBorder="1" applyAlignment="1">
      <alignment horizontal="center" vertical="center" wrapText="1"/>
    </xf>
    <xf numFmtId="0" fontId="12" fillId="0" borderId="7" xfId="1" applyFont="1" applyBorder="1" applyAlignment="1">
      <alignment horizontal="center"/>
    </xf>
    <xf numFmtId="0" fontId="8" fillId="7" borderId="8" xfId="1" applyFont="1" applyFill="1" applyBorder="1"/>
    <xf numFmtId="0" fontId="12" fillId="7" borderId="7" xfId="1" applyFont="1" applyFill="1" applyBorder="1" applyAlignment="1">
      <alignment horizontal="center" vertical="center"/>
    </xf>
    <xf numFmtId="0" fontId="10" fillId="6" borderId="7" xfId="0" applyFont="1" applyFill="1" applyBorder="1" applyAlignment="1">
      <alignment horizontal="center" vertical="center"/>
    </xf>
    <xf numFmtId="0" fontId="8" fillId="7" borderId="7" xfId="1" applyFont="1" applyFill="1" applyBorder="1"/>
    <xf numFmtId="0" fontId="7" fillId="10" borderId="1" xfId="1" applyFont="1" applyFill="1" applyBorder="1" applyAlignment="1">
      <alignment horizontal="center" vertical="center"/>
    </xf>
    <xf numFmtId="0" fontId="7" fillId="10" borderId="1" xfId="1" applyFont="1" applyFill="1" applyBorder="1" applyAlignment="1">
      <alignment horizontal="center" vertical="center" wrapText="1"/>
    </xf>
    <xf numFmtId="0" fontId="8" fillId="0" borderId="13" xfId="1" applyFont="1" applyBorder="1"/>
    <xf numFmtId="166" fontId="8" fillId="11" borderId="13" xfId="1" applyNumberFormat="1" applyFont="1" applyFill="1" applyBorder="1"/>
    <xf numFmtId="0" fontId="8" fillId="0" borderId="14" xfId="1" applyFont="1" applyBorder="1"/>
    <xf numFmtId="166" fontId="8" fillId="11" borderId="14" xfId="1" applyNumberFormat="1" applyFont="1" applyFill="1" applyBorder="1"/>
    <xf numFmtId="0" fontId="6" fillId="7" borderId="14" xfId="1" applyFill="1" applyBorder="1"/>
    <xf numFmtId="166" fontId="10" fillId="6" borderId="12" xfId="1" applyNumberFormat="1" applyFont="1" applyFill="1" applyBorder="1" applyAlignment="1">
      <alignment horizontal="center" vertical="center"/>
    </xf>
    <xf numFmtId="0" fontId="8" fillId="0" borderId="7" xfId="1" applyFont="1" applyBorder="1" applyAlignment="1">
      <alignment horizontal="center"/>
    </xf>
    <xf numFmtId="0" fontId="10" fillId="5" borderId="7" xfId="1" applyFont="1" applyFill="1" applyBorder="1" applyAlignment="1">
      <alignment horizontal="center" vertical="center" wrapText="1"/>
    </xf>
    <xf numFmtId="0" fontId="10" fillId="5" borderId="1" xfId="0" applyFont="1" applyFill="1" applyBorder="1" applyAlignment="1">
      <alignment horizontal="center" vertical="center" wrapText="1"/>
    </xf>
    <xf numFmtId="0" fontId="7" fillId="5" borderId="2" xfId="0" applyFont="1" applyFill="1" applyBorder="1" applyAlignment="1">
      <alignment horizontal="center" vertical="center"/>
    </xf>
    <xf numFmtId="0" fontId="11" fillId="0" borderId="7" xfId="0" applyFont="1" applyBorder="1" applyAlignment="1">
      <alignment horizontal="center"/>
    </xf>
    <xf numFmtId="0" fontId="14" fillId="5" borderId="6" xfId="0" applyFont="1" applyFill="1" applyBorder="1" applyAlignment="1">
      <alignment horizontal="center" vertical="center"/>
    </xf>
    <xf numFmtId="0" fontId="10" fillId="5" borderId="8" xfId="1" applyFont="1" applyFill="1" applyBorder="1" applyAlignment="1">
      <alignment horizontal="center" vertical="center" wrapText="1"/>
    </xf>
    <xf numFmtId="0" fontId="14" fillId="5" borderId="4" xfId="0" applyFont="1" applyFill="1" applyBorder="1" applyAlignment="1">
      <alignment horizontal="center" vertical="center"/>
    </xf>
    <xf numFmtId="0" fontId="7" fillId="12" borderId="1" xfId="1" applyFont="1" applyFill="1" applyBorder="1" applyAlignment="1">
      <alignment horizontal="center" vertical="center"/>
    </xf>
    <xf numFmtId="0" fontId="7" fillId="12" borderId="1" xfId="1" applyFont="1" applyFill="1" applyBorder="1" applyAlignment="1">
      <alignment horizontal="center" vertical="center" wrapText="1"/>
    </xf>
    <xf numFmtId="0" fontId="7" fillId="12" borderId="0" xfId="1" applyFont="1" applyFill="1" applyAlignment="1">
      <alignment horizontal="center" vertical="center"/>
    </xf>
    <xf numFmtId="0" fontId="7" fillId="12" borderId="0" xfId="1" applyFont="1" applyFill="1" applyAlignment="1">
      <alignment horizontal="center" vertical="center" wrapText="1"/>
    </xf>
    <xf numFmtId="0" fontId="7" fillId="12" borderId="6" xfId="1" applyFont="1" applyFill="1" applyBorder="1" applyAlignment="1">
      <alignment horizontal="center" vertical="center" wrapText="1"/>
    </xf>
    <xf numFmtId="0" fontId="7" fillId="12" borderId="5" xfId="1" applyFont="1" applyFill="1" applyBorder="1" applyAlignment="1">
      <alignment horizontal="center" vertical="center" wrapText="1"/>
    </xf>
    <xf numFmtId="0" fontId="7" fillId="5" borderId="7" xfId="1" applyFont="1" applyFill="1" applyBorder="1" applyAlignment="1">
      <alignment horizontal="center" vertical="center" wrapText="1"/>
    </xf>
    <xf numFmtId="0" fontId="12" fillId="13" borderId="14" xfId="1" applyFont="1" applyFill="1" applyBorder="1"/>
    <xf numFmtId="0" fontId="8" fillId="13" borderId="14" xfId="1" applyFont="1" applyFill="1" applyBorder="1"/>
    <xf numFmtId="0" fontId="8" fillId="13" borderId="15" xfId="1" applyFont="1" applyFill="1" applyBorder="1"/>
    <xf numFmtId="0" fontId="8" fillId="14" borderId="8" xfId="1" applyFont="1" applyFill="1" applyBorder="1" applyAlignment="1">
      <alignment horizontal="center" vertical="center"/>
    </xf>
    <xf numFmtId="0" fontId="8" fillId="14" borderId="0" xfId="1" applyFont="1" applyFill="1" applyAlignment="1">
      <alignment horizontal="center" vertical="center"/>
    </xf>
    <xf numFmtId="0" fontId="12" fillId="13" borderId="16" xfId="1" applyFont="1" applyFill="1" applyBorder="1"/>
    <xf numFmtId="0" fontId="22" fillId="7" borderId="0" xfId="1" applyFont="1" applyFill="1" applyAlignment="1">
      <alignment horizontal="center" vertical="center" wrapText="1"/>
    </xf>
    <xf numFmtId="0" fontId="23" fillId="7" borderId="0" xfId="1" applyFont="1" applyFill="1" applyAlignment="1">
      <alignment vertical="center" wrapText="1"/>
    </xf>
    <xf numFmtId="0" fontId="0" fillId="7" borderId="0" xfId="0" applyFill="1" applyAlignment="1">
      <alignment horizontal="center"/>
    </xf>
    <xf numFmtId="0" fontId="0" fillId="7" borderId="0" xfId="0" applyFill="1" applyAlignment="1">
      <alignment horizontal="center" wrapText="1"/>
    </xf>
    <xf numFmtId="0" fontId="0" fillId="16" borderId="0" xfId="0" applyFill="1" applyAlignment="1">
      <alignment horizontal="center"/>
    </xf>
    <xf numFmtId="0" fontId="0" fillId="17" borderId="7" xfId="0" applyFill="1" applyBorder="1" applyAlignment="1">
      <alignment horizontal="center"/>
    </xf>
    <xf numFmtId="0" fontId="24" fillId="0" borderId="0" xfId="0" applyFont="1" applyAlignment="1">
      <alignment wrapText="1"/>
    </xf>
    <xf numFmtId="0" fontId="24" fillId="0" borderId="0" xfId="0" applyFont="1"/>
    <xf numFmtId="0" fontId="8" fillId="5" borderId="6"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7" xfId="0" applyFont="1" applyFill="1" applyBorder="1" applyAlignment="1">
      <alignment horizontal="center" vertical="center"/>
    </xf>
    <xf numFmtId="167" fontId="8" fillId="0" borderId="19" xfId="1" applyNumberFormat="1" applyFont="1" applyBorder="1" applyAlignment="1">
      <alignment horizontal="center" vertical="center"/>
    </xf>
    <xf numFmtId="167" fontId="6" fillId="0" borderId="0" xfId="1" applyNumberFormat="1"/>
    <xf numFmtId="168" fontId="6" fillId="0" borderId="0" xfId="1" applyNumberFormat="1"/>
    <xf numFmtId="1" fontId="6" fillId="0" borderId="0" xfId="1" applyNumberFormat="1"/>
    <xf numFmtId="0" fontId="10" fillId="5" borderId="6" xfId="0" applyFont="1" applyFill="1" applyBorder="1" applyAlignment="1" applyProtection="1">
      <alignment horizontal="center" vertical="center"/>
      <protection locked="0" hidden="1"/>
    </xf>
    <xf numFmtId="0" fontId="10" fillId="5" borderId="7" xfId="0" applyFont="1" applyFill="1" applyBorder="1" applyAlignment="1" applyProtection="1">
      <alignment horizontal="center" vertical="center"/>
      <protection locked="0" hidden="1"/>
    </xf>
    <xf numFmtId="0" fontId="10" fillId="5" borderId="7" xfId="1" applyFont="1" applyFill="1" applyBorder="1" applyAlignment="1" applyProtection="1">
      <alignment horizontal="center" vertical="center"/>
      <protection locked="0" hidden="1"/>
    </xf>
    <xf numFmtId="0" fontId="7" fillId="2" borderId="6"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8" fillId="7" borderId="0" xfId="1" applyFont="1" applyFill="1"/>
    <xf numFmtId="166" fontId="12" fillId="18" borderId="0" xfId="1" applyNumberFormat="1" applyFont="1" applyFill="1" applyAlignment="1">
      <alignment horizontal="center" vertical="center"/>
    </xf>
    <xf numFmtId="166" fontId="12" fillId="15" borderId="19" xfId="1" applyNumberFormat="1" applyFont="1" applyFill="1" applyBorder="1" applyAlignment="1">
      <alignment horizontal="center" vertical="center"/>
    </xf>
    <xf numFmtId="166" fontId="10" fillId="6" borderId="22" xfId="1" applyNumberFormat="1" applyFont="1" applyFill="1" applyBorder="1" applyAlignment="1">
      <alignment horizontal="center" vertical="center"/>
    </xf>
    <xf numFmtId="167" fontId="8" fillId="0" borderId="0" xfId="1" applyNumberFormat="1" applyFont="1"/>
    <xf numFmtId="0" fontId="7" fillId="4" borderId="1" xfId="1" applyFont="1" applyFill="1" applyBorder="1" applyAlignment="1">
      <alignment horizontal="center" vertical="center" wrapText="1"/>
    </xf>
    <xf numFmtId="0" fontId="26" fillId="6" borderId="7" xfId="0" applyFont="1" applyFill="1" applyBorder="1" applyAlignment="1">
      <alignment horizontal="center" vertical="center"/>
    </xf>
    <xf numFmtId="0" fontId="27" fillId="0" borderId="0" xfId="1" applyFont="1"/>
    <xf numFmtId="168" fontId="27" fillId="0" borderId="0" xfId="1" applyNumberFormat="1" applyFont="1"/>
    <xf numFmtId="0" fontId="25" fillId="0" borderId="19" xfId="0" applyFont="1"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18" fontId="0" fillId="0" borderId="0" xfId="0" applyNumberFormat="1" applyAlignment="1">
      <alignment horizontal="center" vertical="center"/>
    </xf>
    <xf numFmtId="0" fontId="25" fillId="0" borderId="0" xfId="0" applyFont="1" applyAlignment="1">
      <alignment horizontal="center" vertical="center"/>
    </xf>
    <xf numFmtId="18" fontId="0" fillId="0" borderId="23" xfId="0" applyNumberFormat="1" applyBorder="1" applyAlignment="1">
      <alignment horizontal="center" vertical="center"/>
    </xf>
    <xf numFmtId="0" fontId="0" fillId="0" borderId="7" xfId="0" applyBorder="1" applyAlignment="1">
      <alignment horizontal="center"/>
    </xf>
    <xf numFmtId="0" fontId="25" fillId="0" borderId="25" xfId="0" applyFont="1" applyBorder="1" applyAlignment="1">
      <alignment horizontal="center" vertical="center"/>
    </xf>
    <xf numFmtId="0" fontId="0" fillId="0" borderId="24" xfId="0" applyBorder="1" applyAlignment="1">
      <alignment horizontal="center" vertical="center"/>
    </xf>
    <xf numFmtId="0" fontId="10" fillId="5" borderId="26" xfId="1" applyFont="1" applyFill="1" applyBorder="1" applyAlignment="1">
      <alignment horizontal="center" vertical="center" wrapText="1"/>
    </xf>
    <xf numFmtId="1" fontId="27" fillId="0" borderId="0" xfId="1" applyNumberFormat="1" applyFont="1"/>
    <xf numFmtId="0" fontId="7" fillId="0" borderId="7" xfId="0" applyFont="1" applyBorder="1" applyAlignment="1">
      <alignment horizontal="center" vertical="center"/>
    </xf>
    <xf numFmtId="1" fontId="10" fillId="5" borderId="6" xfId="0" applyNumberFormat="1" applyFont="1" applyFill="1" applyBorder="1" applyAlignment="1" applyProtection="1">
      <alignment horizontal="center" vertical="center"/>
      <protection locked="0" hidden="1"/>
    </xf>
    <xf numFmtId="0" fontId="13" fillId="0" borderId="27" xfId="0" applyFont="1" applyBorder="1" applyAlignment="1">
      <alignment horizontal="center" vertical="center"/>
    </xf>
    <xf numFmtId="0" fontId="7" fillId="5" borderId="2" xfId="1" applyFont="1" applyFill="1" applyBorder="1" applyAlignment="1">
      <alignment horizontal="center" vertical="center"/>
    </xf>
    <xf numFmtId="0" fontId="7" fillId="6" borderId="24" xfId="0" applyFont="1" applyFill="1" applyBorder="1" applyAlignment="1">
      <alignment horizontal="center" vertical="center"/>
    </xf>
    <xf numFmtId="166" fontId="10" fillId="6" borderId="28" xfId="1" applyNumberFormat="1" applyFont="1" applyFill="1" applyBorder="1" applyAlignment="1">
      <alignment horizontal="center" vertical="center"/>
    </xf>
    <xf numFmtId="1" fontId="10" fillId="5" borderId="9" xfId="1" applyNumberFormat="1" applyFont="1" applyFill="1" applyBorder="1" applyAlignment="1">
      <alignment horizontal="center" vertical="center" wrapText="1"/>
    </xf>
    <xf numFmtId="0" fontId="7" fillId="5" borderId="29" xfId="0" applyFont="1" applyFill="1" applyBorder="1" applyAlignment="1">
      <alignment horizontal="center" vertical="center"/>
    </xf>
    <xf numFmtId="0" fontId="10" fillId="5" borderId="3" xfId="0" applyFont="1" applyFill="1" applyBorder="1" applyAlignment="1">
      <alignment horizontal="center" vertical="center"/>
    </xf>
    <xf numFmtId="0" fontId="8" fillId="0" borderId="13" xfId="1" applyFont="1" applyBorder="1" applyAlignment="1">
      <alignment horizontal="center"/>
    </xf>
    <xf numFmtId="166" fontId="8" fillId="11" borderId="13" xfId="1" applyNumberFormat="1" applyFont="1" applyFill="1" applyBorder="1" applyAlignment="1">
      <alignment horizontal="center"/>
    </xf>
    <xf numFmtId="0" fontId="12" fillId="19" borderId="7" xfId="1" applyFont="1" applyFill="1" applyBorder="1" applyAlignment="1">
      <alignment horizontal="center"/>
    </xf>
    <xf numFmtId="166" fontId="10" fillId="5" borderId="7" xfId="1" applyNumberFormat="1" applyFont="1" applyFill="1" applyBorder="1" applyAlignment="1">
      <alignment horizontal="center" vertical="center"/>
    </xf>
    <xf numFmtId="0" fontId="8" fillId="0" borderId="14" xfId="1" applyFont="1" applyBorder="1" applyAlignment="1">
      <alignment horizontal="center"/>
    </xf>
    <xf numFmtId="169" fontId="6" fillId="0" borderId="0" xfId="1" applyNumberFormat="1"/>
    <xf numFmtId="169" fontId="8" fillId="0" borderId="19" xfId="1" applyNumberFormat="1" applyFont="1" applyBorder="1" applyAlignment="1">
      <alignment horizontal="center" vertical="center"/>
    </xf>
    <xf numFmtId="1" fontId="8" fillId="0" borderId="14" xfId="1" applyNumberFormat="1" applyFont="1" applyBorder="1"/>
    <xf numFmtId="1" fontId="8" fillId="13" borderId="14" xfId="1" applyNumberFormat="1" applyFont="1" applyFill="1" applyBorder="1"/>
    <xf numFmtId="1" fontId="8" fillId="13" borderId="15" xfId="1" applyNumberFormat="1" applyFont="1" applyFill="1" applyBorder="1"/>
    <xf numFmtId="18" fontId="0" fillId="0" borderId="7" xfId="0" applyNumberFormat="1" applyBorder="1" applyAlignment="1">
      <alignment horizontal="center" vertical="center"/>
    </xf>
    <xf numFmtId="166" fontId="10" fillId="9" borderId="9" xfId="1" applyNumberFormat="1" applyFont="1" applyFill="1" applyBorder="1" applyAlignment="1">
      <alignment horizontal="center" vertical="center" wrapText="1"/>
    </xf>
    <xf numFmtId="0" fontId="5" fillId="0" borderId="7" xfId="0" applyFont="1" applyBorder="1"/>
    <xf numFmtId="0" fontId="5" fillId="0" borderId="7" xfId="0" applyFont="1" applyBorder="1" applyAlignment="1">
      <alignment horizontal="center" vertical="center"/>
    </xf>
    <xf numFmtId="0" fontId="5" fillId="0" borderId="8" xfId="0" applyFont="1" applyBorder="1"/>
    <xf numFmtId="0" fontId="5" fillId="0" borderId="8" xfId="0" applyFont="1" applyBorder="1" applyAlignment="1">
      <alignment horizontal="center" vertical="center"/>
    </xf>
    <xf numFmtId="0" fontId="5" fillId="0" borderId="0" xfId="0" applyFont="1"/>
    <xf numFmtId="0" fontId="5" fillId="0" borderId="7" xfId="0" applyFont="1" applyBorder="1" applyAlignment="1">
      <alignment horizontal="center"/>
    </xf>
    <xf numFmtId="0" fontId="4" fillId="0" borderId="7" xfId="0" applyFont="1" applyBorder="1" applyAlignment="1">
      <alignment horizont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xf numFmtId="0" fontId="4" fillId="0" borderId="7" xfId="0" applyFont="1" applyBorder="1"/>
    <xf numFmtId="0" fontId="4" fillId="0" borderId="8" xfId="0" applyFont="1" applyBorder="1"/>
    <xf numFmtId="0" fontId="7" fillId="0" borderId="8" xfId="0" applyFont="1" applyBorder="1" applyAlignment="1">
      <alignment horizontal="center" vertical="center"/>
    </xf>
    <xf numFmtId="1" fontId="10" fillId="5" borderId="7" xfId="0" applyNumberFormat="1" applyFont="1" applyFill="1" applyBorder="1" applyAlignment="1" applyProtection="1">
      <alignment horizontal="center" vertical="center"/>
      <protection locked="0" hidden="1"/>
    </xf>
    <xf numFmtId="0" fontId="7" fillId="5" borderId="10" xfId="0" applyFont="1" applyFill="1" applyBorder="1" applyAlignment="1">
      <alignment horizontal="center" vertical="center"/>
    </xf>
    <xf numFmtId="0" fontId="10" fillId="5" borderId="23" xfId="0" applyFont="1" applyFill="1" applyBorder="1" applyAlignment="1" applyProtection="1">
      <alignment horizontal="center" vertical="center"/>
      <protection locked="0" hidden="1"/>
    </xf>
    <xf numFmtId="166" fontId="10" fillId="20" borderId="6" xfId="1" applyNumberFormat="1" applyFont="1" applyFill="1" applyBorder="1" applyAlignment="1">
      <alignment horizontal="center" vertical="center"/>
    </xf>
    <xf numFmtId="0" fontId="3" fillId="0" borderId="7" xfId="0" applyFont="1" applyBorder="1"/>
    <xf numFmtId="166" fontId="10" fillId="20" borderId="7" xfId="1" applyNumberFormat="1" applyFont="1" applyFill="1" applyBorder="1" applyAlignment="1">
      <alignment horizontal="center" vertical="center"/>
    </xf>
    <xf numFmtId="1" fontId="8" fillId="0" borderId="0" xfId="1" applyNumberFormat="1" applyFont="1"/>
    <xf numFmtId="0" fontId="7" fillId="9" borderId="7" xfId="0" applyFont="1" applyFill="1" applyBorder="1" applyAlignment="1">
      <alignment horizontal="center" vertical="center"/>
    </xf>
    <xf numFmtId="0" fontId="7" fillId="11" borderId="7" xfId="0" applyFont="1" applyFill="1" applyBorder="1" applyAlignment="1">
      <alignment horizontal="center" vertical="center"/>
    </xf>
    <xf numFmtId="0" fontId="7" fillId="9" borderId="1" xfId="0" applyFont="1" applyFill="1" applyBorder="1" applyAlignment="1">
      <alignment horizontal="center" vertical="center"/>
    </xf>
    <xf numFmtId="0" fontId="12" fillId="11" borderId="7" xfId="1" applyFont="1" applyFill="1" applyBorder="1" applyAlignment="1">
      <alignment horizontal="center"/>
    </xf>
    <xf numFmtId="0" fontId="7" fillId="9" borderId="7" xfId="1" applyFont="1" applyFill="1" applyBorder="1" applyAlignment="1">
      <alignment horizontal="center" vertical="center"/>
    </xf>
    <xf numFmtId="0" fontId="7" fillId="6" borderId="5" xfId="0" applyFont="1" applyFill="1" applyBorder="1" applyAlignment="1">
      <alignment horizontal="center" vertical="center"/>
    </xf>
    <xf numFmtId="0" fontId="7" fillId="7" borderId="7" xfId="0" applyFont="1" applyFill="1" applyBorder="1" applyAlignment="1">
      <alignment horizontal="center" vertical="center"/>
    </xf>
    <xf numFmtId="0" fontId="7" fillId="6" borderId="1" xfId="0" applyFont="1" applyFill="1" applyBorder="1" applyAlignment="1">
      <alignment horizontal="center" vertical="center"/>
    </xf>
    <xf numFmtId="0" fontId="7" fillId="6" borderId="7" xfId="1" applyFont="1" applyFill="1" applyBorder="1" applyAlignment="1">
      <alignment horizontal="center" vertical="center"/>
    </xf>
    <xf numFmtId="0" fontId="2" fillId="0" borderId="7" xfId="0" applyFont="1" applyBorder="1" applyAlignment="1">
      <alignment horizontal="center" vertical="center"/>
    </xf>
    <xf numFmtId="0" fontId="2" fillId="0" borderId="8" xfId="0" applyFont="1" applyBorder="1"/>
    <xf numFmtId="0" fontId="2" fillId="0" borderId="8" xfId="0" applyFont="1" applyBorder="1" applyAlignment="1">
      <alignment horizontal="center" vertical="center"/>
    </xf>
    <xf numFmtId="0" fontId="2" fillId="0" borderId="7" xfId="0" applyFont="1" applyBorder="1"/>
    <xf numFmtId="0" fontId="2" fillId="0" borderId="0" xfId="0" applyFont="1"/>
    <xf numFmtId="0" fontId="2" fillId="0" borderId="7" xfId="0" applyFont="1" applyBorder="1" applyAlignment="1">
      <alignment horizontal="center"/>
    </xf>
    <xf numFmtId="0" fontId="12" fillId="19" borderId="7" xfId="1" applyFont="1" applyFill="1" applyBorder="1" applyAlignment="1">
      <alignment horizontal="center" vertical="center"/>
    </xf>
    <xf numFmtId="20" fontId="8" fillId="0" borderId="0" xfId="1" applyNumberFormat="1" applyFont="1"/>
    <xf numFmtId="0" fontId="7" fillId="2" borderId="0" xfId="1" applyFont="1" applyFill="1" applyAlignment="1">
      <alignment horizontal="center" vertical="center" wrapText="1"/>
    </xf>
    <xf numFmtId="0" fontId="10" fillId="6" borderId="0" xfId="0" applyFont="1" applyFill="1" applyAlignment="1">
      <alignment horizontal="center" vertical="center"/>
    </xf>
    <xf numFmtId="166" fontId="10" fillId="5" borderId="0" xfId="1" applyNumberFormat="1" applyFont="1" applyFill="1" applyAlignment="1">
      <alignment horizontal="center" vertical="center"/>
    </xf>
    <xf numFmtId="0" fontId="10" fillId="5" borderId="2" xfId="0" applyFont="1" applyFill="1" applyBorder="1" applyAlignment="1">
      <alignment horizontal="center" vertical="center" wrapText="1"/>
    </xf>
    <xf numFmtId="0" fontId="33" fillId="14" borderId="0" xfId="1" applyFont="1" applyFill="1" applyAlignment="1">
      <alignment horizontal="center" vertical="center"/>
    </xf>
    <xf numFmtId="0" fontId="33" fillId="0" borderId="0" xfId="1" applyFont="1" applyAlignment="1">
      <alignment horizontal="center" vertical="center"/>
    </xf>
    <xf numFmtId="0" fontId="34" fillId="14" borderId="0" xfId="1" applyFont="1" applyFill="1" applyAlignment="1">
      <alignment horizontal="center" vertical="center" wrapText="1"/>
    </xf>
    <xf numFmtId="0" fontId="34" fillId="0" borderId="0" xfId="1" applyFont="1" applyAlignment="1">
      <alignment horizontal="center" vertical="center" wrapText="1"/>
    </xf>
    <xf numFmtId="0" fontId="36" fillId="21" borderId="34" xfId="1" applyFont="1" applyFill="1" applyBorder="1" applyAlignment="1">
      <alignment horizontal="center" vertical="center"/>
    </xf>
    <xf numFmtId="0" fontId="36" fillId="21" borderId="35" xfId="1" applyFont="1" applyFill="1" applyBorder="1" applyAlignment="1">
      <alignment horizontal="center" vertical="center"/>
    </xf>
    <xf numFmtId="0" fontId="36" fillId="21" borderId="35" xfId="1" applyFont="1" applyFill="1" applyBorder="1" applyAlignment="1">
      <alignment horizontal="center" vertical="center" wrapText="1"/>
    </xf>
    <xf numFmtId="0" fontId="36" fillId="21" borderId="36" xfId="1" applyFont="1" applyFill="1" applyBorder="1" applyAlignment="1">
      <alignment horizontal="center" vertical="center"/>
    </xf>
    <xf numFmtId="0" fontId="36" fillId="21" borderId="37" xfId="1" applyFont="1" applyFill="1" applyBorder="1" applyAlignment="1">
      <alignment horizontal="center" vertical="center" wrapText="1"/>
    </xf>
    <xf numFmtId="0" fontId="36" fillId="22" borderId="0" xfId="1" applyFont="1" applyFill="1" applyAlignment="1">
      <alignment horizontal="center" vertical="center"/>
    </xf>
    <xf numFmtId="0" fontId="6" fillId="0" borderId="0" xfId="1" applyAlignment="1">
      <alignment horizontal="center"/>
    </xf>
    <xf numFmtId="14" fontId="37" fillId="23" borderId="38" xfId="1" applyNumberFormat="1" applyFont="1" applyFill="1" applyBorder="1" applyAlignment="1">
      <alignment horizontal="center" vertical="center"/>
    </xf>
    <xf numFmtId="0" fontId="38" fillId="23" borderId="38" xfId="1" applyFont="1" applyFill="1" applyBorder="1" applyAlignment="1">
      <alignment horizontal="center" vertical="center"/>
    </xf>
    <xf numFmtId="0" fontId="38" fillId="23" borderId="38" xfId="1" applyFont="1" applyFill="1" applyBorder="1" applyAlignment="1">
      <alignment horizontal="left" vertical="center" wrapText="1"/>
    </xf>
    <xf numFmtId="0" fontId="39" fillId="23" borderId="38" xfId="1" applyFont="1" applyFill="1" applyBorder="1" applyAlignment="1">
      <alignment horizontal="left" vertical="center" wrapText="1"/>
    </xf>
    <xf numFmtId="166" fontId="6" fillId="23" borderId="38" xfId="1" applyNumberFormat="1" applyFill="1" applyBorder="1" applyAlignment="1">
      <alignment horizontal="left"/>
    </xf>
    <xf numFmtId="166" fontId="6" fillId="23" borderId="0" xfId="1" applyNumberFormat="1" applyFill="1" applyAlignment="1">
      <alignment horizontal="left"/>
    </xf>
    <xf numFmtId="14" fontId="40" fillId="24" borderId="38" xfId="1" applyNumberFormat="1" applyFont="1" applyFill="1" applyBorder="1" applyAlignment="1">
      <alignment horizontal="center" vertical="center"/>
    </xf>
    <xf numFmtId="1" fontId="19" fillId="0" borderId="38" xfId="1" applyNumberFormat="1" applyFont="1" applyBorder="1" applyAlignment="1">
      <alignment horizontal="center" vertical="center"/>
    </xf>
    <xf numFmtId="1" fontId="38" fillId="0" borderId="38" xfId="1" applyNumberFormat="1" applyFont="1" applyBorder="1" applyAlignment="1">
      <alignment horizontal="center" vertical="center"/>
    </xf>
    <xf numFmtId="0" fontId="38" fillId="0" borderId="38" xfId="1" applyFont="1" applyBorder="1"/>
    <xf numFmtId="0" fontId="39" fillId="0" borderId="38" xfId="1" applyFont="1" applyBorder="1" applyAlignment="1">
      <alignment horizontal="justify"/>
    </xf>
    <xf numFmtId="166" fontId="43" fillId="0" borderId="38" xfId="1" applyNumberFormat="1" applyFont="1" applyBorder="1" applyAlignment="1">
      <alignment horizontal="center" vertical="center" wrapText="1"/>
    </xf>
    <xf numFmtId="166" fontId="10" fillId="0" borderId="38" xfId="1" applyNumberFormat="1" applyFont="1" applyBorder="1" applyAlignment="1">
      <alignment horizontal="center" vertical="center" wrapText="1"/>
    </xf>
    <xf numFmtId="166" fontId="36" fillId="0" borderId="39" xfId="1" applyNumberFormat="1" applyFont="1" applyBorder="1" applyAlignment="1">
      <alignment horizontal="center" vertical="center"/>
    </xf>
    <xf numFmtId="0" fontId="19" fillId="0" borderId="38" xfId="1" applyFont="1" applyBorder="1" applyAlignment="1">
      <alignment horizontal="center" vertical="center"/>
    </xf>
    <xf numFmtId="0" fontId="38" fillId="0" borderId="38" xfId="1" applyFont="1" applyBorder="1" applyAlignment="1">
      <alignment horizontal="left" vertical="center" wrapText="1"/>
    </xf>
    <xf numFmtId="167" fontId="19" fillId="0" borderId="0" xfId="1" applyNumberFormat="1" applyFont="1" applyAlignment="1">
      <alignment horizontal="center"/>
    </xf>
    <xf numFmtId="169" fontId="8" fillId="0" borderId="0" xfId="1" applyNumberFormat="1" applyFont="1"/>
    <xf numFmtId="0" fontId="38" fillId="0" borderId="38" xfId="1" applyFont="1" applyBorder="1" applyAlignment="1">
      <alignment horizontal="center" vertical="center"/>
    </xf>
    <xf numFmtId="167" fontId="19" fillId="0" borderId="22" xfId="1" applyNumberFormat="1" applyFont="1" applyBorder="1" applyAlignment="1">
      <alignment horizontal="center"/>
    </xf>
    <xf numFmtId="167" fontId="19" fillId="0" borderId="7" xfId="1" applyNumberFormat="1" applyFont="1" applyBorder="1" applyAlignment="1">
      <alignment horizontal="center"/>
    </xf>
    <xf numFmtId="166" fontId="43" fillId="0" borderId="38" xfId="1" applyNumberFormat="1" applyFont="1" applyBorder="1" applyAlignment="1">
      <alignment horizontal="center" vertical="center"/>
    </xf>
    <xf numFmtId="167" fontId="44" fillId="11" borderId="40" xfId="1" applyNumberFormat="1" applyFont="1" applyFill="1" applyBorder="1" applyAlignment="1">
      <alignment horizontal="center"/>
    </xf>
    <xf numFmtId="167" fontId="19" fillId="19" borderId="41" xfId="1" applyNumberFormat="1" applyFont="1" applyFill="1" applyBorder="1" applyAlignment="1">
      <alignment horizontal="center"/>
    </xf>
    <xf numFmtId="166" fontId="36" fillId="0" borderId="38" xfId="1" applyNumberFormat="1" applyFont="1" applyBorder="1" applyAlignment="1">
      <alignment horizontal="center" vertical="center" wrapText="1"/>
    </xf>
    <xf numFmtId="166" fontId="36" fillId="0" borderId="38" xfId="1" applyNumberFormat="1" applyFont="1" applyBorder="1" applyAlignment="1">
      <alignment horizontal="center" wrapText="1"/>
    </xf>
    <xf numFmtId="166" fontId="7" fillId="26" borderId="38" xfId="1" applyNumberFormat="1" applyFont="1" applyFill="1" applyBorder="1" applyAlignment="1">
      <alignment horizontal="center" vertical="center" wrapText="1"/>
    </xf>
    <xf numFmtId="167" fontId="19" fillId="0" borderId="0" xfId="1" applyNumberFormat="1" applyFont="1" applyAlignment="1">
      <alignment horizontal="center" vertical="center"/>
    </xf>
    <xf numFmtId="14" fontId="45" fillId="23" borderId="38" xfId="1" applyNumberFormat="1" applyFont="1" applyFill="1" applyBorder="1" applyAlignment="1">
      <alignment horizontal="right"/>
    </xf>
    <xf numFmtId="0" fontId="46" fillId="23" borderId="38" xfId="1" applyFont="1" applyFill="1" applyBorder="1" applyAlignment="1">
      <alignment horizontal="center" vertical="center"/>
    </xf>
    <xf numFmtId="0" fontId="46" fillId="23" borderId="38" xfId="1" applyFont="1" applyFill="1" applyBorder="1" applyAlignment="1">
      <alignment horizontal="left" vertical="center" wrapText="1"/>
    </xf>
    <xf numFmtId="166" fontId="47" fillId="23" borderId="38" xfId="1" applyNumberFormat="1" applyFont="1" applyFill="1" applyBorder="1" applyAlignment="1">
      <alignment horizontal="left"/>
    </xf>
    <xf numFmtId="166" fontId="47" fillId="23" borderId="39" xfId="1" applyNumberFormat="1" applyFont="1" applyFill="1" applyBorder="1" applyAlignment="1">
      <alignment horizontal="left"/>
    </xf>
    <xf numFmtId="166" fontId="47" fillId="23" borderId="0" xfId="1" applyNumberFormat="1" applyFont="1" applyFill="1" applyAlignment="1">
      <alignment horizontal="left"/>
    </xf>
    <xf numFmtId="167" fontId="6" fillId="0" borderId="0" xfId="1" applyNumberFormat="1" applyAlignment="1">
      <alignment horizontal="center"/>
    </xf>
    <xf numFmtId="166" fontId="8" fillId="0" borderId="0" xfId="1" applyNumberFormat="1" applyFont="1"/>
    <xf numFmtId="165" fontId="48" fillId="0" borderId="0" xfId="2" applyFont="1"/>
    <xf numFmtId="166" fontId="43" fillId="0" borderId="39" xfId="1" applyNumberFormat="1" applyFont="1" applyBorder="1" applyAlignment="1">
      <alignment horizontal="center" vertical="center"/>
    </xf>
    <xf numFmtId="166" fontId="7" fillId="26" borderId="39" xfId="1" applyNumberFormat="1" applyFont="1" applyFill="1" applyBorder="1" applyAlignment="1">
      <alignment horizontal="center" vertical="center" wrapText="1"/>
    </xf>
    <xf numFmtId="166" fontId="49" fillId="23" borderId="38" xfId="1" applyNumberFormat="1" applyFont="1" applyFill="1" applyBorder="1" applyAlignment="1">
      <alignment horizontal="left"/>
    </xf>
    <xf numFmtId="166" fontId="49" fillId="23" borderId="39" xfId="1" applyNumberFormat="1" applyFont="1" applyFill="1" applyBorder="1" applyAlignment="1">
      <alignment horizontal="left"/>
    </xf>
    <xf numFmtId="0" fontId="48" fillId="0" borderId="0" xfId="1" applyFont="1"/>
    <xf numFmtId="44" fontId="48" fillId="0" borderId="0" xfId="1" applyNumberFormat="1" applyFont="1"/>
    <xf numFmtId="1" fontId="38" fillId="7" borderId="38" xfId="1" applyNumberFormat="1" applyFont="1" applyFill="1" applyBorder="1" applyAlignment="1">
      <alignment horizontal="center" vertical="center"/>
    </xf>
    <xf numFmtId="44" fontId="50" fillId="0" borderId="0" xfId="1" applyNumberFormat="1" applyFont="1"/>
    <xf numFmtId="44" fontId="51" fillId="0" borderId="0" xfId="1" applyNumberFormat="1" applyFont="1"/>
    <xf numFmtId="14" fontId="52" fillId="28" borderId="43" xfId="0" applyNumberFormat="1" applyFont="1" applyFill="1" applyBorder="1" applyAlignment="1">
      <alignment horizontal="center" vertical="center"/>
    </xf>
    <xf numFmtId="14" fontId="40" fillId="29" borderId="38" xfId="1" applyNumberFormat="1" applyFont="1" applyFill="1" applyBorder="1" applyAlignment="1">
      <alignment horizontal="center" vertical="center"/>
    </xf>
    <xf numFmtId="0" fontId="38" fillId="30" borderId="38" xfId="1" applyFont="1" applyFill="1" applyBorder="1" applyAlignment="1">
      <alignment horizontal="center" vertical="center"/>
    </xf>
    <xf numFmtId="0" fontId="19" fillId="30" borderId="38" xfId="1" applyFont="1" applyFill="1" applyBorder="1" applyAlignment="1">
      <alignment horizontal="center" vertical="center"/>
    </xf>
    <xf numFmtId="0" fontId="38" fillId="30" borderId="38" xfId="1" applyFont="1" applyFill="1" applyBorder="1" applyAlignment="1">
      <alignment horizontal="left" vertical="center" wrapText="1"/>
    </xf>
    <xf numFmtId="0" fontId="39" fillId="30" borderId="38" xfId="1" applyFont="1" applyFill="1" applyBorder="1" applyAlignment="1">
      <alignment horizontal="justify"/>
    </xf>
    <xf numFmtId="166" fontId="36" fillId="30" borderId="38" xfId="1" applyNumberFormat="1" applyFont="1" applyFill="1" applyBorder="1" applyAlignment="1">
      <alignment horizontal="center" vertical="center" wrapText="1"/>
    </xf>
    <xf numFmtId="166" fontId="7" fillId="30" borderId="39" xfId="1" applyNumberFormat="1" applyFont="1" applyFill="1" applyBorder="1" applyAlignment="1">
      <alignment horizontal="center" vertical="center" wrapText="1"/>
    </xf>
    <xf numFmtId="167" fontId="19" fillId="30" borderId="7" xfId="1" applyNumberFormat="1" applyFont="1" applyFill="1" applyBorder="1" applyAlignment="1">
      <alignment horizontal="center" vertical="center"/>
    </xf>
    <xf numFmtId="166" fontId="6" fillId="23" borderId="39" xfId="1" applyNumberFormat="1" applyFill="1" applyBorder="1" applyAlignment="1">
      <alignment horizontal="left"/>
    </xf>
    <xf numFmtId="0" fontId="19" fillId="0" borderId="0" xfId="1" applyFont="1" applyAlignment="1">
      <alignment horizontal="center"/>
    </xf>
    <xf numFmtId="0" fontId="6" fillId="7" borderId="0" xfId="1" applyFill="1" applyAlignment="1">
      <alignment horizontal="center"/>
    </xf>
    <xf numFmtId="14" fontId="40" fillId="24" borderId="46" xfId="1" applyNumberFormat="1" applyFont="1" applyFill="1" applyBorder="1" applyAlignment="1">
      <alignment horizontal="center" vertical="center"/>
    </xf>
    <xf numFmtId="0" fontId="43" fillId="21" borderId="46" xfId="1" applyFont="1" applyFill="1" applyBorder="1" applyAlignment="1">
      <alignment horizontal="center" vertical="center"/>
    </xf>
    <xf numFmtId="0" fontId="53" fillId="21" borderId="46" xfId="1" applyFont="1" applyFill="1" applyBorder="1" applyAlignment="1">
      <alignment horizontal="left" wrapText="1"/>
    </xf>
    <xf numFmtId="0" fontId="53" fillId="21" borderId="46" xfId="1" applyFont="1" applyFill="1" applyBorder="1" applyAlignment="1">
      <alignment horizontal="left" vertical="center" wrapText="1"/>
    </xf>
    <xf numFmtId="0" fontId="36" fillId="21" borderId="46" xfId="1" applyFont="1" applyFill="1" applyBorder="1" applyAlignment="1">
      <alignment horizontal="center" vertical="center"/>
    </xf>
    <xf numFmtId="0" fontId="36" fillId="21" borderId="46" xfId="1" applyFont="1" applyFill="1" applyBorder="1" applyAlignment="1">
      <alignment horizontal="center" vertical="center" wrapText="1"/>
    </xf>
    <xf numFmtId="0" fontId="36" fillId="21" borderId="0" xfId="1" applyFont="1" applyFill="1" applyAlignment="1">
      <alignment horizontal="center" vertical="center"/>
    </xf>
    <xf numFmtId="3" fontId="54" fillId="0" borderId="0" xfId="1" applyNumberFormat="1" applyFont="1" applyAlignment="1">
      <alignment horizontal="center"/>
    </xf>
    <xf numFmtId="14" fontId="37" fillId="31" borderId="47" xfId="1" applyNumberFormat="1" applyFont="1" applyFill="1" applyBorder="1" applyAlignment="1">
      <alignment horizontal="right"/>
    </xf>
    <xf numFmtId="1" fontId="37" fillId="31" borderId="48" xfId="1" applyNumberFormat="1" applyFont="1" applyFill="1" applyBorder="1" applyAlignment="1">
      <alignment horizontal="center"/>
    </xf>
    <xf numFmtId="0" fontId="55" fillId="0" borderId="48" xfId="1" applyFont="1" applyBorder="1" applyAlignment="1">
      <alignment horizontal="right"/>
    </xf>
    <xf numFmtId="169" fontId="37" fillId="32" borderId="48" xfId="1" applyNumberFormat="1" applyFont="1" applyFill="1" applyBorder="1"/>
    <xf numFmtId="3" fontId="37" fillId="32" borderId="48" xfId="1" applyNumberFormat="1" applyFont="1" applyFill="1" applyBorder="1"/>
    <xf numFmtId="3" fontId="37" fillId="32" borderId="0" xfId="1" applyNumberFormat="1" applyFont="1" applyFill="1"/>
    <xf numFmtId="3" fontId="45" fillId="14" borderId="7" xfId="1" applyNumberFormat="1" applyFont="1" applyFill="1" applyBorder="1" applyAlignment="1">
      <alignment horizontal="center"/>
    </xf>
    <xf numFmtId="14" fontId="43" fillId="0" borderId="0" xfId="1" applyNumberFormat="1" applyFont="1" applyAlignment="1">
      <alignment horizontal="center" vertical="center"/>
    </xf>
    <xf numFmtId="0" fontId="43" fillId="0" borderId="0" xfId="1" applyFont="1" applyAlignment="1">
      <alignment horizontal="center" vertical="center"/>
    </xf>
    <xf numFmtId="0" fontId="6" fillId="0" borderId="0" xfId="1" applyAlignment="1">
      <alignment horizontal="center" vertical="center"/>
    </xf>
    <xf numFmtId="0" fontId="56" fillId="24" borderId="10" xfId="1" applyFont="1" applyFill="1" applyBorder="1" applyAlignment="1">
      <alignment horizontal="center" vertical="center" wrapText="1"/>
    </xf>
    <xf numFmtId="3" fontId="57" fillId="24" borderId="0" xfId="1" applyNumberFormat="1" applyFont="1" applyFill="1" applyAlignment="1">
      <alignment horizontal="center" vertical="center"/>
    </xf>
    <xf numFmtId="169" fontId="48" fillId="14" borderId="7" xfId="1" applyNumberFormat="1" applyFont="1" applyFill="1" applyBorder="1"/>
    <xf numFmtId="170" fontId="58" fillId="14" borderId="7" xfId="1" applyNumberFormat="1" applyFont="1" applyFill="1" applyBorder="1"/>
    <xf numFmtId="170" fontId="59" fillId="0" borderId="0" xfId="1" applyNumberFormat="1" applyFont="1"/>
    <xf numFmtId="170" fontId="48" fillId="0" borderId="0" xfId="1" applyNumberFormat="1" applyFont="1"/>
    <xf numFmtId="3" fontId="57" fillId="24" borderId="0" xfId="1" applyNumberFormat="1" applyFont="1" applyFill="1" applyAlignment="1">
      <alignment horizontal="right" vertical="center"/>
    </xf>
    <xf numFmtId="14" fontId="37" fillId="0" borderId="0" xfId="1" applyNumberFormat="1" applyFont="1" applyAlignment="1">
      <alignment horizontal="center" vertical="center"/>
    </xf>
    <xf numFmtId="171" fontId="60" fillId="34" borderId="57" xfId="1" applyNumberFormat="1" applyFont="1" applyFill="1" applyBorder="1" applyAlignment="1">
      <alignment horizontal="center" vertical="center" wrapText="1"/>
    </xf>
    <xf numFmtId="172" fontId="60" fillId="34" borderId="58" xfId="1" applyNumberFormat="1" applyFont="1" applyFill="1" applyBorder="1" applyAlignment="1">
      <alignment horizontal="center" vertical="center" wrapText="1"/>
    </xf>
    <xf numFmtId="0" fontId="60" fillId="34" borderId="58" xfId="1" applyFont="1" applyFill="1" applyBorder="1" applyAlignment="1">
      <alignment horizontal="center" vertical="center" wrapText="1"/>
    </xf>
    <xf numFmtId="0" fontId="61" fillId="34" borderId="59" xfId="1" applyFont="1" applyFill="1" applyBorder="1" applyAlignment="1">
      <alignment horizontal="center" vertical="center" wrapText="1"/>
    </xf>
    <xf numFmtId="169" fontId="62" fillId="11" borderId="0" xfId="1" applyNumberFormat="1" applyFont="1" applyFill="1" applyAlignment="1">
      <alignment horizontal="center"/>
    </xf>
    <xf numFmtId="173" fontId="63" fillId="35" borderId="7" xfId="1" applyNumberFormat="1" applyFont="1" applyFill="1" applyBorder="1" applyAlignment="1">
      <alignment horizontal="center" vertical="center" wrapText="1"/>
    </xf>
    <xf numFmtId="20" fontId="63" fillId="35" borderId="7" xfId="1" applyNumberFormat="1" applyFont="1" applyFill="1" applyBorder="1" applyAlignment="1">
      <alignment horizontal="center" vertical="center" wrapText="1"/>
    </xf>
    <xf numFmtId="49" fontId="63" fillId="35" borderId="7" xfId="1" applyNumberFormat="1" applyFont="1" applyFill="1" applyBorder="1" applyAlignment="1">
      <alignment horizontal="center" vertical="center" wrapText="1"/>
    </xf>
    <xf numFmtId="0" fontId="64" fillId="36" borderId="8" xfId="0" applyFont="1" applyFill="1" applyBorder="1" applyAlignment="1">
      <alignment horizontal="center" vertical="center"/>
    </xf>
    <xf numFmtId="0" fontId="64" fillId="36" borderId="7" xfId="0" applyFont="1" applyFill="1" applyBorder="1" applyAlignment="1">
      <alignment horizontal="center" vertical="center" wrapText="1"/>
    </xf>
    <xf numFmtId="166" fontId="10" fillId="37" borderId="6" xfId="1" applyNumberFormat="1" applyFont="1" applyFill="1" applyBorder="1" applyAlignment="1">
      <alignment horizontal="center" vertical="center"/>
    </xf>
    <xf numFmtId="49" fontId="62" fillId="0" borderId="0" xfId="1" applyNumberFormat="1" applyFont="1" applyAlignment="1">
      <alignment horizontal="center"/>
    </xf>
    <xf numFmtId="49" fontId="61" fillId="38" borderId="0" xfId="1" applyNumberFormat="1" applyFont="1" applyFill="1" applyAlignment="1">
      <alignment horizontal="center" vertical="center" wrapText="1"/>
    </xf>
    <xf numFmtId="49" fontId="6" fillId="7" borderId="0" xfId="1" applyNumberFormat="1" applyFill="1"/>
    <xf numFmtId="49" fontId="6" fillId="0" borderId="0" xfId="1" applyNumberFormat="1"/>
    <xf numFmtId="49" fontId="62" fillId="0" borderId="22" xfId="1" applyNumberFormat="1" applyFont="1" applyBorder="1" applyAlignment="1">
      <alignment horizontal="center"/>
    </xf>
    <xf numFmtId="49" fontId="61" fillId="0" borderId="0" xfId="1" applyNumberFormat="1" applyFont="1" applyAlignment="1">
      <alignment horizontal="center" vertical="center" wrapText="1"/>
    </xf>
    <xf numFmtId="168" fontId="61" fillId="0" borderId="0" xfId="2" applyNumberFormat="1" applyFont="1" applyFill="1" applyBorder="1" applyAlignment="1">
      <alignment horizontal="center" vertical="center" wrapText="1"/>
    </xf>
    <xf numFmtId="164" fontId="65" fillId="0" borderId="0" xfId="3" applyFont="1" applyAlignment="1">
      <alignment horizontal="center"/>
    </xf>
    <xf numFmtId="49" fontId="66" fillId="0" borderId="0" xfId="1" applyNumberFormat="1" applyFont="1" applyAlignment="1">
      <alignment horizontal="center" wrapText="1"/>
    </xf>
    <xf numFmtId="20" fontId="67" fillId="39" borderId="22" xfId="0" applyNumberFormat="1" applyFont="1" applyFill="1" applyBorder="1" applyAlignment="1">
      <alignment horizontal="center" vertical="center" wrapText="1"/>
    </xf>
    <xf numFmtId="49" fontId="67" fillId="39" borderId="22" xfId="0" applyNumberFormat="1" applyFont="1" applyFill="1" applyBorder="1" applyAlignment="1">
      <alignment horizontal="center" vertical="center" wrapText="1"/>
    </xf>
    <xf numFmtId="173" fontId="63" fillId="35" borderId="0" xfId="1" applyNumberFormat="1" applyFont="1" applyFill="1" applyAlignment="1">
      <alignment horizontal="center" vertical="center" wrapText="1"/>
    </xf>
    <xf numFmtId="20" fontId="63" fillId="35" borderId="0" xfId="1" applyNumberFormat="1" applyFont="1" applyFill="1" applyAlignment="1">
      <alignment horizontal="center" vertical="center" wrapText="1"/>
    </xf>
    <xf numFmtId="49" fontId="63" fillId="35" borderId="0" xfId="1" applyNumberFormat="1" applyFont="1" applyFill="1" applyAlignment="1">
      <alignment horizontal="center" vertical="center" wrapText="1"/>
    </xf>
    <xf numFmtId="21" fontId="58" fillId="0" borderId="60" xfId="1" applyNumberFormat="1" applyFont="1" applyBorder="1" applyAlignment="1">
      <alignment horizontal="center" vertical="center" wrapText="1"/>
    </xf>
    <xf numFmtId="0" fontId="8" fillId="0" borderId="60" xfId="1" applyFont="1" applyBorder="1" applyAlignment="1">
      <alignment horizontal="center" vertical="center" wrapText="1"/>
    </xf>
    <xf numFmtId="168" fontId="68" fillId="24" borderId="23" xfId="4" applyNumberFormat="1" applyFont="1" applyFill="1" applyBorder="1" applyAlignment="1" applyProtection="1">
      <alignment horizontal="center" vertical="center" wrapText="1"/>
    </xf>
    <xf numFmtId="3" fontId="58" fillId="0" borderId="0" xfId="1" applyNumberFormat="1" applyFont="1" applyAlignment="1">
      <alignment horizontal="center" vertical="center" wrapText="1"/>
    </xf>
    <xf numFmtId="0" fontId="58" fillId="7" borderId="0" xfId="1" applyFont="1" applyFill="1" applyAlignment="1">
      <alignment horizontal="center" vertical="center" wrapText="1"/>
    </xf>
    <xf numFmtId="167" fontId="59" fillId="0" borderId="0" xfId="1" applyNumberFormat="1" applyFont="1"/>
    <xf numFmtId="175" fontId="6" fillId="0" borderId="0" xfId="1" applyNumberFormat="1"/>
    <xf numFmtId="0" fontId="58" fillId="0" borderId="0" xfId="1" applyFont="1" applyAlignment="1">
      <alignment horizontal="center" vertical="center" wrapText="1"/>
    </xf>
    <xf numFmtId="3" fontId="6" fillId="5" borderId="0" xfId="1" applyNumberFormat="1" applyFill="1" applyAlignment="1">
      <alignment horizontal="center"/>
    </xf>
    <xf numFmtId="0" fontId="53" fillId="5" borderId="0" xfId="1" applyFont="1" applyFill="1" applyAlignment="1">
      <alignment horizontal="left"/>
    </xf>
    <xf numFmtId="0" fontId="6" fillId="5" borderId="0" xfId="1" applyFill="1"/>
    <xf numFmtId="168" fontId="59" fillId="7" borderId="0" xfId="1" applyNumberFormat="1" applyFont="1" applyFill="1" applyAlignment="1">
      <alignment horizontal="center" vertical="center" wrapText="1"/>
    </xf>
    <xf numFmtId="3" fontId="59" fillId="0" borderId="0" xfId="1" applyNumberFormat="1" applyFont="1"/>
    <xf numFmtId="3" fontId="6" fillId="0" borderId="0" xfId="1" applyNumberFormat="1"/>
    <xf numFmtId="0" fontId="7" fillId="6" borderId="0" xfId="0" applyFont="1" applyFill="1" applyAlignment="1">
      <alignment horizontal="center" vertical="center"/>
    </xf>
    <xf numFmtId="49" fontId="7" fillId="6" borderId="0" xfId="0" applyNumberFormat="1" applyFont="1" applyFill="1" applyAlignment="1">
      <alignment horizontal="center" vertical="center"/>
    </xf>
    <xf numFmtId="166" fontId="72" fillId="6" borderId="0" xfId="1" applyNumberFormat="1" applyFont="1" applyFill="1" applyAlignment="1">
      <alignment horizontal="center" vertical="center"/>
    </xf>
    <xf numFmtId="168" fontId="50" fillId="0" borderId="0" xfId="1" applyNumberFormat="1" applyFont="1"/>
    <xf numFmtId="3" fontId="73" fillId="0" borderId="0" xfId="1" applyNumberFormat="1" applyFont="1"/>
    <xf numFmtId="168" fontId="0" fillId="0" borderId="0" xfId="0" applyNumberFormat="1" applyAlignment="1">
      <alignment horizontal="center" vertical="center"/>
    </xf>
    <xf numFmtId="0" fontId="44" fillId="0" borderId="0" xfId="1" applyFont="1" applyAlignment="1">
      <alignment horizontal="center"/>
    </xf>
    <xf numFmtId="168" fontId="62" fillId="0" borderId="0" xfId="1" applyNumberFormat="1" applyFont="1"/>
    <xf numFmtId="3" fontId="51" fillId="0" borderId="0" xfId="1" applyNumberFormat="1" applyFont="1"/>
    <xf numFmtId="3" fontId="44" fillId="0" borderId="0" xfId="1" applyNumberFormat="1" applyFont="1"/>
    <xf numFmtId="176" fontId="75" fillId="0" borderId="0" xfId="4" applyNumberFormat="1" applyFont="1" applyFill="1" applyBorder="1" applyAlignment="1" applyProtection="1">
      <alignment vertical="center"/>
    </xf>
    <xf numFmtId="0" fontId="27" fillId="0" borderId="0" xfId="1" applyFont="1" applyAlignment="1">
      <alignment horizontal="center"/>
    </xf>
    <xf numFmtId="166" fontId="10" fillId="41" borderId="6" xfId="1" applyNumberFormat="1" applyFont="1" applyFill="1" applyBorder="1" applyAlignment="1">
      <alignment horizontal="center" vertical="center"/>
    </xf>
    <xf numFmtId="166" fontId="10" fillId="41" borderId="7" xfId="1" applyNumberFormat="1" applyFont="1" applyFill="1" applyBorder="1" applyAlignment="1">
      <alignment horizontal="center" vertical="center"/>
    </xf>
    <xf numFmtId="0" fontId="1" fillId="0" borderId="7" xfId="0" applyFont="1" applyBorder="1" applyAlignment="1">
      <alignment horizontal="center" vertical="center"/>
    </xf>
    <xf numFmtId="0" fontId="1" fillId="0" borderId="8" xfId="0" applyFont="1" applyBorder="1"/>
    <xf numFmtId="0" fontId="1" fillId="0" borderId="8" xfId="0" applyFont="1" applyBorder="1" applyAlignment="1">
      <alignment horizontal="center" vertical="center"/>
    </xf>
    <xf numFmtId="0" fontId="1" fillId="0" borderId="7" xfId="0" applyFont="1" applyBorder="1"/>
    <xf numFmtId="0" fontId="1" fillId="0" borderId="0" xfId="0" applyFont="1"/>
    <xf numFmtId="0" fontId="1" fillId="0" borderId="7" xfId="0" applyFont="1" applyBorder="1" applyAlignment="1">
      <alignment horizontal="center"/>
    </xf>
    <xf numFmtId="166" fontId="10" fillId="6" borderId="6" xfId="1" applyNumberFormat="1" applyFont="1" applyFill="1" applyBorder="1" applyAlignment="1">
      <alignment horizontal="center" vertical="center"/>
    </xf>
    <xf numFmtId="0" fontId="10" fillId="5" borderId="22" xfId="1" applyFont="1" applyFill="1" applyBorder="1" applyAlignment="1">
      <alignment horizontal="center" vertical="center" wrapText="1"/>
    </xf>
    <xf numFmtId="166" fontId="10" fillId="9" borderId="7" xfId="1" applyNumberFormat="1" applyFont="1" applyFill="1" applyBorder="1" applyAlignment="1">
      <alignment horizontal="center" vertical="center"/>
    </xf>
    <xf numFmtId="0" fontId="10" fillId="9" borderId="7" xfId="0" applyFont="1" applyFill="1" applyBorder="1" applyAlignment="1" applyProtection="1">
      <alignment horizontal="center" vertical="center"/>
      <protection locked="0" hidden="1"/>
    </xf>
    <xf numFmtId="0" fontId="77" fillId="0" borderId="0" xfId="0" applyFont="1"/>
    <xf numFmtId="0" fontId="76" fillId="0" borderId="7" xfId="0" applyFont="1" applyBorder="1" applyAlignment="1">
      <alignment horizontal="center"/>
    </xf>
    <xf numFmtId="0" fontId="76" fillId="0" borderId="64" xfId="0" applyFont="1" applyBorder="1" applyAlignment="1">
      <alignment horizontal="center" wrapText="1"/>
    </xf>
    <xf numFmtId="0" fontId="77" fillId="0" borderId="7" xfId="0" applyFont="1" applyBorder="1" applyAlignment="1">
      <alignment horizontal="center"/>
    </xf>
    <xf numFmtId="164" fontId="77" fillId="0" borderId="7" xfId="3" applyFont="1" applyBorder="1"/>
    <xf numFmtId="177" fontId="77" fillId="11" borderId="7" xfId="0" applyNumberFormat="1" applyFont="1" applyFill="1" applyBorder="1"/>
    <xf numFmtId="177" fontId="77" fillId="0" borderId="7" xfId="0" applyNumberFormat="1" applyFont="1" applyBorder="1"/>
    <xf numFmtId="164" fontId="77" fillId="0" borderId="0" xfId="0" applyNumberFormat="1" applyFont="1"/>
    <xf numFmtId="164" fontId="76" fillId="0" borderId="0" xfId="0" applyNumberFormat="1" applyFont="1"/>
    <xf numFmtId="177" fontId="77" fillId="0" borderId="0" xfId="0" applyNumberFormat="1" applyFont="1"/>
    <xf numFmtId="177" fontId="78" fillId="14" borderId="24" xfId="0" applyNumberFormat="1" applyFont="1" applyFill="1" applyBorder="1"/>
    <xf numFmtId="164" fontId="0" fillId="0" borderId="0" xfId="0" applyNumberFormat="1"/>
    <xf numFmtId="178" fontId="0" fillId="0" borderId="0" xfId="0" applyNumberFormat="1"/>
    <xf numFmtId="17" fontId="0" fillId="0" borderId="0" xfId="0" applyNumberFormat="1"/>
    <xf numFmtId="177" fontId="77" fillId="0" borderId="7" xfId="3" applyNumberFormat="1" applyFont="1" applyBorder="1"/>
    <xf numFmtId="164" fontId="77" fillId="7" borderId="7" xfId="3" applyFont="1" applyFill="1" applyBorder="1"/>
    <xf numFmtId="177" fontId="0" fillId="0" borderId="0" xfId="0" applyNumberFormat="1"/>
    <xf numFmtId="177" fontId="77" fillId="0" borderId="0" xfId="3" applyNumberFormat="1" applyFont="1" applyFill="1" applyBorder="1"/>
    <xf numFmtId="177" fontId="0" fillId="0" borderId="7" xfId="0" applyNumberFormat="1" applyBorder="1"/>
    <xf numFmtId="0" fontId="8" fillId="0" borderId="7" xfId="1" applyFont="1" applyBorder="1"/>
    <xf numFmtId="0" fontId="7" fillId="42" borderId="1" xfId="1" applyFont="1" applyFill="1" applyBorder="1" applyAlignment="1">
      <alignment horizontal="center" vertical="center" wrapText="1"/>
    </xf>
    <xf numFmtId="0" fontId="1" fillId="0" borderId="8" xfId="0" applyFont="1" applyBorder="1" applyAlignment="1">
      <alignment horizontal="center"/>
    </xf>
    <xf numFmtId="1" fontId="1" fillId="0" borderId="7" xfId="0" applyNumberFormat="1" applyFont="1" applyBorder="1"/>
    <xf numFmtId="1" fontId="8" fillId="0" borderId="14" xfId="1" applyNumberFormat="1" applyFont="1" applyBorder="1" applyAlignment="1">
      <alignment horizontal="center"/>
    </xf>
    <xf numFmtId="166" fontId="8" fillId="11" borderId="14" xfId="1" applyNumberFormat="1" applyFont="1" applyFill="1" applyBorder="1" applyAlignment="1">
      <alignment horizontal="center"/>
    </xf>
    <xf numFmtId="179" fontId="8" fillId="11" borderId="14" xfId="1" applyNumberFormat="1" applyFont="1" applyFill="1" applyBorder="1" applyAlignment="1">
      <alignment horizontal="center"/>
    </xf>
    <xf numFmtId="173" fontId="63" fillId="43" borderId="7" xfId="1" applyNumberFormat="1" applyFont="1" applyFill="1" applyBorder="1" applyAlignment="1">
      <alignment horizontal="center" vertical="center" wrapText="1"/>
    </xf>
    <xf numFmtId="20" fontId="63" fillId="43" borderId="7" xfId="1" applyNumberFormat="1" applyFont="1" applyFill="1" applyBorder="1" applyAlignment="1">
      <alignment horizontal="center" vertical="center" wrapText="1"/>
    </xf>
    <xf numFmtId="49" fontId="63" fillId="43" borderId="7" xfId="1" applyNumberFormat="1" applyFont="1" applyFill="1" applyBorder="1" applyAlignment="1">
      <alignment horizontal="center" vertical="center" wrapText="1"/>
    </xf>
    <xf numFmtId="0" fontId="64" fillId="44" borderId="8" xfId="0" applyFont="1" applyFill="1" applyBorder="1" applyAlignment="1">
      <alignment horizontal="center" vertical="center"/>
    </xf>
    <xf numFmtId="0" fontId="62" fillId="0" borderId="0" xfId="1" applyFont="1" applyAlignment="1">
      <alignment horizontal="center"/>
    </xf>
    <xf numFmtId="0" fontId="9" fillId="4" borderId="0" xfId="1" applyFont="1" applyFill="1" applyAlignment="1">
      <alignment horizontal="center" vertical="center"/>
    </xf>
    <xf numFmtId="166" fontId="12" fillId="15" borderId="17" xfId="1" applyNumberFormat="1" applyFont="1" applyFill="1" applyBorder="1" applyAlignment="1">
      <alignment horizontal="center" vertical="center"/>
    </xf>
    <xf numFmtId="166" fontId="12" fillId="15" borderId="18" xfId="1" applyNumberFormat="1" applyFont="1" applyFill="1" applyBorder="1" applyAlignment="1">
      <alignment horizontal="center" vertical="center"/>
    </xf>
    <xf numFmtId="0" fontId="7" fillId="2" borderId="1" xfId="1" applyFont="1" applyFill="1" applyBorder="1" applyAlignment="1">
      <alignment horizontal="center" vertical="center"/>
    </xf>
    <xf numFmtId="0" fontId="7" fillId="3" borderId="2"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4" xfId="1" applyFont="1" applyFill="1" applyBorder="1" applyAlignment="1">
      <alignment horizontal="center" vertical="center"/>
    </xf>
    <xf numFmtId="0" fontId="0" fillId="17" borderId="7" xfId="0" applyFill="1" applyBorder="1" applyAlignment="1">
      <alignment horizontal="center" wrapText="1"/>
    </xf>
    <xf numFmtId="0" fontId="0" fillId="17" borderId="7" xfId="0" applyFill="1" applyBorder="1" applyAlignment="1">
      <alignment horizontal="center"/>
    </xf>
    <xf numFmtId="0" fontId="16" fillId="5" borderId="21" xfId="1" applyFont="1" applyFill="1" applyBorder="1" applyAlignment="1">
      <alignment horizontal="left" vertical="center" wrapText="1"/>
    </xf>
    <xf numFmtId="0" fontId="16" fillId="5" borderId="0" xfId="1" applyFont="1" applyFill="1" applyAlignment="1">
      <alignment horizontal="left" vertical="center" wrapText="1"/>
    </xf>
    <xf numFmtId="0" fontId="0" fillId="7" borderId="0" xfId="0" applyFill="1" applyAlignment="1">
      <alignment horizontal="center" wrapText="1"/>
    </xf>
    <xf numFmtId="0" fontId="0" fillId="7" borderId="0" xfId="0" applyFill="1" applyAlignment="1">
      <alignment horizontal="center"/>
    </xf>
    <xf numFmtId="0" fontId="0" fillId="16" borderId="0" xfId="0" applyFill="1" applyAlignment="1">
      <alignment horizontal="center" wrapText="1"/>
    </xf>
    <xf numFmtId="0" fontId="15" fillId="0" borderId="17" xfId="1" applyFont="1" applyBorder="1" applyAlignment="1">
      <alignment horizontal="center" vertical="center"/>
    </xf>
    <xf numFmtId="0" fontId="15" fillId="0" borderId="20" xfId="1" applyFont="1" applyBorder="1" applyAlignment="1">
      <alignment horizontal="center" vertical="center"/>
    </xf>
    <xf numFmtId="0" fontId="15" fillId="0" borderId="18" xfId="1" applyFont="1" applyBorder="1" applyAlignment="1">
      <alignment horizontal="center" vertical="center"/>
    </xf>
    <xf numFmtId="0" fontId="7" fillId="2" borderId="9" xfId="1" applyFont="1" applyFill="1" applyBorder="1" applyAlignment="1">
      <alignment horizontal="center" vertical="center"/>
    </xf>
    <xf numFmtId="0" fontId="7" fillId="3" borderId="10" xfId="1" applyFont="1" applyFill="1" applyBorder="1" applyAlignment="1">
      <alignment horizontal="center" vertical="center"/>
    </xf>
    <xf numFmtId="0" fontId="7" fillId="3" borderId="11" xfId="1" applyFont="1" applyFill="1" applyBorder="1" applyAlignment="1">
      <alignment horizontal="center" vertical="center"/>
    </xf>
    <xf numFmtId="0" fontId="7" fillId="3" borderId="12" xfId="1" applyFont="1" applyFill="1" applyBorder="1" applyAlignment="1">
      <alignment horizontal="center" vertical="center"/>
    </xf>
    <xf numFmtId="0" fontId="7" fillId="10" borderId="1" xfId="1" applyFont="1" applyFill="1" applyBorder="1" applyAlignment="1">
      <alignment horizontal="center" vertical="center"/>
    </xf>
    <xf numFmtId="0" fontId="7" fillId="10" borderId="9" xfId="1" applyFont="1" applyFill="1" applyBorder="1" applyAlignment="1">
      <alignment horizontal="center" vertical="center"/>
    </xf>
    <xf numFmtId="0" fontId="7" fillId="12" borderId="1" xfId="1" applyFont="1" applyFill="1" applyBorder="1" applyAlignment="1">
      <alignment horizontal="center" vertical="center"/>
    </xf>
    <xf numFmtId="0" fontId="10" fillId="5" borderId="1" xfId="1" applyFont="1" applyFill="1" applyBorder="1" applyAlignment="1">
      <alignment horizontal="left" vertical="center" wrapText="1"/>
    </xf>
    <xf numFmtId="0" fontId="7" fillId="12" borderId="9" xfId="1" applyFont="1" applyFill="1" applyBorder="1" applyAlignment="1">
      <alignment horizontal="center" vertical="center"/>
    </xf>
    <xf numFmtId="0" fontId="16" fillId="5" borderId="30" xfId="1" applyFont="1" applyFill="1" applyBorder="1" applyAlignment="1">
      <alignment horizontal="left" vertical="top" wrapText="1"/>
    </xf>
    <xf numFmtId="0" fontId="16" fillId="5" borderId="31" xfId="1" applyFont="1" applyFill="1" applyBorder="1" applyAlignment="1">
      <alignment horizontal="left" vertical="top" wrapText="1"/>
    </xf>
    <xf numFmtId="0" fontId="16" fillId="5" borderId="21" xfId="1" applyFont="1" applyFill="1" applyBorder="1" applyAlignment="1">
      <alignment horizontal="left" vertical="top" wrapText="1"/>
    </xf>
    <xf numFmtId="0" fontId="16" fillId="5" borderId="0" xfId="1" applyFont="1" applyFill="1" applyAlignment="1">
      <alignment horizontal="left" vertical="top" wrapText="1"/>
    </xf>
    <xf numFmtId="0" fontId="15" fillId="0" borderId="17" xfId="1" applyFont="1" applyBorder="1" applyAlignment="1">
      <alignment horizontal="left" vertical="center"/>
    </xf>
    <xf numFmtId="0" fontId="15" fillId="0" borderId="20" xfId="1" applyFont="1" applyBorder="1" applyAlignment="1">
      <alignment horizontal="left" vertical="center"/>
    </xf>
    <xf numFmtId="0" fontId="15" fillId="0" borderId="18" xfId="1" applyFont="1" applyBorder="1" applyAlignment="1">
      <alignment horizontal="left" vertical="center"/>
    </xf>
    <xf numFmtId="0" fontId="7" fillId="12" borderId="10" xfId="1" applyFont="1" applyFill="1" applyBorder="1" applyAlignment="1">
      <alignment horizontal="center" vertical="center"/>
    </xf>
    <xf numFmtId="0" fontId="7" fillId="12" borderId="11" xfId="1" applyFont="1" applyFill="1" applyBorder="1" applyAlignment="1">
      <alignment horizontal="center" vertical="center"/>
    </xf>
    <xf numFmtId="0" fontId="7" fillId="12" borderId="12" xfId="1" applyFont="1" applyFill="1" applyBorder="1" applyAlignment="1">
      <alignment horizontal="center" vertical="center"/>
    </xf>
    <xf numFmtId="0" fontId="7" fillId="12" borderId="2" xfId="1" applyFont="1" applyFill="1" applyBorder="1" applyAlignment="1">
      <alignment horizontal="center" vertical="center"/>
    </xf>
    <xf numFmtId="0" fontId="7" fillId="12" borderId="3" xfId="1" applyFont="1" applyFill="1" applyBorder="1" applyAlignment="1">
      <alignment horizontal="center" vertical="center"/>
    </xf>
    <xf numFmtId="0" fontId="7" fillId="12" borderId="4" xfId="1" applyFont="1" applyFill="1" applyBorder="1" applyAlignment="1">
      <alignment horizontal="center" vertical="center"/>
    </xf>
    <xf numFmtId="0" fontId="29" fillId="5" borderId="21" xfId="1" applyFont="1" applyFill="1" applyBorder="1" applyAlignment="1">
      <alignment horizontal="left" vertical="top" wrapText="1"/>
    </xf>
    <xf numFmtId="0" fontId="29" fillId="5" borderId="0" xfId="1" applyFont="1" applyFill="1" applyAlignment="1">
      <alignment horizontal="left" vertical="top" wrapText="1"/>
    </xf>
    <xf numFmtId="0" fontId="17" fillId="5" borderId="21" xfId="1" applyFont="1" applyFill="1" applyBorder="1" applyAlignment="1">
      <alignment horizontal="left" vertical="top" wrapText="1"/>
    </xf>
    <xf numFmtId="3" fontId="74" fillId="0" borderId="0" xfId="1" applyNumberFormat="1" applyFont="1" applyAlignment="1">
      <alignment horizontal="center" vertical="center"/>
    </xf>
    <xf numFmtId="3" fontId="57" fillId="24" borderId="52" xfId="1" applyNumberFormat="1" applyFont="1" applyFill="1" applyBorder="1" applyAlignment="1">
      <alignment horizontal="center" vertical="center"/>
    </xf>
    <xf numFmtId="3" fontId="57" fillId="24" borderId="53" xfId="1" applyNumberFormat="1" applyFont="1" applyFill="1" applyBorder="1" applyAlignment="1">
      <alignment horizontal="center" vertical="center"/>
    </xf>
    <xf numFmtId="3" fontId="57" fillId="24" borderId="54" xfId="1" applyNumberFormat="1" applyFont="1" applyFill="1" applyBorder="1" applyAlignment="1">
      <alignment horizontal="center" vertical="center"/>
    </xf>
    <xf numFmtId="14" fontId="37" fillId="33" borderId="55" xfId="1" applyNumberFormat="1" applyFont="1" applyFill="1" applyBorder="1" applyAlignment="1">
      <alignment horizontal="center" vertical="center"/>
    </xf>
    <xf numFmtId="14" fontId="37" fillId="33" borderId="56" xfId="1" applyNumberFormat="1" applyFont="1" applyFill="1" applyBorder="1" applyAlignment="1">
      <alignment horizontal="center" vertical="center"/>
    </xf>
    <xf numFmtId="0" fontId="34" fillId="24" borderId="61" xfId="1" applyFont="1" applyFill="1" applyBorder="1" applyAlignment="1">
      <alignment horizontal="center" vertical="center" wrapText="1"/>
    </xf>
    <xf numFmtId="0" fontId="34" fillId="24" borderId="62" xfId="1" applyFont="1" applyFill="1" applyBorder="1" applyAlignment="1">
      <alignment horizontal="center" vertical="center" wrapText="1"/>
    </xf>
    <xf numFmtId="0" fontId="69" fillId="34" borderId="33" xfId="1" applyFont="1" applyFill="1" applyBorder="1" applyAlignment="1">
      <alignment horizontal="center" vertical="center"/>
    </xf>
    <xf numFmtId="3" fontId="69" fillId="40" borderId="33" xfId="1" applyNumberFormat="1" applyFont="1" applyFill="1" applyBorder="1" applyAlignment="1">
      <alignment horizontal="center" vertical="center"/>
    </xf>
    <xf numFmtId="3" fontId="69" fillId="34" borderId="33" xfId="1" applyNumberFormat="1" applyFont="1" applyFill="1" applyBorder="1" applyAlignment="1">
      <alignment horizontal="center" vertical="center"/>
    </xf>
    <xf numFmtId="167" fontId="44" fillId="11" borderId="8" xfId="1" applyNumberFormat="1" applyFont="1" applyFill="1" applyBorder="1" applyAlignment="1">
      <alignment horizontal="center"/>
    </xf>
    <xf numFmtId="167" fontId="44" fillId="11" borderId="23" xfId="1" applyNumberFormat="1" applyFont="1" applyFill="1" applyBorder="1" applyAlignment="1">
      <alignment horizontal="center"/>
    </xf>
    <xf numFmtId="167" fontId="19" fillId="19" borderId="8" xfId="1" applyNumberFormat="1" applyFont="1" applyFill="1" applyBorder="1" applyAlignment="1">
      <alignment horizontal="center"/>
    </xf>
    <xf numFmtId="167" fontId="19" fillId="19" borderId="23" xfId="1" applyNumberFormat="1" applyFont="1" applyFill="1" applyBorder="1" applyAlignment="1">
      <alignment horizontal="center"/>
    </xf>
    <xf numFmtId="0" fontId="70" fillId="0" borderId="63" xfId="1" applyFont="1" applyBorder="1" applyAlignment="1">
      <alignment horizontal="center" vertical="center"/>
    </xf>
    <xf numFmtId="176" fontId="71" fillId="0" borderId="63" xfId="4" applyNumberFormat="1" applyFont="1" applyFill="1" applyBorder="1" applyAlignment="1" applyProtection="1">
      <alignment horizontal="center" vertical="center"/>
    </xf>
    <xf numFmtId="167" fontId="44" fillId="11" borderId="28" xfId="1" applyNumberFormat="1" applyFont="1" applyFill="1" applyBorder="1" applyAlignment="1">
      <alignment horizontal="center"/>
    </xf>
    <xf numFmtId="167" fontId="44" fillId="11" borderId="42" xfId="1" applyNumberFormat="1" applyFont="1" applyFill="1" applyBorder="1" applyAlignment="1">
      <alignment horizontal="center"/>
    </xf>
    <xf numFmtId="3" fontId="57" fillId="24" borderId="49" xfId="1" applyNumberFormat="1" applyFont="1" applyFill="1" applyBorder="1" applyAlignment="1">
      <alignment horizontal="center" vertical="center"/>
    </xf>
    <xf numFmtId="3" fontId="57" fillId="24" borderId="50" xfId="1" applyNumberFormat="1" applyFont="1" applyFill="1" applyBorder="1" applyAlignment="1">
      <alignment horizontal="center" vertical="center"/>
    </xf>
    <xf numFmtId="3" fontId="57" fillId="24" borderId="51" xfId="1" applyNumberFormat="1" applyFont="1" applyFill="1" applyBorder="1" applyAlignment="1">
      <alignment horizontal="center" vertical="center"/>
    </xf>
    <xf numFmtId="167" fontId="19" fillId="0" borderId="7" xfId="1" applyNumberFormat="1" applyFont="1" applyBorder="1" applyAlignment="1">
      <alignment horizontal="center" vertical="center"/>
    </xf>
    <xf numFmtId="14" fontId="40" fillId="24" borderId="39" xfId="1" applyNumberFormat="1" applyFont="1" applyFill="1" applyBorder="1" applyAlignment="1">
      <alignment horizontal="center" vertical="center"/>
    </xf>
    <xf numFmtId="14" fontId="40" fillId="24" borderId="44" xfId="1" applyNumberFormat="1" applyFont="1" applyFill="1" applyBorder="1" applyAlignment="1">
      <alignment horizontal="center" vertical="center"/>
    </xf>
    <xf numFmtId="14" fontId="40" fillId="24" borderId="45" xfId="1" applyNumberFormat="1" applyFont="1" applyFill="1" applyBorder="1" applyAlignment="1">
      <alignment horizontal="center" vertical="center"/>
    </xf>
    <xf numFmtId="14" fontId="40" fillId="27" borderId="8" xfId="1" applyNumberFormat="1" applyFont="1" applyFill="1" applyBorder="1" applyAlignment="1">
      <alignment horizontal="center" vertical="center" wrapText="1"/>
    </xf>
    <xf numFmtId="14" fontId="40" fillId="27" borderId="24" xfId="1" applyNumberFormat="1" applyFont="1" applyFill="1" applyBorder="1" applyAlignment="1">
      <alignment horizontal="center" vertical="center" wrapText="1"/>
    </xf>
    <xf numFmtId="14" fontId="40" fillId="27" borderId="23" xfId="1" applyNumberFormat="1" applyFont="1" applyFill="1" applyBorder="1" applyAlignment="1">
      <alignment horizontal="center" vertical="center" wrapText="1"/>
    </xf>
    <xf numFmtId="167" fontId="19" fillId="0" borderId="8" xfId="1" applyNumberFormat="1" applyFont="1" applyBorder="1" applyAlignment="1">
      <alignment horizontal="center" vertical="center"/>
    </xf>
    <xf numFmtId="167" fontId="19" fillId="0" borderId="24" xfId="1" applyNumberFormat="1" applyFont="1" applyBorder="1" applyAlignment="1">
      <alignment horizontal="center" vertical="center"/>
    </xf>
    <xf numFmtId="167" fontId="19" fillId="0" borderId="23" xfId="1" applyNumberFormat="1" applyFont="1" applyBorder="1" applyAlignment="1">
      <alignment horizontal="center" vertical="center"/>
    </xf>
    <xf numFmtId="14" fontId="40" fillId="24" borderId="38" xfId="1" applyNumberFormat="1" applyFont="1" applyFill="1" applyBorder="1" applyAlignment="1">
      <alignment horizontal="center" vertical="center"/>
    </xf>
    <xf numFmtId="14" fontId="40" fillId="27" borderId="7" xfId="1" applyNumberFormat="1" applyFont="1" applyFill="1" applyBorder="1" applyAlignment="1">
      <alignment horizontal="center" vertical="center" wrapText="1"/>
    </xf>
    <xf numFmtId="0" fontId="33" fillId="14" borderId="32" xfId="1" applyFont="1" applyFill="1" applyBorder="1" applyAlignment="1">
      <alignment horizontal="center" vertical="center"/>
    </xf>
    <xf numFmtId="0" fontId="34" fillId="14" borderId="33" xfId="1" applyFont="1" applyFill="1" applyBorder="1" applyAlignment="1">
      <alignment horizontal="center" vertical="center" wrapText="1"/>
    </xf>
    <xf numFmtId="14" fontId="40" fillId="25" borderId="7" xfId="1" applyNumberFormat="1" applyFont="1" applyFill="1" applyBorder="1" applyAlignment="1">
      <alignment horizontal="center" vertical="center" wrapText="1"/>
    </xf>
    <xf numFmtId="0" fontId="76" fillId="0" borderId="7" xfId="0" applyFont="1" applyBorder="1" applyAlignment="1">
      <alignment horizontal="center"/>
    </xf>
    <xf numFmtId="0" fontId="76" fillId="0" borderId="7" xfId="0" applyFont="1" applyBorder="1" applyAlignment="1">
      <alignment horizontal="center" wrapText="1"/>
    </xf>
    <xf numFmtId="0" fontId="25" fillId="0" borderId="0" xfId="0" applyFont="1" applyAlignment="1">
      <alignment horizontal="center"/>
    </xf>
    <xf numFmtId="0" fontId="25" fillId="0" borderId="17" xfId="0" applyFont="1" applyBorder="1" applyAlignment="1">
      <alignment horizontal="center"/>
    </xf>
    <xf numFmtId="0" fontId="25" fillId="0" borderId="20" xfId="0" applyFont="1" applyBorder="1" applyAlignment="1">
      <alignment horizontal="center"/>
    </xf>
    <xf numFmtId="0" fontId="25" fillId="0" borderId="18" xfId="0" applyFont="1" applyBorder="1" applyAlignment="1">
      <alignment horizontal="center"/>
    </xf>
  </cellXfs>
  <cellStyles count="5">
    <cellStyle name="Millares 2" xfId="4" xr:uid="{B5D27842-1ABA-7047-B615-FF2926428835}"/>
    <cellStyle name="Moneda [0] 2" xfId="3" xr:uid="{8DE10773-2CA2-B34A-9622-FC00020B3414}"/>
    <cellStyle name="Moneda 2" xfId="2" xr:uid="{80A846B5-2455-1B42-A9C0-7A358492721F}"/>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externalLink" Target="externalLinks/externalLink6.xml"/><Relationship Id="rId55" Type="http://schemas.openxmlformats.org/officeDocument/2006/relationships/externalLink" Target="externalLinks/externalLink1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3" Type="http://schemas.openxmlformats.org/officeDocument/2006/relationships/externalLink" Target="externalLinks/externalLink9.xml"/><Relationship Id="rId58"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4.xml"/><Relationship Id="rId56" Type="http://schemas.openxmlformats.org/officeDocument/2006/relationships/externalLink" Target="externalLinks/externalLink12.xml"/><Relationship Id="rId8" Type="http://schemas.openxmlformats.org/officeDocument/2006/relationships/worksheet" Target="worksheets/sheet8.xml"/><Relationship Id="rId51" Type="http://schemas.openxmlformats.org/officeDocument/2006/relationships/externalLink" Target="externalLinks/externalLink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59"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5.xml"/><Relationship Id="rId57"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8.xml"/><Relationship Id="rId6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406400</xdr:colOff>
      <xdr:row>74</xdr:row>
      <xdr:rowOff>1955800</xdr:rowOff>
    </xdr:from>
    <xdr:to>
      <xdr:col>3</xdr:col>
      <xdr:colOff>2819400</xdr:colOff>
      <xdr:row>79</xdr:row>
      <xdr:rowOff>321783</xdr:rowOff>
    </xdr:to>
    <xdr:pic>
      <xdr:nvPicPr>
        <xdr:cNvPr id="2" name="Imagen 1">
          <a:extLst>
            <a:ext uri="{FF2B5EF4-FFF2-40B4-BE49-F238E27FC236}">
              <a16:creationId xmlns:a16="http://schemas.microsoft.com/office/drawing/2014/main" id="{C71CE712-7501-C282-22CE-CC0F0DE7E4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400" y="20955000"/>
          <a:ext cx="10591800" cy="7586183"/>
        </a:xfrm>
        <a:prstGeom prst="rect">
          <a:avLst/>
        </a:prstGeom>
      </xdr:spPr>
    </xdr:pic>
    <xdr:clientData/>
  </xdr:twoCellAnchor>
  <xdr:twoCellAnchor editAs="oneCell">
    <xdr:from>
      <xdr:col>3</xdr:col>
      <xdr:colOff>3022600</xdr:colOff>
      <xdr:row>74</xdr:row>
      <xdr:rowOff>2209800</xdr:rowOff>
    </xdr:from>
    <xdr:to>
      <xdr:col>8</xdr:col>
      <xdr:colOff>2032000</xdr:colOff>
      <xdr:row>79</xdr:row>
      <xdr:rowOff>465251</xdr:rowOff>
    </xdr:to>
    <xdr:pic>
      <xdr:nvPicPr>
        <xdr:cNvPr id="3" name="Imagen 2">
          <a:extLst>
            <a:ext uri="{FF2B5EF4-FFF2-40B4-BE49-F238E27FC236}">
              <a16:creationId xmlns:a16="http://schemas.microsoft.com/office/drawing/2014/main" id="{D4C2BA13-063F-9A21-9FD7-03E2292ACA2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2807"/>
        <a:stretch/>
      </xdr:blipFill>
      <xdr:spPr bwMode="auto">
        <a:xfrm>
          <a:off x="11201400" y="21209000"/>
          <a:ext cx="10871200" cy="7475651"/>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PROGRAMACION%20DE%20SERVICIOS%20%20SEP%20A%20DICIEMBRE%2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DE%20SERVICIOS%20JUVENTUD%201%20JULI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libardo.sanchez/Desktop/CICLOV&#205;A/2019/CONTRATOS/CTO%203053%20-%202019/SOLICITUDES%20ACTIVA%20365/JULIO/SOLICITUD%20DE%20SERVICIOS%20JUVENTUD%201%20JULI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SEPTIEMBRE/SOLICITUD%20SERVICIOS%20FESTIPARQUE%2015%20SEPTIE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INCLUYENTE%2031%20JULI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JUVENTUD%2031%20JULIO%20Y%202%20AGOS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ew24/Desktop/1.PROGRAMACIONMENSUALDESERVICIOSV12%20ACTIVIDAD%20ESCUELA%20DE%20LA%20BICICLETA%20-%20BOSA%20-%20PORVENI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TEC/SOLICITUD%20DE%20SERVICIOS%20TEC%203%20Y%204%20DE%20SEPTIEMBRE.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1.Agosto&#61480;\PREFACTURA%20AGOSTO%2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Volumes/LUIS%20M/40ENTENA/EVIDENCIAS/2023/PROGRAMACIO&#769;N%20SERVICIOS%20LOGISTIC%20SAS/2.Septeimbre/PREFACTURA%20SEPTIEMBRE.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4.%20Noviembre\PREFACTURA%20NOVIEMBR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Volumes/LUIS%20M/40ENTENA/EVIDENCIAS/2023/PROGRAMACIO&#769;N%20SERVICIOS%20LOGISTIC%20SAS/5.%20Diciembre/Copia%20de%20PREFACTURA%20DICIEMBRE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L SERV"/>
      <sheetName val="DATOS"/>
    </sheetNames>
    <sheetDataSet>
      <sheetData sheetId="0"/>
      <sheetData sheetId="1">
        <row r="3">
          <cell r="D3" t="str">
            <v>DEPORTES - DEPORTE MEJOR PARA TODOS</v>
          </cell>
        </row>
        <row r="4">
          <cell r="D4" t="str">
            <v>DEPORTES - RENDIMIENTO DEPORTIVO AL 100 X 100</v>
          </cell>
          <cell r="H4" t="str">
            <v>1. MUÉVETE BOGOTÁ</v>
          </cell>
        </row>
        <row r="5">
          <cell r="D5" t="str">
            <v>DEPORTES - TIEMPO ESCOLAR COMPLEMENTARIO</v>
          </cell>
          <cell r="H5" t="str">
            <v>2. DEPORTE ESCOLAR</v>
          </cell>
        </row>
        <row r="6">
          <cell r="D6" t="str">
            <v>RECREACIÓN - RECREACIÓN ACTIVA 365</v>
          </cell>
          <cell r="H6" t="str">
            <v>3.1. AP CERT DEP 
Nuevas Tendencias Deportivas</v>
          </cell>
        </row>
        <row r="7">
          <cell r="H7" t="str">
            <v xml:space="preserve">3.2. AP CERT DEP 
Bogotá Corre Mejor para Todos </v>
          </cell>
        </row>
        <row r="8">
          <cell r="H8" t="str">
            <v xml:space="preserve">3.3. AP CERT DEP 
Eventos Deportivos                                                                             </v>
          </cell>
        </row>
        <row r="9">
          <cell r="H9" t="str">
            <v>4. FESTIVAL DE VERANO</v>
          </cell>
        </row>
        <row r="10">
          <cell r="H10" t="str">
            <v>5.1. ESC DEP 
Escuelas de mi Barrio</v>
          </cell>
        </row>
        <row r="11">
          <cell r="H11" t="str">
            <v>5.2 ESC DEP 
Escuelas de Natación Convenio</v>
          </cell>
        </row>
        <row r="12">
          <cell r="H12" t="str">
            <v>5.3 ESC DEP 
Escuelas de natación CASB</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K4" t="str">
            <v>1. SESIONES DE CLASE</v>
          </cell>
        </row>
        <row r="5">
          <cell r="K5" t="str">
            <v>2.1. EV DEP Fest Dep Intramurales</v>
          </cell>
        </row>
        <row r="6">
          <cell r="K6" t="str">
            <v>2.2. EV DEP 
Fest Dep Inter IED</v>
          </cell>
        </row>
        <row r="7">
          <cell r="K7" t="str">
            <v>2.3. EV DEP 
Fest Dep de Habilidades Especificas.</v>
          </cell>
        </row>
        <row r="8">
          <cell r="K8" t="str">
            <v>3. SEMILLEROS DEPORTIVOS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 val="DATOS"/>
    </sheetNames>
    <sheetDataSet>
      <sheetData sheetId="0"/>
      <sheetData sheetId="1">
        <row r="4">
          <cell r="H4" t="str">
            <v>1. MUÉVETE BOGOTÁ</v>
          </cell>
          <cell r="J4" t="str">
            <v>1. CICLOVÍA</v>
          </cell>
        </row>
        <row r="5">
          <cell r="H5" t="str">
            <v>2. DEPORTE ESCOLAR</v>
          </cell>
          <cell r="J5" t="str">
            <v>1.1. CICLOVÍA
Cicloexperiencias</v>
          </cell>
        </row>
        <row r="6">
          <cell r="H6" t="str">
            <v>3.1. AP CERT DEP 
Nuevas Tendencias Deportivas</v>
          </cell>
          <cell r="J6" t="str">
            <v>2. RECREOVÍA</v>
          </cell>
        </row>
        <row r="7">
          <cell r="H7" t="str">
            <v xml:space="preserve">3.2. AP CERT DEP 
Bogotá Corre Mejor para Todos </v>
          </cell>
          <cell r="J7" t="str">
            <v>3. EVENTOS METROPOLITANOS</v>
          </cell>
        </row>
        <row r="8">
          <cell r="H8" t="str">
            <v xml:space="preserve">3.3. AP CERT DEP 
Eventos Deportivos                                                                             </v>
          </cell>
          <cell r="J8" t="str">
            <v>4. RECREACIÓN PARA LA INFANCIA</v>
          </cell>
        </row>
        <row r="9">
          <cell r="H9" t="str">
            <v>4. FESTIVAL DE VERANO</v>
          </cell>
          <cell r="J9" t="str">
            <v>5. RECREACIÓN PARA LA JUVENTUD</v>
          </cell>
        </row>
        <row r="10">
          <cell r="H10" t="str">
            <v>5.1. ESC DEP 
Escuelas de mi Barrio</v>
          </cell>
          <cell r="J10" t="str">
            <v>6. RECREACIÓN PARA PERSONAS MAYORES</v>
          </cell>
        </row>
        <row r="11">
          <cell r="H11" t="str">
            <v>5.2 ESC DEP 
Escuelas de Natación Convenio</v>
          </cell>
          <cell r="J11" t="str">
            <v>7. RECREACIÓN INCLUYENTE</v>
          </cell>
        </row>
        <row r="12">
          <cell r="H12" t="str">
            <v>5.3 ESC DEP 
Escuelas de natación CASB</v>
          </cell>
          <cell r="J12" t="str">
            <v>8. RECREACIÓN COMUNITARIA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J4" t="str">
            <v>1. CICLOVÍA</v>
          </cell>
        </row>
        <row r="5">
          <cell r="J5" t="str">
            <v>1.1. CICLOVÍA
Cicloexperiencias</v>
          </cell>
        </row>
        <row r="6">
          <cell r="J6" t="str">
            <v>2. RECREOVÍA</v>
          </cell>
        </row>
        <row r="7">
          <cell r="J7" t="str">
            <v>3. EVENTOS METROPOLITANOS</v>
          </cell>
        </row>
        <row r="8">
          <cell r="J8" t="str">
            <v>4. RECREACIÓN PARA LA INFANCIA</v>
          </cell>
        </row>
        <row r="9">
          <cell r="J9" t="str">
            <v>5. RECREACIÓN PARA LA JUVENTUD</v>
          </cell>
        </row>
        <row r="10">
          <cell r="J10" t="str">
            <v>6. RECREACIÓN PARA PERSONAS MAYORES</v>
          </cell>
        </row>
        <row r="11">
          <cell r="J11" t="str">
            <v>7. RECREACIÓN INCLUYENTE</v>
          </cell>
        </row>
        <row r="12">
          <cell r="J12" t="str">
            <v>8. RECREACIÓN COMUNITARIA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row>
        <row r="5">
          <cell r="D5" t="str">
            <v>DEPORTES - TIEMPO ESCOLAR COMPLEMENTARIO</v>
          </cell>
        </row>
        <row r="6">
          <cell r="D6" t="str">
            <v>RECREACIÓN - RECREACIÓN ACTIVA 365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 val="Hoja1"/>
    </sheetNames>
    <sheetDataSet>
      <sheetData sheetId="0"/>
      <sheetData sheetId="1">
        <row r="4">
          <cell r="I4" t="str">
            <v>1.1. REND DEP 
Desarrollo Técnico y Social</v>
          </cell>
        </row>
        <row r="5">
          <cell r="I5" t="str">
            <v>1.2. REND DEP 
Medicina y Ciencias Aplicadas</v>
          </cell>
        </row>
        <row r="6">
          <cell r="I6" t="str">
            <v>2. APOYO GESTIÓN DE LIGAS</v>
          </cell>
        </row>
        <row r="7">
          <cell r="I7" t="str">
            <v>3. CENTROS DE PERFECCIONAMIENTO DEPORTIVO</v>
          </cell>
        </row>
        <row r="8">
          <cell r="I8" t="str">
            <v>4. INVESTIGACIÓN Y DESRROLLO EVOLUCIÓN ATLETAS DEL REGISTRO DE BOGOTÁ TRABAJO EN ALTURA</v>
          </cell>
        </row>
        <row r="9">
          <cell r="I9" t="str">
            <v>5. MEMORIA PROGRAMA RENDIMIENTO DEPORTIVO</v>
          </cell>
        </row>
        <row r="10">
          <cell r="I10" t="str">
            <v>6. ELABORACIÓN DEL PROGRAMA  DE FORMACIÓN PARA EL PERSONAL TÉCNICO DEL PROYECTO</v>
          </cell>
        </row>
        <row r="11">
          <cell r="I11" t="str">
            <v>7. APOYO A LA GESTIÓN</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07 AGOSTO  "/>
      <sheetName val="11 AGOSTO"/>
      <sheetName val="14 AGOSTO "/>
      <sheetName val="15 AGOSTO"/>
      <sheetName val="21 AGOSTO"/>
      <sheetName val="28 AGOSTO"/>
      <sheetName val="HORARIOS Y BODEGAS "/>
      <sheetName val="SALDOS POR PROYECTO"/>
      <sheetName val="INFORME FINAL AGOSTO"/>
      <sheetName val="CUENTAS"/>
    </sheetNames>
    <sheetDataSet>
      <sheetData sheetId="0"/>
      <sheetData sheetId="1"/>
      <sheetData sheetId="2"/>
      <sheetData sheetId="3"/>
      <sheetData sheetId="4"/>
      <sheetData sheetId="5"/>
      <sheetData sheetId="6"/>
      <sheetData sheetId="7"/>
      <sheetData sheetId="8"/>
      <sheetData sheetId="9">
        <row r="11">
          <cell r="M11">
            <v>108410427</v>
          </cell>
        </row>
        <row r="74">
          <cell r="K74">
            <v>290841</v>
          </cell>
        </row>
        <row r="75">
          <cell r="K75">
            <v>290841</v>
          </cell>
        </row>
        <row r="76">
          <cell r="K76">
            <v>290841</v>
          </cell>
        </row>
        <row r="77">
          <cell r="K77">
            <v>290841</v>
          </cell>
        </row>
        <row r="78">
          <cell r="K78">
            <v>290841</v>
          </cell>
        </row>
        <row r="79">
          <cell r="K79">
            <v>290841</v>
          </cell>
        </row>
        <row r="80">
          <cell r="K80">
            <v>290841</v>
          </cell>
        </row>
        <row r="81">
          <cell r="K81">
            <v>290841</v>
          </cell>
        </row>
        <row r="82">
          <cell r="K82">
            <v>290841</v>
          </cell>
        </row>
        <row r="83">
          <cell r="K83">
            <v>290841</v>
          </cell>
        </row>
        <row r="84">
          <cell r="K84">
            <v>290841</v>
          </cell>
        </row>
        <row r="85">
          <cell r="K85">
            <v>386383</v>
          </cell>
        </row>
        <row r="86">
          <cell r="K86">
            <v>290841</v>
          </cell>
        </row>
        <row r="87">
          <cell r="K87">
            <v>290841</v>
          </cell>
        </row>
        <row r="88">
          <cell r="K88">
            <v>290841</v>
          </cell>
        </row>
        <row r="89">
          <cell r="K89">
            <v>290841</v>
          </cell>
        </row>
        <row r="90">
          <cell r="K90">
            <v>290841</v>
          </cell>
        </row>
        <row r="91">
          <cell r="K91">
            <v>450204</v>
          </cell>
        </row>
        <row r="92">
          <cell r="K92">
            <v>450204</v>
          </cell>
        </row>
        <row r="93">
          <cell r="K93">
            <v>386383</v>
          </cell>
        </row>
        <row r="94">
          <cell r="K94">
            <v>345928</v>
          </cell>
        </row>
        <row r="95">
          <cell r="K95">
            <v>53577</v>
          </cell>
        </row>
        <row r="96">
          <cell r="K96">
            <v>53577</v>
          </cell>
        </row>
        <row r="97">
          <cell r="K97">
            <v>53577</v>
          </cell>
        </row>
        <row r="98">
          <cell r="K98">
            <v>53577</v>
          </cell>
        </row>
        <row r="99">
          <cell r="K99">
            <v>345928</v>
          </cell>
        </row>
        <row r="100">
          <cell r="K100">
            <v>345928</v>
          </cell>
        </row>
        <row r="101">
          <cell r="K101">
            <v>236854</v>
          </cell>
        </row>
        <row r="102">
          <cell r="K102">
            <v>283531</v>
          </cell>
        </row>
        <row r="103">
          <cell r="K103">
            <v>290841</v>
          </cell>
        </row>
        <row r="104">
          <cell r="K104">
            <v>345928</v>
          </cell>
        </row>
        <row r="105">
          <cell r="K105">
            <v>290841</v>
          </cell>
        </row>
        <row r="106">
          <cell r="K106">
            <v>386383</v>
          </cell>
        </row>
        <row r="107">
          <cell r="K107">
            <v>509192</v>
          </cell>
        </row>
        <row r="108">
          <cell r="K108">
            <v>509192</v>
          </cell>
        </row>
        <row r="109">
          <cell r="K109">
            <v>509192</v>
          </cell>
        </row>
        <row r="110">
          <cell r="K110">
            <v>450204</v>
          </cell>
        </row>
        <row r="111">
          <cell r="K111">
            <v>290841</v>
          </cell>
        </row>
      </sheetData>
      <sheetData sheetId="1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FINAL SEPTIEMBRE"/>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 NOVIEMBRE"/>
      <sheetName val="07 NOVIEMBRE "/>
      <sheetName val="13 NOVIEMBRE"/>
      <sheetName val="14 NOVIEMBRE  "/>
      <sheetName val="20 NOVIEMBRE "/>
      <sheetName val="27 NOVIEMBRE "/>
      <sheetName val="INFORME FINAL NOVIEMEBRE"/>
      <sheetName val="SALDOS POR PROYECTO"/>
    </sheetNames>
    <sheetDataSet>
      <sheetData sheetId="0">
        <row r="25">
          <cell r="K25">
            <v>3</v>
          </cell>
        </row>
      </sheetData>
      <sheetData sheetId="1">
        <row r="25">
          <cell r="K25">
            <v>3</v>
          </cell>
        </row>
      </sheetData>
      <sheetData sheetId="2">
        <row r="25">
          <cell r="K25">
            <v>3</v>
          </cell>
        </row>
      </sheetData>
      <sheetData sheetId="3">
        <row r="25">
          <cell r="K25">
            <v>3</v>
          </cell>
        </row>
      </sheetData>
      <sheetData sheetId="4">
        <row r="25">
          <cell r="K25">
            <v>8</v>
          </cell>
        </row>
      </sheetData>
      <sheetData sheetId="5">
        <row r="70">
          <cell r="M70">
            <v>4354691</v>
          </cell>
        </row>
      </sheetData>
      <sheetData sheetId="6">
        <row r="70">
          <cell r="O70">
            <v>91833813</v>
          </cell>
        </row>
        <row r="73">
          <cell r="L73">
            <v>32334032</v>
          </cell>
        </row>
        <row r="74">
          <cell r="K74">
            <v>283531</v>
          </cell>
        </row>
        <row r="75">
          <cell r="K75">
            <v>509192</v>
          </cell>
        </row>
        <row r="76">
          <cell r="K76">
            <v>509192</v>
          </cell>
        </row>
        <row r="77">
          <cell r="K77">
            <v>509192</v>
          </cell>
        </row>
        <row r="78">
          <cell r="K78">
            <v>283531</v>
          </cell>
        </row>
        <row r="79">
          <cell r="K79">
            <v>283531</v>
          </cell>
        </row>
        <row r="80">
          <cell r="K80">
            <v>290841</v>
          </cell>
        </row>
        <row r="81">
          <cell r="K81">
            <v>225849</v>
          </cell>
        </row>
        <row r="82">
          <cell r="K82">
            <v>225849</v>
          </cell>
        </row>
        <row r="83">
          <cell r="K83">
            <v>236854</v>
          </cell>
        </row>
        <row r="84">
          <cell r="K84">
            <v>236854</v>
          </cell>
        </row>
        <row r="85">
          <cell r="K85">
            <v>179940</v>
          </cell>
        </row>
        <row r="86">
          <cell r="K86">
            <v>179940</v>
          </cell>
        </row>
        <row r="87">
          <cell r="K87">
            <v>179940</v>
          </cell>
        </row>
        <row r="88">
          <cell r="K88">
            <v>509192</v>
          </cell>
        </row>
        <row r="89">
          <cell r="K89">
            <v>509192</v>
          </cell>
        </row>
        <row r="90">
          <cell r="K90">
            <v>509192</v>
          </cell>
        </row>
        <row r="91">
          <cell r="K91">
            <v>509192</v>
          </cell>
        </row>
        <row r="92">
          <cell r="K92">
            <v>433978</v>
          </cell>
        </row>
        <row r="93">
          <cell r="K93">
            <v>509192</v>
          </cell>
        </row>
        <row r="94">
          <cell r="K94">
            <v>290841</v>
          </cell>
        </row>
        <row r="95">
          <cell r="K95">
            <v>433978</v>
          </cell>
        </row>
        <row r="96">
          <cell r="K96">
            <v>433978</v>
          </cell>
        </row>
        <row r="97">
          <cell r="K97">
            <v>290841</v>
          </cell>
        </row>
        <row r="98">
          <cell r="K98">
            <v>290841</v>
          </cell>
        </row>
        <row r="99">
          <cell r="K99">
            <v>179940</v>
          </cell>
        </row>
        <row r="100">
          <cell r="K100">
            <v>242399</v>
          </cell>
        </row>
        <row r="101">
          <cell r="K101">
            <v>225849</v>
          </cell>
        </row>
        <row r="102">
          <cell r="K102">
            <v>225849</v>
          </cell>
        </row>
        <row r="103">
          <cell r="K103">
            <v>236854</v>
          </cell>
        </row>
        <row r="104">
          <cell r="K104">
            <v>236854</v>
          </cell>
        </row>
        <row r="105">
          <cell r="K105">
            <v>179940</v>
          </cell>
        </row>
        <row r="106">
          <cell r="K106">
            <v>195220</v>
          </cell>
        </row>
        <row r="107">
          <cell r="K107">
            <v>225849</v>
          </cell>
        </row>
        <row r="108">
          <cell r="K108">
            <v>323189</v>
          </cell>
        </row>
        <row r="109">
          <cell r="K109">
            <v>290841</v>
          </cell>
        </row>
        <row r="110">
          <cell r="K110">
            <v>323189</v>
          </cell>
        </row>
        <row r="111">
          <cell r="K111">
            <v>290841</v>
          </cell>
        </row>
        <row r="112">
          <cell r="K112">
            <v>290841</v>
          </cell>
        </row>
        <row r="113">
          <cell r="K113">
            <v>290841</v>
          </cell>
        </row>
        <row r="114">
          <cell r="K114">
            <v>290841</v>
          </cell>
        </row>
        <row r="115">
          <cell r="K115">
            <v>290841</v>
          </cell>
        </row>
        <row r="116">
          <cell r="K116">
            <v>323189</v>
          </cell>
        </row>
        <row r="117">
          <cell r="K117">
            <v>290841</v>
          </cell>
        </row>
        <row r="118">
          <cell r="K118">
            <v>323189</v>
          </cell>
        </row>
        <row r="119">
          <cell r="K119">
            <v>290841</v>
          </cell>
        </row>
        <row r="120">
          <cell r="K120">
            <v>290841</v>
          </cell>
        </row>
        <row r="121">
          <cell r="K121">
            <v>290841</v>
          </cell>
        </row>
        <row r="122">
          <cell r="K122">
            <v>290841</v>
          </cell>
        </row>
        <row r="123">
          <cell r="K123">
            <v>290841</v>
          </cell>
        </row>
        <row r="124">
          <cell r="K124">
            <v>323463</v>
          </cell>
        </row>
        <row r="125">
          <cell r="K125">
            <v>323463</v>
          </cell>
        </row>
        <row r="126">
          <cell r="K126">
            <v>392186</v>
          </cell>
        </row>
        <row r="127">
          <cell r="K127">
            <v>392186</v>
          </cell>
        </row>
        <row r="128">
          <cell r="K128">
            <v>392186</v>
          </cell>
        </row>
        <row r="129">
          <cell r="K129">
            <v>392186</v>
          </cell>
        </row>
        <row r="130">
          <cell r="K130">
            <v>392186</v>
          </cell>
        </row>
        <row r="131">
          <cell r="K131">
            <v>392186</v>
          </cell>
        </row>
        <row r="132">
          <cell r="K132">
            <v>323463</v>
          </cell>
        </row>
        <row r="133">
          <cell r="K133">
            <v>323463</v>
          </cell>
        </row>
        <row r="134">
          <cell r="K134">
            <v>345928</v>
          </cell>
        </row>
        <row r="135">
          <cell r="K135">
            <v>345928</v>
          </cell>
        </row>
        <row r="136">
          <cell r="K136">
            <v>392186</v>
          </cell>
        </row>
      </sheetData>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FINAL DICIEMBRE"/>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LUIS MARTINEZ" id="{19AAD67A-4B56-F840-BE8D-A0BA02D4D9DF}" userId="f86206832d2588c8"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Y15" dT="2023-02-07T13:18:35.95" personId="{19AAD67A-4B56-F840-BE8D-A0BA02D4D9DF}" id="{7FA87125-ADF2-C840-AE6A-E0D5A1EDA2AC}">
    <text>Se adiciona un operario del camión de sevillana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9.bin"/><Relationship Id="rId4" Type="http://schemas.microsoft.com/office/2017/10/relationships/threadedComment" Target="../threadedComments/threadedComment1.xml"/></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0000"/>
  </sheetPr>
  <dimension ref="A1:AE174"/>
  <sheetViews>
    <sheetView view="pageBreakPreview" topLeftCell="D10" zoomScale="55" zoomScaleNormal="59" zoomScaleSheetLayoutView="55" workbookViewId="0">
      <selection activeCell="R36" sqref="R36"/>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customWidth="1"/>
    <col min="8" max="8" width="21.7109375" style="2" bestFit="1" customWidth="1"/>
    <col min="9" max="9" width="28.140625" style="2" customWidth="1"/>
    <col min="10" max="10" width="64.85546875" style="2" customWidth="1"/>
    <col min="11" max="11" width="14.28515625" style="2" customWidth="1"/>
    <col min="12" max="12" width="12.7109375" style="2" customWidth="1"/>
    <col min="13" max="13" width="20.85546875" style="2" customWidth="1"/>
    <col min="14" max="14" width="25.7109375" style="2" customWidth="1"/>
    <col min="15" max="15" width="34.285156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0" style="2" customWidth="1"/>
    <col min="25" max="25" width="25.42578125"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2</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02">
        <v>3</v>
      </c>
      <c r="C4" s="10">
        <v>1</v>
      </c>
      <c r="D4" s="10" t="s">
        <v>53</v>
      </c>
      <c r="E4" s="47" t="s">
        <v>55</v>
      </c>
      <c r="F4" s="12">
        <v>0</v>
      </c>
      <c r="G4" s="11">
        <f>+IF(F4="","",VLOOKUP(F4,$H$132:$I$175,2,FALSE))</f>
        <v>0</v>
      </c>
      <c r="H4" s="1"/>
      <c r="I4" s="4" t="s">
        <v>11</v>
      </c>
      <c r="J4" s="12" t="s">
        <v>54</v>
      </c>
      <c r="K4" s="13">
        <v>3</v>
      </c>
      <c r="L4" s="14">
        <v>1</v>
      </c>
      <c r="M4" s="15" t="s">
        <v>53</v>
      </c>
      <c r="N4" s="47" t="s">
        <v>55</v>
      </c>
      <c r="O4" s="12">
        <v>0</v>
      </c>
      <c r="P4" s="11">
        <f>+IF(O4="","",VLOOKUP(O4,$H$132:$I$175,2,FALSE))</f>
        <v>0</v>
      </c>
      <c r="Q4" s="1"/>
      <c r="R4" s="17" t="s">
        <v>12</v>
      </c>
      <c r="S4" s="18" t="s">
        <v>13</v>
      </c>
      <c r="T4" s="19">
        <v>3</v>
      </c>
      <c r="U4" s="19">
        <v>1</v>
      </c>
      <c r="V4" s="20" t="s">
        <v>53</v>
      </c>
      <c r="W4" s="47" t="s">
        <v>55</v>
      </c>
      <c r="X4" s="12">
        <v>0</v>
      </c>
      <c r="Y4" s="11">
        <f>+IF(X4="","",VLOOKUP(X4,$H$132:$I$175,2,FALSE))</f>
        <v>0</v>
      </c>
      <c r="AA4" s="21"/>
      <c r="AB4" s="22"/>
      <c r="AC4" s="22"/>
      <c r="AD4" s="23"/>
      <c r="AE4" s="24"/>
    </row>
    <row r="5" spans="1:31" ht="15.75" x14ac:dyDescent="0.25">
      <c r="A5" s="25" t="s">
        <v>14</v>
      </c>
      <c r="B5" s="103">
        <v>3</v>
      </c>
      <c r="C5" s="15">
        <v>1</v>
      </c>
      <c r="D5" s="15" t="s">
        <v>53</v>
      </c>
      <c r="E5" s="47" t="s">
        <v>55</v>
      </c>
      <c r="F5" s="12">
        <v>0</v>
      </c>
      <c r="G5" s="11">
        <f>+IF(F5="","",VLOOKUP(F5,$H$132:$I$175,2,FALSE))</f>
        <v>0</v>
      </c>
      <c r="H5" s="1"/>
      <c r="I5" s="4" t="s">
        <v>11</v>
      </c>
      <c r="J5" s="12" t="s">
        <v>58</v>
      </c>
      <c r="K5" s="13">
        <v>4</v>
      </c>
      <c r="L5" s="14">
        <v>1</v>
      </c>
      <c r="M5" s="15" t="s">
        <v>53</v>
      </c>
      <c r="N5" s="47" t="s">
        <v>55</v>
      </c>
      <c r="O5" s="12">
        <v>0</v>
      </c>
      <c r="P5" s="11">
        <f>+IF(O5="","",VLOOKUP(O5,$H$132:$I$175,2,FALSE))</f>
        <v>0</v>
      </c>
      <c r="Q5" s="1"/>
      <c r="R5" s="17" t="s">
        <v>12</v>
      </c>
      <c r="S5" s="18" t="s">
        <v>15</v>
      </c>
      <c r="T5" s="19">
        <v>3</v>
      </c>
      <c r="U5" s="19">
        <v>1</v>
      </c>
      <c r="V5" s="20" t="s">
        <v>53</v>
      </c>
      <c r="W5" s="47" t="s">
        <v>55</v>
      </c>
      <c r="X5" s="12">
        <v>0</v>
      </c>
      <c r="Y5" s="11">
        <f>+IF(X5="","",VLOOKUP(X5,$H$132:$I$175,2,FALSE))</f>
        <v>0</v>
      </c>
      <c r="AA5" s="21"/>
      <c r="AB5" s="22"/>
      <c r="AC5" s="22"/>
      <c r="AD5" s="23"/>
      <c r="AE5" s="24"/>
    </row>
    <row r="6" spans="1:31" ht="15.75" x14ac:dyDescent="0.25">
      <c r="A6" s="25" t="s">
        <v>16</v>
      </c>
      <c r="B6" s="103">
        <v>3</v>
      </c>
      <c r="C6" s="15">
        <v>1</v>
      </c>
      <c r="D6" s="15" t="s">
        <v>53</v>
      </c>
      <c r="E6" s="47" t="s">
        <v>55</v>
      </c>
      <c r="F6" s="12">
        <v>0</v>
      </c>
      <c r="G6" s="11">
        <f>+IF(F6="","",VLOOKUP(F6,$H$132:$I$175,2,FALSE))</f>
        <v>0</v>
      </c>
      <c r="H6" s="1"/>
      <c r="I6" s="29" t="s">
        <v>12</v>
      </c>
      <c r="J6" s="12" t="s">
        <v>58</v>
      </c>
      <c r="K6" s="13">
        <v>4</v>
      </c>
      <c r="L6" s="14">
        <v>1</v>
      </c>
      <c r="M6" s="15" t="s">
        <v>53</v>
      </c>
      <c r="N6" s="47" t="s">
        <v>55</v>
      </c>
      <c r="O6" s="12">
        <v>0</v>
      </c>
      <c r="P6" s="11">
        <f>+IF(O6="","",VLOOKUP(O6,$H$132:$I$175,2,FALSE))</f>
        <v>0</v>
      </c>
      <c r="Q6" s="1"/>
      <c r="R6" s="17" t="s">
        <v>12</v>
      </c>
      <c r="S6" s="18" t="s">
        <v>17</v>
      </c>
      <c r="T6" s="19">
        <v>3</v>
      </c>
      <c r="U6" s="19">
        <v>1</v>
      </c>
      <c r="V6" s="20" t="s">
        <v>53</v>
      </c>
      <c r="W6" s="47" t="s">
        <v>55</v>
      </c>
      <c r="X6" s="12">
        <v>0</v>
      </c>
      <c r="Y6" s="11">
        <f>+IF(X6="","",VLOOKUP(X6,$H$132:$I$175,2,FALSE))</f>
        <v>0</v>
      </c>
      <c r="AA6" s="21"/>
      <c r="AB6" s="22"/>
      <c r="AC6" s="22"/>
      <c r="AD6" s="23"/>
      <c r="AE6" s="24"/>
    </row>
    <row r="7" spans="1:31" ht="15.75" x14ac:dyDescent="0.25">
      <c r="A7" s="25" t="s">
        <v>18</v>
      </c>
      <c r="B7" s="103">
        <v>3</v>
      </c>
      <c r="C7" s="15">
        <v>1</v>
      </c>
      <c r="D7" s="15" t="s">
        <v>53</v>
      </c>
      <c r="E7" s="47" t="s">
        <v>55</v>
      </c>
      <c r="F7" s="12">
        <v>0</v>
      </c>
      <c r="G7" s="11">
        <f>+IF(F7="","",VLOOKUP(F7,$H$132:$I$175,2,FALSE))</f>
        <v>0</v>
      </c>
      <c r="H7" s="1"/>
      <c r="I7" s="29" t="s">
        <v>12</v>
      </c>
      <c r="J7" s="12" t="s">
        <v>58</v>
      </c>
      <c r="K7" s="13">
        <v>4</v>
      </c>
      <c r="L7" s="27">
        <v>1</v>
      </c>
      <c r="M7" s="15" t="s">
        <v>53</v>
      </c>
      <c r="N7" s="47" t="s">
        <v>55</v>
      </c>
      <c r="O7" s="12">
        <v>0</v>
      </c>
      <c r="P7" s="11">
        <f>+IF(O7="","",VLOOKUP(O7,$H$132:$I$175,2,FALSE))</f>
        <v>0</v>
      </c>
      <c r="Q7" s="1"/>
      <c r="R7" s="29" t="s">
        <v>12</v>
      </c>
      <c r="S7" s="30" t="s">
        <v>19</v>
      </c>
      <c r="T7" s="31">
        <v>3</v>
      </c>
      <c r="U7" s="31">
        <v>1</v>
      </c>
      <c r="V7" s="10" t="s">
        <v>53</v>
      </c>
      <c r="W7" s="47" t="s">
        <v>55</v>
      </c>
      <c r="X7" s="12">
        <v>0</v>
      </c>
      <c r="Y7" s="11">
        <f>+IF(X7="","",VLOOKUP(X7,$H$132:$I$175,2,FALSE))</f>
        <v>0</v>
      </c>
      <c r="AA7" s="21"/>
      <c r="AB7" s="21"/>
      <c r="AC7" s="21"/>
      <c r="AD7" s="21"/>
      <c r="AE7" s="21"/>
    </row>
    <row r="8" spans="1:31" ht="15.75" x14ac:dyDescent="0.25">
      <c r="A8" s="32"/>
      <c r="B8" s="104"/>
      <c r="C8" s="28"/>
      <c r="D8" s="28"/>
      <c r="E8" s="28"/>
      <c r="F8" s="12"/>
      <c r="G8" s="11" t="str">
        <f>+IF(F8="","",VLOOKUP(F8,$H$133:$I$174,2,FALSE))</f>
        <v/>
      </c>
      <c r="H8" s="1"/>
      <c r="I8" s="78" t="s">
        <v>57</v>
      </c>
      <c r="J8" s="12" t="s">
        <v>58</v>
      </c>
      <c r="K8" s="13">
        <v>4</v>
      </c>
      <c r="L8" s="27">
        <v>1</v>
      </c>
      <c r="M8" s="15" t="s">
        <v>53</v>
      </c>
      <c r="N8" s="47" t="s">
        <v>55</v>
      </c>
      <c r="O8" s="12">
        <v>0</v>
      </c>
      <c r="P8" s="11">
        <f>+IF(O8="","",VLOOKUP(O8,$H$132:$I$175,2,FALSE))</f>
        <v>0</v>
      </c>
      <c r="Q8" s="1"/>
      <c r="R8" s="17" t="s">
        <v>12</v>
      </c>
      <c r="S8" s="18" t="s">
        <v>20</v>
      </c>
      <c r="T8" s="19">
        <v>3</v>
      </c>
      <c r="U8" s="19">
        <v>1</v>
      </c>
      <c r="V8" s="15" t="s">
        <v>53</v>
      </c>
      <c r="W8" s="12" t="s">
        <v>55</v>
      </c>
      <c r="X8" s="12">
        <v>0</v>
      </c>
      <c r="Y8" s="11">
        <f>+IF(X8="","",VLOOKUP(X8,$H$132:$I$175,2,FALSE))</f>
        <v>0</v>
      </c>
      <c r="AA8" s="21"/>
      <c r="AB8" s="21"/>
      <c r="AC8" s="21"/>
      <c r="AD8" s="21"/>
      <c r="AE8" s="21"/>
    </row>
    <row r="9" spans="1:31" ht="15.75" x14ac:dyDescent="0.25">
      <c r="A9" s="32"/>
      <c r="B9" s="104"/>
      <c r="C9" s="28"/>
      <c r="D9" s="28"/>
      <c r="E9" s="28"/>
      <c r="F9" s="12"/>
      <c r="G9" s="11" t="str">
        <f>+IF(F9="","",VLOOKUP(F9,$H$133:$I$174,2,FALSE))</f>
        <v/>
      </c>
      <c r="H9" s="1"/>
      <c r="I9" s="26"/>
      <c r="J9" s="12"/>
      <c r="K9" s="13"/>
      <c r="L9" s="27"/>
      <c r="M9" s="27"/>
      <c r="N9" s="16"/>
      <c r="O9" s="16"/>
      <c r="P9" s="110"/>
      <c r="Q9" s="1"/>
      <c r="R9" s="33"/>
      <c r="S9" s="34"/>
      <c r="T9" s="34"/>
      <c r="U9" s="34"/>
      <c r="V9" s="35"/>
      <c r="W9" s="35"/>
      <c r="X9" s="35"/>
      <c r="Y9" s="1"/>
      <c r="AA9" s="21"/>
      <c r="AB9" s="21"/>
      <c r="AC9" s="21"/>
      <c r="AD9" s="21"/>
      <c r="AE9" s="21"/>
    </row>
    <row r="10" spans="1:31" ht="15.75" x14ac:dyDescent="0.25">
      <c r="A10" s="32"/>
      <c r="B10" s="104"/>
      <c r="C10" s="28"/>
      <c r="D10" s="28"/>
      <c r="E10" s="28"/>
      <c r="F10" s="12"/>
      <c r="G10" s="11" t="str">
        <f>+IF(F10="","",VLOOKUP(F10,$H$133:$I$174,2,FALSE))</f>
        <v/>
      </c>
      <c r="H10" s="1"/>
      <c r="I10" s="26"/>
      <c r="J10" s="12"/>
      <c r="K10" s="13"/>
      <c r="L10" s="27"/>
      <c r="M10" s="27"/>
      <c r="N10" s="16"/>
      <c r="O10" s="16"/>
      <c r="P10" s="110"/>
      <c r="Q10" s="1"/>
      <c r="R10" s="33"/>
      <c r="S10" s="34"/>
      <c r="T10" s="34"/>
      <c r="U10" s="34"/>
      <c r="V10" s="35"/>
      <c r="W10" s="35"/>
      <c r="X10" s="35"/>
      <c r="Y10" s="1"/>
      <c r="AA10" s="21"/>
      <c r="AB10" s="21"/>
      <c r="AC10" s="21"/>
      <c r="AD10" s="21"/>
      <c r="AE10" s="21"/>
    </row>
    <row r="11" spans="1:31" ht="15.75" x14ac:dyDescent="0.25">
      <c r="A11" s="32"/>
      <c r="B11" s="104"/>
      <c r="C11" s="28"/>
      <c r="D11" s="28"/>
      <c r="E11" s="28"/>
      <c r="F11" s="12"/>
      <c r="G11" s="11" t="str">
        <f>+IF(F11="","",VLOOKUP(F11,$H$133:$I$174,2,FALSE))</f>
        <v/>
      </c>
      <c r="H11" s="1"/>
      <c r="I11" s="26"/>
      <c r="J11" s="12"/>
      <c r="K11" s="13"/>
      <c r="L11" s="14"/>
      <c r="M11" s="27"/>
      <c r="N11" s="16"/>
      <c r="O11" s="36"/>
      <c r="P11" s="36"/>
      <c r="Q11" s="1"/>
      <c r="R11" s="382" t="s">
        <v>21</v>
      </c>
      <c r="S11" s="383"/>
      <c r="T11" s="383"/>
      <c r="U11" s="383"/>
      <c r="V11" s="383"/>
      <c r="W11" s="383"/>
      <c r="X11" s="383"/>
      <c r="Y11" s="384"/>
      <c r="AA11" s="21"/>
      <c r="AB11" s="21"/>
      <c r="AC11" s="21"/>
      <c r="AD11" s="21"/>
      <c r="AE11" s="21"/>
    </row>
    <row r="12" spans="1:31" ht="16.5" customHeight="1" x14ac:dyDescent="0.25">
      <c r="A12" s="395" t="s">
        <v>22</v>
      </c>
      <c r="B12" s="395"/>
      <c r="C12" s="395"/>
      <c r="D12" s="395"/>
      <c r="E12" s="395"/>
      <c r="F12" s="395"/>
      <c r="G12" s="395"/>
      <c r="H12" s="1"/>
      <c r="I12" s="26"/>
      <c r="J12" s="12"/>
      <c r="K12" s="13"/>
      <c r="L12" s="14"/>
      <c r="M12" s="27"/>
      <c r="N12" s="16"/>
      <c r="O12" s="16"/>
      <c r="P12" s="16"/>
      <c r="Q12" s="1"/>
      <c r="R12" s="5" t="s">
        <v>9</v>
      </c>
      <c r="S12" s="5" t="s">
        <v>4</v>
      </c>
      <c r="T12" s="6" t="s">
        <v>5</v>
      </c>
      <c r="U12" s="6" t="s">
        <v>6</v>
      </c>
      <c r="V12" s="6" t="s">
        <v>7</v>
      </c>
      <c r="W12" s="6" t="s">
        <v>52</v>
      </c>
      <c r="X12" s="6" t="s">
        <v>235</v>
      </c>
      <c r="Y12" s="6" t="s">
        <v>8</v>
      </c>
    </row>
    <row r="13" spans="1:31" ht="15.75" x14ac:dyDescent="0.2">
      <c r="A13" s="3" t="s">
        <v>4</v>
      </c>
      <c r="B13" s="4" t="s">
        <v>5</v>
      </c>
      <c r="C13" s="4" t="s">
        <v>6</v>
      </c>
      <c r="D13" s="4" t="s">
        <v>7</v>
      </c>
      <c r="E13" s="4" t="s">
        <v>52</v>
      </c>
      <c r="F13" s="106" t="s">
        <v>235</v>
      </c>
      <c r="G13" s="4" t="s">
        <v>8</v>
      </c>
      <c r="H13" s="1"/>
      <c r="I13" s="37"/>
      <c r="J13" s="37"/>
      <c r="K13" s="37"/>
      <c r="L13" s="37"/>
      <c r="M13" s="37"/>
      <c r="N13" s="16"/>
      <c r="O13" s="16"/>
      <c r="P13" s="38"/>
      <c r="Q13" s="1"/>
      <c r="R13" s="39" t="s">
        <v>12</v>
      </c>
      <c r="S13" s="40" t="s">
        <v>23</v>
      </c>
      <c r="T13" s="40">
        <v>2</v>
      </c>
      <c r="U13" s="40">
        <v>0</v>
      </c>
      <c r="V13" s="40">
        <v>0</v>
      </c>
      <c r="W13" s="47" t="s">
        <v>55</v>
      </c>
      <c r="X13" s="12">
        <v>0</v>
      </c>
      <c r="Y13" s="11">
        <f>+IF(X13="","",VLOOKUP(X13,$H$132:$I$175,2,FALSE))</f>
        <v>0</v>
      </c>
    </row>
    <row r="14" spans="1:31" ht="18.75" customHeight="1" x14ac:dyDescent="0.2">
      <c r="A14" s="41" t="s">
        <v>24</v>
      </c>
      <c r="B14" s="19">
        <v>4</v>
      </c>
      <c r="C14" s="19">
        <v>1</v>
      </c>
      <c r="D14" s="20" t="s">
        <v>53</v>
      </c>
      <c r="E14" s="47" t="s">
        <v>55</v>
      </c>
      <c r="F14" s="12">
        <v>0</v>
      </c>
      <c r="G14" s="11">
        <f>+IF(F14="","",VLOOKUP(F14,$H$132:$I$175,2,FALSE))</f>
        <v>0</v>
      </c>
      <c r="H14" s="1"/>
      <c r="I14" s="396" t="s">
        <v>25</v>
      </c>
      <c r="J14" s="397"/>
      <c r="K14" s="397"/>
      <c r="L14" s="397"/>
      <c r="M14" s="397"/>
      <c r="N14" s="397"/>
      <c r="O14" s="397"/>
      <c r="P14" s="398"/>
      <c r="Q14" s="1"/>
      <c r="R14" s="39" t="s">
        <v>12</v>
      </c>
      <c r="S14" s="40" t="s">
        <v>58</v>
      </c>
      <c r="T14" s="40">
        <v>33</v>
      </c>
      <c r="U14" s="40">
        <v>0</v>
      </c>
      <c r="V14" s="40">
        <v>0</v>
      </c>
      <c r="W14" s="12" t="s">
        <v>55</v>
      </c>
      <c r="X14" s="12">
        <v>0</v>
      </c>
      <c r="Y14" s="11">
        <f>+IF(X14="","",VLOOKUP(X14,$H$132:$I$175,2,FALSE))</f>
        <v>0</v>
      </c>
    </row>
    <row r="15" spans="1:31" ht="23.25" customHeight="1" x14ac:dyDescent="0.2">
      <c r="A15" s="41" t="s">
        <v>26</v>
      </c>
      <c r="B15" s="19">
        <v>4</v>
      </c>
      <c r="C15" s="19">
        <v>1</v>
      </c>
      <c r="D15" s="20" t="s">
        <v>53</v>
      </c>
      <c r="E15" s="47" t="s">
        <v>55</v>
      </c>
      <c r="F15" s="12">
        <v>0</v>
      </c>
      <c r="G15" s="11">
        <f>+IF(F15="","",VLOOKUP(F15,$H$132:$I$175,2,FALSE))</f>
        <v>0</v>
      </c>
      <c r="H15" s="1"/>
      <c r="I15" s="5" t="s">
        <v>9</v>
      </c>
      <c r="J15" s="5" t="s">
        <v>4</v>
      </c>
      <c r="K15" s="6" t="s">
        <v>5</v>
      </c>
      <c r="L15" s="6" t="s">
        <v>6</v>
      </c>
      <c r="M15" s="6" t="s">
        <v>7</v>
      </c>
      <c r="N15" s="6" t="s">
        <v>52</v>
      </c>
      <c r="O15" s="6" t="s">
        <v>235</v>
      </c>
      <c r="P15" s="6" t="s">
        <v>8</v>
      </c>
      <c r="Q15" s="1"/>
      <c r="R15" s="1"/>
      <c r="S15" s="1"/>
      <c r="T15" s="1"/>
      <c r="U15" s="1"/>
      <c r="V15" s="1"/>
      <c r="W15" s="1"/>
      <c r="X15" s="1"/>
      <c r="Y15" s="1"/>
    </row>
    <row r="16" spans="1:31" ht="15.75" x14ac:dyDescent="0.25">
      <c r="A16" s="41" t="s">
        <v>27</v>
      </c>
      <c r="B16" s="19">
        <v>4</v>
      </c>
      <c r="C16" s="19">
        <v>1</v>
      </c>
      <c r="D16" s="20" t="s">
        <v>53</v>
      </c>
      <c r="E16" s="47" t="s">
        <v>55</v>
      </c>
      <c r="F16" s="12">
        <v>0</v>
      </c>
      <c r="G16" s="11">
        <f>+IF(F16="","",VLOOKUP(F16,$H$132:$I$175,2,FALSE))</f>
        <v>0</v>
      </c>
      <c r="H16" s="1"/>
      <c r="I16" s="4" t="s">
        <v>11</v>
      </c>
      <c r="J16" s="12" t="s">
        <v>56</v>
      </c>
      <c r="K16" s="13">
        <v>3</v>
      </c>
      <c r="L16" s="27">
        <v>1</v>
      </c>
      <c r="M16" s="15" t="s">
        <v>53</v>
      </c>
      <c r="N16" s="47" t="s">
        <v>55</v>
      </c>
      <c r="O16" s="12">
        <v>0</v>
      </c>
      <c r="P16" s="11">
        <f>+IF(O16="","",VLOOKUP(O16,$H$132:$I$175,2,FALSE))</f>
        <v>0</v>
      </c>
      <c r="Q16" s="1"/>
      <c r="R16" s="1"/>
      <c r="S16" s="1"/>
      <c r="T16" s="1"/>
      <c r="U16" s="1"/>
      <c r="V16" s="1"/>
      <c r="W16" s="1"/>
      <c r="X16" s="1"/>
      <c r="Y16" s="1"/>
    </row>
    <row r="17" spans="1:31" ht="15.75" x14ac:dyDescent="0.25">
      <c r="A17" s="44" t="s">
        <v>28</v>
      </c>
      <c r="B17" s="20">
        <v>3</v>
      </c>
      <c r="C17" s="20">
        <v>1</v>
      </c>
      <c r="D17" s="20" t="s">
        <v>53</v>
      </c>
      <c r="E17" s="47" t="s">
        <v>55</v>
      </c>
      <c r="F17" s="12">
        <v>0</v>
      </c>
      <c r="G17" s="11">
        <f>+IF(F17="","",VLOOKUP(F17,$H$132:$I$175,2,FALSE))</f>
        <v>0</v>
      </c>
      <c r="H17" s="1"/>
      <c r="I17" s="26"/>
      <c r="J17" s="12"/>
      <c r="K17" s="13"/>
      <c r="L17" s="27"/>
      <c r="M17" s="27"/>
      <c r="N17" s="47"/>
      <c r="O17" s="47"/>
      <c r="P17" s="43"/>
      <c r="Q17" s="1"/>
      <c r="R17" s="1"/>
      <c r="S17" s="1"/>
      <c r="T17" s="1"/>
      <c r="U17" s="1"/>
      <c r="V17" s="1"/>
      <c r="W17" s="1"/>
      <c r="X17" s="1"/>
      <c r="Y17" s="1"/>
      <c r="AA17" s="21"/>
      <c r="AB17" s="21"/>
      <c r="AC17" s="21"/>
      <c r="AD17" s="21"/>
      <c r="AE17" s="21"/>
    </row>
    <row r="18" spans="1:31" ht="15.75" x14ac:dyDescent="0.25">
      <c r="A18" s="45"/>
      <c r="B18" s="46"/>
      <c r="C18" s="46"/>
      <c r="D18" s="46"/>
      <c r="E18" s="46"/>
      <c r="F18" s="12"/>
      <c r="G18" s="11"/>
      <c r="H18" s="1"/>
      <c r="I18" s="26"/>
      <c r="J18" s="47"/>
      <c r="K18" s="48"/>
      <c r="L18" s="49"/>
      <c r="M18" s="20"/>
      <c r="N18" s="12"/>
      <c r="O18" s="12"/>
      <c r="P18" s="43"/>
      <c r="Q18" s="1"/>
      <c r="R18" s="1"/>
      <c r="S18" s="1"/>
      <c r="T18" s="1"/>
      <c r="U18" s="1"/>
      <c r="V18" s="1"/>
      <c r="W18" s="1"/>
      <c r="X18" s="1"/>
      <c r="Y18" s="1"/>
      <c r="AA18" s="21"/>
      <c r="AB18" s="21"/>
      <c r="AC18" s="21"/>
      <c r="AD18" s="21"/>
      <c r="AE18" s="21"/>
    </row>
    <row r="19" spans="1:31" ht="15.75" x14ac:dyDescent="0.25">
      <c r="A19" s="45"/>
      <c r="B19" s="46"/>
      <c r="C19" s="46"/>
      <c r="D19" s="46"/>
      <c r="E19" s="46"/>
      <c r="F19" s="46"/>
      <c r="G19" s="42"/>
      <c r="H19" s="1"/>
      <c r="I19" s="26"/>
      <c r="J19" s="47"/>
      <c r="K19" s="48"/>
      <c r="L19" s="49"/>
      <c r="M19" s="20"/>
      <c r="N19" s="47"/>
      <c r="O19" s="47"/>
      <c r="P19" s="43"/>
      <c r="Q19" s="1"/>
      <c r="R19" s="1"/>
      <c r="S19" s="1"/>
      <c r="T19" s="1"/>
      <c r="U19" s="1"/>
      <c r="V19" s="1"/>
      <c r="W19" s="1"/>
      <c r="X19" s="1"/>
      <c r="Y19" s="1"/>
      <c r="AA19" s="21"/>
      <c r="AB19" s="21"/>
      <c r="AC19" s="21"/>
      <c r="AD19" s="21"/>
      <c r="AE19" s="21"/>
    </row>
    <row r="20" spans="1:31" ht="15.75" x14ac:dyDescent="0.25">
      <c r="A20" s="50" t="s">
        <v>29</v>
      </c>
      <c r="B20" s="51">
        <f>SUM(B4:B11)+B14+B15+B16+B17+B18+B19</f>
        <v>27</v>
      </c>
      <c r="C20" s="51">
        <f>SUM(C4:C11)+C14+C15+C16+C17+C18+C19</f>
        <v>8</v>
      </c>
      <c r="D20" s="51"/>
      <c r="E20" s="51"/>
      <c r="F20" s="51"/>
      <c r="G20" s="52">
        <f>SUM(G4:G11)+G14+G15+G16+G17+G18+G19</f>
        <v>0</v>
      </c>
      <c r="H20" s="1"/>
      <c r="I20" s="26"/>
      <c r="J20" s="12"/>
      <c r="K20" s="13"/>
      <c r="L20" s="27"/>
      <c r="M20" s="27"/>
      <c r="N20" s="47"/>
      <c r="O20" s="47"/>
      <c r="P20" s="43"/>
      <c r="Q20" s="1"/>
      <c r="R20" s="1"/>
      <c r="S20" s="1"/>
      <c r="T20" s="1"/>
      <c r="U20" s="1"/>
      <c r="V20" s="1"/>
      <c r="W20" s="1"/>
      <c r="X20" s="1"/>
      <c r="Y20" s="1"/>
      <c r="AA20" s="21"/>
      <c r="AB20" s="21"/>
      <c r="AC20" s="21"/>
      <c r="AD20" s="21"/>
      <c r="AE20" s="21"/>
    </row>
    <row r="21" spans="1:31" ht="15.75" x14ac:dyDescent="0.25">
      <c r="A21" s="399" t="s">
        <v>30</v>
      </c>
      <c r="B21" s="399"/>
      <c r="C21" s="399"/>
      <c r="D21" s="399"/>
      <c r="E21" s="399"/>
      <c r="F21" s="399"/>
      <c r="G21" s="399"/>
      <c r="H21" s="1"/>
      <c r="I21" s="53"/>
      <c r="J21" s="12"/>
      <c r="K21" s="13"/>
      <c r="L21" s="27"/>
      <c r="M21" s="20"/>
      <c r="N21" s="12"/>
      <c r="O21" s="47"/>
      <c r="P21" s="54"/>
      <c r="Q21" s="1"/>
      <c r="R21" s="1"/>
      <c r="S21" s="1"/>
      <c r="T21" s="1"/>
      <c r="U21" s="1"/>
      <c r="V21" s="1"/>
      <c r="W21" s="1"/>
      <c r="X21" s="1"/>
      <c r="Y21" s="1"/>
      <c r="AA21" s="21"/>
      <c r="AB21" s="21"/>
      <c r="AC21" s="21"/>
      <c r="AD21" s="21"/>
      <c r="AE21" s="21"/>
    </row>
    <row r="22" spans="1:31" ht="15.75" x14ac:dyDescent="0.25">
      <c r="A22" s="399" t="s">
        <v>1</v>
      </c>
      <c r="B22" s="399"/>
      <c r="C22" s="399"/>
      <c r="D22" s="399"/>
      <c r="E22" s="399"/>
      <c r="F22" s="399"/>
      <c r="G22" s="399"/>
      <c r="H22" s="1"/>
      <c r="I22" s="26"/>
      <c r="J22" s="55"/>
      <c r="K22" s="13"/>
      <c r="L22" s="56"/>
      <c r="M22" s="56"/>
      <c r="N22" s="56"/>
      <c r="O22" s="56"/>
      <c r="P22" s="57"/>
      <c r="Q22" s="1"/>
      <c r="R22" s="1"/>
      <c r="S22" s="1"/>
      <c r="T22" s="1"/>
      <c r="U22" s="1"/>
      <c r="V22" s="1"/>
      <c r="W22" s="1"/>
      <c r="X22" s="1"/>
      <c r="Y22" s="1"/>
      <c r="AA22" s="21"/>
      <c r="AB22" s="21"/>
      <c r="AC22" s="21"/>
      <c r="AD22" s="21"/>
      <c r="AE22" s="21"/>
    </row>
    <row r="23" spans="1:31" ht="15.75" x14ac:dyDescent="0.2">
      <c r="A23" s="58" t="s">
        <v>4</v>
      </c>
      <c r="B23" s="59" t="s">
        <v>5</v>
      </c>
      <c r="C23" s="59" t="s">
        <v>6</v>
      </c>
      <c r="D23" s="59" t="s">
        <v>7</v>
      </c>
      <c r="E23" s="59" t="s">
        <v>52</v>
      </c>
      <c r="F23" s="59" t="s">
        <v>235</v>
      </c>
      <c r="G23" s="59" t="s">
        <v>8</v>
      </c>
      <c r="H23" s="1"/>
      <c r="I23" s="1"/>
      <c r="J23" s="60" t="s">
        <v>31</v>
      </c>
      <c r="K23" s="60">
        <f>SUM(K4:K22)</f>
        <v>22</v>
      </c>
      <c r="L23" s="60">
        <f>SUM(L4:L22)</f>
        <v>6</v>
      </c>
      <c r="M23" s="60"/>
      <c r="N23" s="60"/>
      <c r="O23" s="60"/>
      <c r="P23" s="61">
        <f>SUM(P4:P21)</f>
        <v>0</v>
      </c>
      <c r="Q23" s="1"/>
      <c r="R23" s="1"/>
      <c r="S23" s="62" t="s">
        <v>31</v>
      </c>
      <c r="T23" s="62">
        <f>SUM(T4:T10)+T13+T14</f>
        <v>50</v>
      </c>
      <c r="U23" s="62">
        <f>SUM(U4:U10)</f>
        <v>5</v>
      </c>
      <c r="V23" s="62"/>
      <c r="W23" s="62"/>
      <c r="X23" s="62"/>
      <c r="Y23" s="63">
        <f>SUM(Y4:Y22)</f>
        <v>0</v>
      </c>
      <c r="AA23" s="64"/>
      <c r="AB23" s="64"/>
      <c r="AC23" s="64"/>
      <c r="AD23" s="64"/>
      <c r="AE23" s="65"/>
    </row>
    <row r="24" spans="1:31" ht="15.75" x14ac:dyDescent="0.2">
      <c r="A24" s="44" t="s">
        <v>32</v>
      </c>
      <c r="B24" s="66">
        <v>3</v>
      </c>
      <c r="C24" s="66">
        <v>1</v>
      </c>
      <c r="D24" s="20" t="s">
        <v>53</v>
      </c>
      <c r="E24" s="47" t="s">
        <v>55</v>
      </c>
      <c r="F24" s="12">
        <v>0</v>
      </c>
      <c r="G24" s="11">
        <f>+IF(F24="","",VLOOKUP(F24,$H$132:$I$175,2,FALSE))</f>
        <v>0</v>
      </c>
      <c r="H24" s="1"/>
      <c r="I24" s="1"/>
      <c r="J24" s="1"/>
      <c r="K24" s="1"/>
      <c r="L24" s="1"/>
      <c r="M24" s="1"/>
      <c r="N24" s="1"/>
      <c r="O24" s="1"/>
      <c r="P24" s="1"/>
      <c r="Q24" s="1"/>
      <c r="R24" s="1"/>
      <c r="S24" s="1"/>
      <c r="T24" s="1"/>
      <c r="U24" s="1"/>
      <c r="V24" s="1"/>
      <c r="W24" s="1"/>
      <c r="X24" s="1"/>
      <c r="Y24" s="1"/>
      <c r="AA24" s="21"/>
      <c r="AB24" s="21"/>
      <c r="AC24" s="21"/>
      <c r="AD24" s="21"/>
      <c r="AE24" s="21"/>
    </row>
    <row r="25" spans="1:31" ht="15.75" x14ac:dyDescent="0.2">
      <c r="A25" s="44" t="s">
        <v>33</v>
      </c>
      <c r="B25" s="68">
        <v>3</v>
      </c>
      <c r="C25" s="68">
        <v>1</v>
      </c>
      <c r="D25" s="20" t="s">
        <v>53</v>
      </c>
      <c r="E25" s="47" t="s">
        <v>55</v>
      </c>
      <c r="F25" s="12">
        <v>0</v>
      </c>
      <c r="G25" s="11">
        <f>+IF(F25="","",VLOOKUP(F25,$H$132:$I$175,2,FALSE))</f>
        <v>0</v>
      </c>
      <c r="H25" s="1"/>
      <c r="I25" s="1"/>
      <c r="J25" s="1"/>
      <c r="K25" s="1"/>
      <c r="L25" s="1"/>
      <c r="M25" s="1"/>
      <c r="N25" s="1"/>
      <c r="O25" s="1"/>
      <c r="P25" s="1"/>
      <c r="Q25" s="1"/>
      <c r="R25" s="1"/>
      <c r="S25" s="1"/>
      <c r="T25" s="1"/>
      <c r="U25" s="1"/>
      <c r="V25" s="1"/>
      <c r="W25" s="1"/>
      <c r="X25" s="1"/>
      <c r="Y25" s="1"/>
    </row>
    <row r="26" spans="1:31" ht="15.75" customHeight="1" x14ac:dyDescent="0.2">
      <c r="A26" s="44" t="s">
        <v>34</v>
      </c>
      <c r="B26" s="68">
        <v>3</v>
      </c>
      <c r="C26" s="68">
        <v>1</v>
      </c>
      <c r="D26" s="20" t="s">
        <v>53</v>
      </c>
      <c r="E26" s="47" t="s">
        <v>55</v>
      </c>
      <c r="F26" s="12">
        <v>0</v>
      </c>
      <c r="G26" s="11">
        <f>+IF(F26="","",VLOOKUP(F26,$H$132:$I$175,2,FALSE))</f>
        <v>0</v>
      </c>
      <c r="H26" s="1"/>
      <c r="I26" s="1"/>
      <c r="J26" s="1"/>
      <c r="K26" s="1"/>
      <c r="L26" s="1"/>
      <c r="M26" s="1"/>
      <c r="N26" s="1"/>
      <c r="O26" s="1"/>
      <c r="P26" s="1"/>
      <c r="Q26" s="1"/>
      <c r="R26" s="1"/>
      <c r="S26" s="1"/>
      <c r="T26" s="1"/>
      <c r="U26" s="1"/>
      <c r="V26" s="1"/>
      <c r="W26" s="1"/>
      <c r="X26" s="1"/>
      <c r="Y26" s="1"/>
    </row>
    <row r="27" spans="1:31" ht="15.75" x14ac:dyDescent="0.2">
      <c r="A27" s="44"/>
      <c r="B27" s="68"/>
      <c r="C27" s="68"/>
      <c r="D27" s="20"/>
      <c r="E27" s="47"/>
      <c r="F27" s="12"/>
      <c r="G27" s="11"/>
      <c r="H27" s="1"/>
      <c r="I27" s="1"/>
      <c r="J27" s="1"/>
      <c r="K27" s="1"/>
      <c r="L27" s="1"/>
      <c r="M27" s="1"/>
      <c r="N27" s="1"/>
      <c r="O27" s="1"/>
      <c r="P27" s="1"/>
      <c r="Q27" s="1"/>
      <c r="R27" s="1"/>
      <c r="S27" s="1"/>
      <c r="T27" s="1"/>
      <c r="U27" s="1"/>
      <c r="V27" s="1"/>
      <c r="W27" s="1"/>
      <c r="X27" s="1"/>
      <c r="Y27" s="1"/>
    </row>
    <row r="28" spans="1:31" ht="15.75" x14ac:dyDescent="0.2">
      <c r="A28" s="44"/>
      <c r="B28" s="68"/>
      <c r="C28" s="68"/>
      <c r="D28" s="20"/>
      <c r="E28" s="67"/>
      <c r="F28" s="67"/>
      <c r="G28" s="67"/>
      <c r="H28" s="1"/>
      <c r="I28" s="1"/>
      <c r="J28" s="1"/>
      <c r="K28" s="1"/>
      <c r="L28" s="1"/>
      <c r="M28" s="1"/>
      <c r="N28" s="1"/>
      <c r="O28" s="1"/>
      <c r="P28" s="1"/>
      <c r="Q28" s="1"/>
      <c r="R28" s="1"/>
      <c r="S28" s="1"/>
      <c r="T28" s="1"/>
      <c r="U28" s="1"/>
      <c r="V28" s="1"/>
      <c r="W28" s="1"/>
      <c r="X28" s="1"/>
      <c r="Y28" s="1"/>
    </row>
    <row r="29" spans="1:31" ht="15.75" x14ac:dyDescent="0.2">
      <c r="A29" s="44"/>
      <c r="B29" s="68"/>
      <c r="C29" s="68"/>
      <c r="D29" s="20"/>
      <c r="E29" s="67"/>
      <c r="F29" s="67"/>
      <c r="G29" s="67"/>
      <c r="H29" s="1"/>
      <c r="I29" s="1"/>
      <c r="J29" s="1"/>
      <c r="K29" s="1"/>
      <c r="L29" s="1"/>
      <c r="M29" s="1"/>
      <c r="N29" s="1"/>
      <c r="O29" s="1"/>
      <c r="P29" s="1"/>
      <c r="Q29" s="1"/>
      <c r="R29" s="1"/>
      <c r="S29" s="1"/>
      <c r="T29" s="1"/>
      <c r="U29" s="1"/>
      <c r="V29" s="1"/>
      <c r="W29" s="1"/>
      <c r="X29" s="1"/>
      <c r="Y29" s="1"/>
    </row>
    <row r="30" spans="1:31" ht="15.75" x14ac:dyDescent="0.2">
      <c r="A30" s="400" t="s">
        <v>22</v>
      </c>
      <c r="B30" s="400"/>
      <c r="C30" s="400"/>
      <c r="D30" s="400"/>
      <c r="E30" s="400"/>
      <c r="F30" s="400"/>
      <c r="G30" s="400"/>
      <c r="H30" s="1"/>
      <c r="I30" s="1"/>
      <c r="J30" s="1"/>
      <c r="K30" s="1"/>
      <c r="L30" s="1"/>
      <c r="M30" s="1"/>
      <c r="N30" s="1"/>
      <c r="O30" s="1"/>
      <c r="P30" s="1"/>
      <c r="Q30" s="1"/>
      <c r="R30" s="1"/>
      <c r="S30" s="1"/>
      <c r="T30" s="1"/>
      <c r="U30" s="1"/>
      <c r="V30" s="1"/>
      <c r="W30" s="1"/>
      <c r="X30" s="1"/>
      <c r="Y30" s="1"/>
    </row>
    <row r="31" spans="1:31" ht="15.75" x14ac:dyDescent="0.2">
      <c r="A31" s="58" t="s">
        <v>35</v>
      </c>
      <c r="B31" s="59" t="s">
        <v>5</v>
      </c>
      <c r="C31" s="59" t="s">
        <v>6</v>
      </c>
      <c r="D31" s="59" t="s">
        <v>7</v>
      </c>
      <c r="E31" s="59"/>
      <c r="F31" s="59" t="s">
        <v>235</v>
      </c>
      <c r="G31" s="59" t="s">
        <v>8</v>
      </c>
      <c r="H31" s="1"/>
      <c r="I31" s="1"/>
      <c r="J31" s="1"/>
      <c r="K31" s="1"/>
      <c r="L31" s="1"/>
      <c r="M31" s="1"/>
      <c r="N31" s="1"/>
      <c r="O31" s="1"/>
      <c r="P31" s="1"/>
      <c r="Q31" s="1"/>
      <c r="R31" s="1"/>
      <c r="S31" s="1"/>
      <c r="T31" s="1"/>
      <c r="U31" s="1"/>
      <c r="V31" s="1"/>
      <c r="W31" s="1"/>
      <c r="X31" s="1"/>
      <c r="Y31" s="111"/>
    </row>
    <row r="32" spans="1:31" ht="15.75" x14ac:dyDescent="0.25">
      <c r="A32" s="69" t="s">
        <v>36</v>
      </c>
      <c r="B32" s="70">
        <v>3</v>
      </c>
      <c r="C32" s="70">
        <v>1</v>
      </c>
      <c r="D32" s="20" t="s">
        <v>53</v>
      </c>
      <c r="E32" s="47" t="s">
        <v>55</v>
      </c>
      <c r="F32" s="12">
        <v>0</v>
      </c>
      <c r="G32" s="11">
        <f>+IF(F32="","",VLOOKUP(F32,$H$132:$I$175,2,FALSE))</f>
        <v>0</v>
      </c>
      <c r="H32" s="1"/>
      <c r="I32" s="1"/>
      <c r="J32" s="1"/>
      <c r="K32" s="1"/>
      <c r="L32" s="1"/>
      <c r="M32" s="1"/>
      <c r="N32" s="1"/>
      <c r="O32" s="1"/>
      <c r="P32" s="1"/>
      <c r="Q32" s="1"/>
      <c r="R32" s="1"/>
      <c r="S32" s="1"/>
      <c r="T32" s="1"/>
      <c r="U32" s="1"/>
      <c r="V32" s="1"/>
      <c r="W32" s="1"/>
      <c r="X32" s="1"/>
      <c r="Y32" s="111"/>
    </row>
    <row r="33" spans="1:25" ht="15.75" x14ac:dyDescent="0.2">
      <c r="A33" s="9" t="s">
        <v>37</v>
      </c>
      <c r="B33" s="95">
        <v>2</v>
      </c>
      <c r="C33" s="71">
        <v>1</v>
      </c>
      <c r="D33" s="10" t="s">
        <v>53</v>
      </c>
      <c r="E33" s="47" t="s">
        <v>55</v>
      </c>
      <c r="F33" s="12">
        <v>0</v>
      </c>
      <c r="G33" s="11">
        <f>+IF(F33="","",VLOOKUP(F33,$H$132:$I$175,2,FALSE))</f>
        <v>0</v>
      </c>
      <c r="H33" s="1"/>
      <c r="I33" s="1"/>
      <c r="J33" s="1"/>
      <c r="K33" s="1"/>
      <c r="L33" s="1"/>
      <c r="M33" s="1"/>
      <c r="N33" s="1"/>
      <c r="O33" s="1"/>
      <c r="P33" s="1"/>
      <c r="Q33" s="1"/>
      <c r="R33" s="1"/>
      <c r="S33" s="1"/>
      <c r="T33" s="1"/>
      <c r="U33" s="1"/>
      <c r="V33" s="1"/>
      <c r="W33" s="1"/>
      <c r="X33" s="1"/>
      <c r="Y33" s="1"/>
    </row>
    <row r="34" spans="1:25" ht="15.75" x14ac:dyDescent="0.2">
      <c r="A34" s="44" t="s">
        <v>38</v>
      </c>
      <c r="B34" s="96">
        <v>2</v>
      </c>
      <c r="C34" s="73">
        <v>1</v>
      </c>
      <c r="D34" s="20" t="s">
        <v>53</v>
      </c>
      <c r="E34" s="47" t="s">
        <v>55</v>
      </c>
      <c r="F34" s="12">
        <v>0</v>
      </c>
      <c r="G34" s="11">
        <f>+IF(F34="","",VLOOKUP(F34,$H$132:$I$175,2,FALSE))</f>
        <v>0</v>
      </c>
      <c r="H34" s="1"/>
      <c r="I34" s="1"/>
      <c r="J34" s="1"/>
      <c r="K34" s="1"/>
      <c r="L34" s="1"/>
      <c r="M34" s="1"/>
      <c r="N34" s="1"/>
      <c r="O34" s="1"/>
      <c r="P34" s="1"/>
      <c r="Q34" s="1"/>
      <c r="R34" s="1"/>
      <c r="S34" s="1"/>
      <c r="T34" s="1"/>
      <c r="U34" s="1"/>
      <c r="V34" s="1"/>
      <c r="W34" s="1"/>
      <c r="X34" s="1"/>
      <c r="Y34" s="1"/>
    </row>
    <row r="35" spans="1:25" ht="15.75" x14ac:dyDescent="0.25">
      <c r="A35" s="53" t="s">
        <v>39</v>
      </c>
      <c r="B35" s="97">
        <v>2</v>
      </c>
      <c r="C35" s="73">
        <v>1</v>
      </c>
      <c r="D35" s="20" t="s">
        <v>53</v>
      </c>
      <c r="E35" s="47" t="s">
        <v>55</v>
      </c>
      <c r="F35" s="12">
        <v>0</v>
      </c>
      <c r="G35" s="11">
        <f>+IF(F35="","",VLOOKUP(F35,$H$132:$I$175,2,FALSE))</f>
        <v>0</v>
      </c>
      <c r="H35" s="1"/>
      <c r="I35" s="1"/>
      <c r="J35" s="1"/>
      <c r="K35" s="1"/>
      <c r="L35" s="1"/>
      <c r="M35" s="1"/>
      <c r="N35" s="1"/>
      <c r="O35" s="1"/>
      <c r="P35" s="1"/>
      <c r="Q35" s="1"/>
      <c r="R35" s="1"/>
      <c r="S35" s="1"/>
      <c r="T35" s="1"/>
      <c r="U35" s="1"/>
      <c r="V35" s="1"/>
      <c r="W35" s="1"/>
      <c r="X35" s="1"/>
      <c r="Y35" s="1"/>
    </row>
    <row r="36" spans="1:25" ht="15.75" x14ac:dyDescent="0.2">
      <c r="A36" s="32"/>
      <c r="B36" s="66"/>
      <c r="C36" s="66"/>
      <c r="D36" s="28"/>
      <c r="E36" s="72"/>
      <c r="F36" s="72"/>
      <c r="G36" s="67"/>
      <c r="H36" s="1"/>
      <c r="I36" s="1"/>
      <c r="J36" s="1"/>
      <c r="K36" s="1"/>
      <c r="L36" s="1"/>
      <c r="M36" s="1"/>
      <c r="N36" s="1"/>
      <c r="O36" s="1"/>
      <c r="P36" s="1"/>
      <c r="Q36" s="1"/>
      <c r="R36" s="1"/>
      <c r="S36" s="1"/>
      <c r="T36" s="1"/>
      <c r="U36" s="1"/>
      <c r="V36" s="1"/>
      <c r="W36" s="1"/>
      <c r="X36" s="1"/>
      <c r="Y36" s="1"/>
    </row>
    <row r="37" spans="1:25" ht="15.75" x14ac:dyDescent="0.2">
      <c r="A37" s="32"/>
      <c r="B37" s="66"/>
      <c r="C37" s="66"/>
      <c r="D37" s="28"/>
      <c r="E37" s="67"/>
      <c r="F37" s="67"/>
      <c r="G37" s="67"/>
      <c r="H37" s="1"/>
      <c r="I37" s="1"/>
      <c r="J37" s="1"/>
      <c r="K37" s="1"/>
      <c r="L37" s="1"/>
      <c r="M37" s="1"/>
      <c r="N37" s="1"/>
      <c r="O37" s="1"/>
      <c r="P37" s="1"/>
      <c r="Q37" s="1"/>
      <c r="R37" s="1"/>
      <c r="S37" s="1"/>
      <c r="T37" s="1"/>
      <c r="U37" s="1"/>
      <c r="V37" s="1"/>
      <c r="W37" s="1"/>
      <c r="X37" s="1"/>
      <c r="Y37" s="1"/>
    </row>
    <row r="38" spans="1:25" ht="15.75" x14ac:dyDescent="0.2">
      <c r="A38" s="50" t="s">
        <v>29</v>
      </c>
      <c r="B38" s="51">
        <f>SUM(B24:B30)+B32+B33+B27+B35+B36+B37</f>
        <v>16</v>
      </c>
      <c r="C38" s="51">
        <f>SUM(C24:C30)+C32+C33+C34+C35+C36+C37</f>
        <v>7</v>
      </c>
      <c r="D38" s="51"/>
      <c r="E38" s="51"/>
      <c r="F38" s="51"/>
      <c r="G38" s="52">
        <f>SUM(G24:G30)+G32+G33+G34+G35+G36+G37</f>
        <v>0</v>
      </c>
      <c r="H38" s="1"/>
      <c r="I38" s="1"/>
      <c r="J38" s="1"/>
      <c r="K38" s="1"/>
      <c r="L38" s="1"/>
      <c r="M38" s="1"/>
      <c r="N38" s="1"/>
      <c r="O38" s="1"/>
      <c r="P38" s="1"/>
      <c r="Q38" s="1"/>
      <c r="R38" s="1"/>
      <c r="S38" s="1"/>
      <c r="T38" s="1"/>
      <c r="U38" s="1"/>
      <c r="V38" s="1"/>
      <c r="W38" s="1"/>
      <c r="X38" s="1"/>
      <c r="Y38" s="1"/>
    </row>
    <row r="39" spans="1:25" ht="15.75" x14ac:dyDescent="0.2">
      <c r="A39" s="401" t="s">
        <v>40</v>
      </c>
      <c r="B39" s="401"/>
      <c r="C39" s="401"/>
      <c r="D39" s="401"/>
      <c r="E39" s="401"/>
      <c r="F39" s="401"/>
      <c r="G39" s="401"/>
      <c r="H39" s="1"/>
      <c r="I39" s="1"/>
      <c r="J39" s="1"/>
      <c r="K39" s="1"/>
      <c r="L39" s="1"/>
      <c r="M39" s="1"/>
      <c r="N39" s="1"/>
      <c r="O39" s="1"/>
      <c r="P39" s="1"/>
      <c r="Q39" s="1"/>
      <c r="R39" s="1"/>
      <c r="S39" s="1"/>
      <c r="T39" s="1"/>
      <c r="U39" s="1"/>
      <c r="V39" s="1"/>
      <c r="W39" s="1"/>
      <c r="X39" s="1"/>
      <c r="Y39" s="1"/>
    </row>
    <row r="40" spans="1:25" ht="15.75" x14ac:dyDescent="0.2">
      <c r="A40" s="401" t="s">
        <v>1</v>
      </c>
      <c r="B40" s="401"/>
      <c r="C40" s="401"/>
      <c r="D40" s="401"/>
      <c r="E40" s="401"/>
      <c r="F40" s="401"/>
      <c r="G40" s="401"/>
      <c r="H40" s="1"/>
      <c r="I40" s="1"/>
      <c r="J40" s="1"/>
      <c r="K40" s="1"/>
      <c r="L40" s="1"/>
      <c r="M40" s="1"/>
      <c r="N40" s="1"/>
      <c r="O40" s="1"/>
      <c r="P40" s="1"/>
      <c r="Q40" s="1"/>
      <c r="R40" s="1"/>
      <c r="S40" s="1"/>
      <c r="T40" s="1"/>
      <c r="U40" s="1"/>
      <c r="V40" s="1"/>
      <c r="W40" s="1"/>
      <c r="X40" s="1"/>
      <c r="Y40" s="1"/>
    </row>
    <row r="41" spans="1:25" ht="15.75" x14ac:dyDescent="0.2">
      <c r="A41" s="74" t="s">
        <v>4</v>
      </c>
      <c r="B41" s="75" t="s">
        <v>5</v>
      </c>
      <c r="C41" s="75" t="s">
        <v>6</v>
      </c>
      <c r="D41" s="75" t="s">
        <v>7</v>
      </c>
      <c r="E41" s="75" t="s">
        <v>52</v>
      </c>
      <c r="F41" s="75" t="s">
        <v>235</v>
      </c>
      <c r="G41" s="75" t="s">
        <v>8</v>
      </c>
      <c r="H41" s="1"/>
      <c r="I41" s="1"/>
      <c r="J41" s="1"/>
      <c r="K41" s="1"/>
      <c r="L41" s="1"/>
      <c r="M41" s="1"/>
      <c r="N41" s="1"/>
      <c r="O41" s="1"/>
      <c r="P41" s="1"/>
      <c r="Q41" s="1"/>
      <c r="R41" s="1"/>
      <c r="S41" s="1"/>
      <c r="T41" s="1"/>
      <c r="U41" s="1"/>
      <c r="V41" s="1"/>
      <c r="W41" s="1"/>
      <c r="X41" s="1"/>
      <c r="Y41" s="1"/>
    </row>
    <row r="42" spans="1:25" ht="15.75" x14ac:dyDescent="0.2">
      <c r="A42" s="76"/>
      <c r="B42" s="77"/>
      <c r="C42" s="77"/>
      <c r="D42" s="78"/>
      <c r="E42" s="78"/>
      <c r="F42" s="78"/>
      <c r="G42" s="79"/>
      <c r="H42" s="1"/>
      <c r="I42" s="1"/>
      <c r="J42" s="1"/>
      <c r="K42" s="1"/>
      <c r="L42" s="1"/>
      <c r="M42" s="1"/>
      <c r="N42" s="1"/>
      <c r="O42" s="1"/>
      <c r="P42" s="1"/>
      <c r="Q42" s="1"/>
      <c r="R42" s="1"/>
      <c r="S42" s="1"/>
      <c r="T42" s="1"/>
      <c r="U42" s="1"/>
      <c r="V42" s="1"/>
      <c r="W42" s="1"/>
      <c r="X42" s="1"/>
      <c r="Y42" s="1"/>
    </row>
    <row r="43" spans="1:25" ht="1.5" customHeight="1" x14ac:dyDescent="0.2">
      <c r="A43" s="76"/>
      <c r="B43" s="77"/>
      <c r="C43" s="77"/>
      <c r="D43" s="77"/>
      <c r="E43" s="77"/>
      <c r="F43" s="77"/>
      <c r="G43" s="77"/>
      <c r="H43" s="1"/>
      <c r="I43" s="1"/>
      <c r="J43" s="1"/>
      <c r="K43" s="1"/>
      <c r="L43" s="1"/>
      <c r="M43" s="1"/>
      <c r="N43" s="1"/>
      <c r="O43" s="1"/>
      <c r="P43" s="1"/>
      <c r="Q43" s="1"/>
      <c r="R43" s="1"/>
      <c r="S43" s="1"/>
      <c r="T43" s="1"/>
      <c r="U43" s="1"/>
      <c r="V43" s="1"/>
      <c r="W43" s="1"/>
      <c r="X43" s="1"/>
      <c r="Y43" s="1"/>
    </row>
    <row r="44" spans="1:25" ht="15.75" x14ac:dyDescent="0.25">
      <c r="A44" s="69"/>
      <c r="B44" s="70"/>
      <c r="C44" s="70"/>
      <c r="D44" s="20"/>
      <c r="E44" s="67"/>
      <c r="F44" s="67"/>
      <c r="G44" s="67"/>
      <c r="H44" s="1"/>
      <c r="I44" s="1"/>
      <c r="J44" s="402"/>
      <c r="K44" s="402"/>
      <c r="L44" s="402"/>
      <c r="M44" s="402"/>
      <c r="N44" s="402"/>
      <c r="O44" s="402"/>
      <c r="P44" s="402"/>
      <c r="Q44" s="1"/>
      <c r="R44" s="1"/>
      <c r="S44" s="1"/>
      <c r="T44" s="1"/>
      <c r="U44" s="1"/>
      <c r="V44" s="1"/>
      <c r="W44" s="1"/>
      <c r="X44" s="1"/>
      <c r="Y44" s="1"/>
    </row>
    <row r="45" spans="1:25" ht="15.75" x14ac:dyDescent="0.2">
      <c r="A45" s="80"/>
      <c r="B45" s="67"/>
      <c r="C45" s="67"/>
      <c r="D45" s="67"/>
      <c r="E45" s="67"/>
      <c r="F45" s="67"/>
      <c r="G45" s="67"/>
      <c r="H45" s="1"/>
      <c r="I45" s="1"/>
      <c r="J45" s="402"/>
      <c r="K45" s="402"/>
      <c r="L45" s="402"/>
      <c r="M45" s="402"/>
      <c r="N45" s="402"/>
      <c r="O45" s="402"/>
      <c r="P45" s="402"/>
      <c r="Q45" s="1"/>
      <c r="R45" s="1"/>
      <c r="S45" s="1"/>
      <c r="T45" s="1"/>
      <c r="U45" s="1"/>
      <c r="V45" s="1"/>
      <c r="W45" s="1"/>
      <c r="X45" s="1"/>
      <c r="Y45" s="1"/>
    </row>
    <row r="46" spans="1:25" ht="15.75" x14ac:dyDescent="0.2">
      <c r="A46" s="80"/>
      <c r="B46" s="67"/>
      <c r="C46" s="67"/>
      <c r="D46" s="67"/>
      <c r="E46" s="6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67"/>
      <c r="C47" s="67"/>
      <c r="D47" s="67"/>
      <c r="E47" s="6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67"/>
      <c r="C48" s="67"/>
      <c r="D48" s="67"/>
      <c r="E48" s="6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67"/>
      <c r="C49" s="67"/>
      <c r="D49" s="67"/>
      <c r="E49" s="67"/>
      <c r="F49" s="67"/>
      <c r="G49" s="67"/>
      <c r="H49" s="1"/>
      <c r="I49" s="1"/>
      <c r="J49" s="402"/>
      <c r="K49" s="402"/>
      <c r="L49" s="402"/>
      <c r="M49" s="402"/>
      <c r="N49" s="402"/>
      <c r="O49" s="402"/>
      <c r="P49" s="402"/>
      <c r="Q49" s="1"/>
      <c r="R49" s="1"/>
      <c r="S49" s="1"/>
      <c r="T49" s="1"/>
      <c r="U49" s="1"/>
      <c r="V49" s="1"/>
      <c r="W49" s="1"/>
      <c r="X49" s="1"/>
      <c r="Y49" s="1"/>
    </row>
    <row r="50" spans="1:25" ht="15.75" x14ac:dyDescent="0.2">
      <c r="A50" s="403" t="s">
        <v>22</v>
      </c>
      <c r="B50" s="403"/>
      <c r="C50" s="403"/>
      <c r="D50" s="403"/>
      <c r="E50" s="403"/>
      <c r="F50" s="403"/>
      <c r="G50" s="403"/>
      <c r="H50" s="1"/>
      <c r="I50" s="1"/>
      <c r="J50" s="402"/>
      <c r="K50" s="402"/>
      <c r="L50" s="402"/>
      <c r="M50" s="402"/>
      <c r="N50" s="402"/>
      <c r="O50" s="402"/>
      <c r="P50" s="402"/>
      <c r="Q50" s="1"/>
      <c r="R50" s="1"/>
      <c r="S50" s="1"/>
      <c r="T50" s="1"/>
      <c r="U50" s="1"/>
      <c r="V50" s="1"/>
      <c r="W50" s="1"/>
      <c r="X50" s="1"/>
      <c r="Y50" s="1"/>
    </row>
    <row r="51" spans="1:25" ht="15.75" x14ac:dyDescent="0.2">
      <c r="A51" s="74" t="s">
        <v>4</v>
      </c>
      <c r="B51" s="75" t="s">
        <v>5</v>
      </c>
      <c r="C51" s="75" t="s">
        <v>6</v>
      </c>
      <c r="D51" s="75" t="s">
        <v>7</v>
      </c>
      <c r="E51" s="75" t="s">
        <v>52</v>
      </c>
      <c r="F51" s="75" t="s">
        <v>235</v>
      </c>
      <c r="G51" s="75" t="s">
        <v>8</v>
      </c>
      <c r="H51" s="1"/>
      <c r="I51" s="1"/>
      <c r="J51" s="402"/>
      <c r="K51" s="402"/>
      <c r="L51" s="402"/>
      <c r="M51" s="402"/>
      <c r="N51" s="402"/>
      <c r="O51" s="402"/>
      <c r="P51" s="402"/>
      <c r="Q51" s="1"/>
      <c r="R51" s="1"/>
      <c r="S51" s="1"/>
      <c r="T51" s="1"/>
      <c r="U51" s="1"/>
      <c r="V51" s="1"/>
      <c r="W51" s="1"/>
      <c r="X51" s="1"/>
      <c r="Y51" s="1"/>
    </row>
    <row r="52" spans="1:25" ht="15.75" x14ac:dyDescent="0.25">
      <c r="A52" s="69" t="s">
        <v>41</v>
      </c>
      <c r="B52" s="70">
        <v>2</v>
      </c>
      <c r="C52" s="70">
        <v>1</v>
      </c>
      <c r="D52" s="20" t="s">
        <v>53</v>
      </c>
      <c r="E52" s="47" t="s">
        <v>55</v>
      </c>
      <c r="F52" s="12">
        <v>0</v>
      </c>
      <c r="G52" s="11">
        <f>+IF(F52="","",VLOOKUP(F52,$H$132:$I$175,2,FALSE))</f>
        <v>0</v>
      </c>
      <c r="H52" s="1"/>
      <c r="I52" s="1"/>
      <c r="J52" s="402"/>
      <c r="K52" s="402"/>
      <c r="L52" s="402"/>
      <c r="M52" s="402"/>
      <c r="N52" s="402"/>
      <c r="O52" s="402"/>
      <c r="P52" s="402"/>
      <c r="Q52" s="1"/>
      <c r="R52" s="1"/>
      <c r="S52" s="1"/>
      <c r="T52" s="1"/>
      <c r="U52" s="1"/>
      <c r="V52" s="1"/>
      <c r="W52" s="1"/>
      <c r="X52" s="1"/>
      <c r="Y52" s="1"/>
    </row>
    <row r="53" spans="1:25" ht="15.75" x14ac:dyDescent="0.25">
      <c r="A53" s="69" t="s">
        <v>42</v>
      </c>
      <c r="B53" s="70">
        <v>2</v>
      </c>
      <c r="C53" s="70">
        <v>1</v>
      </c>
      <c r="D53" s="20" t="s">
        <v>53</v>
      </c>
      <c r="E53" s="47" t="s">
        <v>55</v>
      </c>
      <c r="F53" s="12">
        <v>0</v>
      </c>
      <c r="G53" s="11">
        <f>+IF(F53="","",VLOOKUP(F53,$H$132:$I$175,2,FALSE))</f>
        <v>0</v>
      </c>
      <c r="H53" s="1"/>
      <c r="I53" s="1"/>
      <c r="J53" s="402"/>
      <c r="K53" s="402"/>
      <c r="L53" s="402"/>
      <c r="M53" s="402"/>
      <c r="N53" s="402"/>
      <c r="O53" s="402"/>
      <c r="P53" s="402"/>
      <c r="Q53" s="1"/>
      <c r="R53" s="1"/>
      <c r="S53" s="1"/>
      <c r="T53" s="1"/>
      <c r="U53" s="1"/>
      <c r="V53" s="1"/>
      <c r="W53" s="1"/>
      <c r="X53" s="1"/>
      <c r="Y53" s="1"/>
    </row>
    <row r="54" spans="1:25" ht="15.75" x14ac:dyDescent="0.25">
      <c r="A54" s="69" t="s">
        <v>43</v>
      </c>
      <c r="B54" s="70">
        <v>4</v>
      </c>
      <c r="C54" s="70">
        <v>1</v>
      </c>
      <c r="D54" s="20" t="s">
        <v>53</v>
      </c>
      <c r="E54" s="47" t="s">
        <v>55</v>
      </c>
      <c r="F54" s="12">
        <v>0</v>
      </c>
      <c r="G54" s="11">
        <f>+IF(F54="","",VLOOKUP(F54,$H$132:$I$175,2,FALSE))</f>
        <v>0</v>
      </c>
      <c r="H54" s="1"/>
      <c r="I54" s="1"/>
      <c r="J54" s="402"/>
      <c r="K54" s="402"/>
      <c r="L54" s="402"/>
      <c r="M54" s="402"/>
      <c r="N54" s="402"/>
      <c r="O54" s="402"/>
      <c r="P54" s="402"/>
      <c r="Q54" s="1"/>
      <c r="R54" s="1"/>
      <c r="S54" s="1"/>
      <c r="T54" s="1"/>
      <c r="U54" s="1"/>
      <c r="V54" s="1"/>
      <c r="W54" s="1"/>
      <c r="X54" s="1"/>
      <c r="Y54" s="1"/>
    </row>
    <row r="55" spans="1:25" ht="15.75" x14ac:dyDescent="0.25">
      <c r="A55" s="69" t="s">
        <v>44</v>
      </c>
      <c r="B55" s="70">
        <v>4</v>
      </c>
      <c r="C55" s="70">
        <v>1</v>
      </c>
      <c r="D55" s="20" t="s">
        <v>53</v>
      </c>
      <c r="E55" s="47" t="s">
        <v>55</v>
      </c>
      <c r="F55" s="12">
        <v>0</v>
      </c>
      <c r="G55" s="11">
        <f>+IF(F55="","",VLOOKUP(F55,$H$132:$I$175,2,FALSE))</f>
        <v>0</v>
      </c>
      <c r="H55" s="1"/>
      <c r="I55" s="1"/>
      <c r="J55" s="402"/>
      <c r="K55" s="402"/>
      <c r="L55" s="402"/>
      <c r="M55" s="402"/>
      <c r="N55" s="402"/>
      <c r="O55" s="402"/>
      <c r="P55" s="402"/>
      <c r="Q55" s="1"/>
      <c r="R55" s="1"/>
      <c r="S55" s="1"/>
      <c r="T55" s="1"/>
      <c r="U55" s="1"/>
      <c r="V55" s="1"/>
      <c r="W55" s="1"/>
      <c r="X55" s="1"/>
      <c r="Y55" s="1"/>
    </row>
    <row r="56" spans="1:25" ht="15.75" x14ac:dyDescent="0.25">
      <c r="A56" s="69" t="s">
        <v>45</v>
      </c>
      <c r="B56" s="13">
        <v>3</v>
      </c>
      <c r="C56" s="70">
        <v>1</v>
      </c>
      <c r="D56" s="20" t="s">
        <v>53</v>
      </c>
      <c r="E56" s="47" t="s">
        <v>55</v>
      </c>
      <c r="F56" s="12">
        <v>0</v>
      </c>
      <c r="G56" s="11">
        <f>+IF(F56="","",VLOOKUP(F56,$H$132:$I$175,2,FALSE))</f>
        <v>0</v>
      </c>
      <c r="H56" s="1"/>
      <c r="I56" s="1"/>
      <c r="J56" s="402"/>
      <c r="K56" s="402"/>
      <c r="L56" s="402"/>
      <c r="M56" s="402"/>
      <c r="N56" s="402"/>
      <c r="O56" s="402"/>
      <c r="P56" s="402"/>
      <c r="Q56" s="1"/>
      <c r="R56" s="1"/>
      <c r="S56" s="1"/>
      <c r="T56" s="1"/>
      <c r="U56" s="1"/>
      <c r="V56" s="1"/>
      <c r="W56" s="1"/>
      <c r="X56" s="1"/>
      <c r="Y56" s="1"/>
    </row>
    <row r="57" spans="1:25" ht="15.75" x14ac:dyDescent="0.2">
      <c r="A57" s="80"/>
      <c r="B57" s="67"/>
      <c r="C57" s="67"/>
      <c r="D57" s="67"/>
      <c r="E57" s="67"/>
      <c r="F57" s="67"/>
      <c r="G57" s="67"/>
      <c r="H57" s="1"/>
      <c r="I57" s="1"/>
      <c r="J57" s="402"/>
      <c r="K57" s="402"/>
      <c r="L57" s="402"/>
      <c r="M57" s="402"/>
      <c r="N57" s="402"/>
      <c r="O57" s="402"/>
      <c r="P57" s="402"/>
      <c r="Q57" s="1"/>
      <c r="R57" s="1"/>
      <c r="S57" s="1"/>
      <c r="T57" s="1"/>
      <c r="U57" s="1"/>
      <c r="V57" s="1"/>
      <c r="W57" s="1"/>
      <c r="X57" s="1"/>
      <c r="Y57" s="1"/>
    </row>
    <row r="58" spans="1:25" ht="15.75" x14ac:dyDescent="0.2">
      <c r="A58" s="80" t="s">
        <v>29</v>
      </c>
      <c r="B58" s="51">
        <f>SUM(B44:B50)+B52+B53+B54+B55+B56+B57</f>
        <v>15</v>
      </c>
      <c r="C58" s="51">
        <f>SUM(C44:C50)+C52+C53+C54+C55+C56+C57</f>
        <v>5</v>
      </c>
      <c r="D58" s="51"/>
      <c r="E58" s="51"/>
      <c r="F58" s="51"/>
      <c r="G58" s="52">
        <f>SUM(G44:G50)+G52+G53+G54+G55+G56+G57</f>
        <v>0</v>
      </c>
      <c r="H58" s="1"/>
      <c r="I58" s="1"/>
      <c r="J58" s="402"/>
      <c r="K58" s="402"/>
      <c r="L58" s="402"/>
      <c r="M58" s="402"/>
      <c r="N58" s="402"/>
      <c r="O58" s="402"/>
      <c r="P58" s="402"/>
      <c r="Q58" s="1"/>
      <c r="R58" s="1"/>
      <c r="S58" s="1"/>
      <c r="T58" s="1"/>
      <c r="U58" s="1"/>
      <c r="V58" s="1"/>
      <c r="W58" s="1"/>
      <c r="X58" s="1"/>
      <c r="Y58" s="1"/>
    </row>
    <row r="59" spans="1:25" ht="15"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 x14ac:dyDescent="0.2">
      <c r="A60" s="62" t="s">
        <v>31</v>
      </c>
      <c r="B60" s="62">
        <f>B58+B38+B20</f>
        <v>58</v>
      </c>
      <c r="C60" s="62">
        <f>C58+C38+C20</f>
        <v>20</v>
      </c>
      <c r="D60" s="62">
        <f>D58+D38+D20</f>
        <v>0</v>
      </c>
      <c r="E60" s="1"/>
      <c r="F60" s="1"/>
      <c r="G60" s="52">
        <f>G58+G38+G20</f>
        <v>0</v>
      </c>
      <c r="H60" s="1"/>
      <c r="I60" s="1"/>
      <c r="J60" s="1"/>
      <c r="K60" s="1"/>
      <c r="L60" s="1"/>
      <c r="M60" s="1"/>
      <c r="N60" s="1"/>
      <c r="O60" s="1"/>
      <c r="P60" s="1"/>
      <c r="Q60" s="1"/>
      <c r="R60" s="1"/>
      <c r="S60" s="1"/>
      <c r="T60" s="1"/>
      <c r="U60" s="1"/>
      <c r="V60" s="1"/>
      <c r="W60" s="1"/>
      <c r="X60" s="1"/>
      <c r="Y60" s="1"/>
    </row>
    <row r="61" spans="1:25" ht="15.75" x14ac:dyDescent="0.25">
      <c r="A61" s="1"/>
      <c r="B61" s="1"/>
      <c r="C61" s="1"/>
      <c r="D61" s="1"/>
      <c r="E61" s="1"/>
      <c r="F61" s="1"/>
      <c r="G61" s="1"/>
      <c r="H61" s="1"/>
      <c r="I61" s="1"/>
      <c r="J61" s="81" t="s">
        <v>46</v>
      </c>
      <c r="K61" s="82">
        <f>K23+B60+T23+AB23</f>
        <v>130</v>
      </c>
      <c r="L61" s="82"/>
      <c r="M61" s="83"/>
      <c r="N61" s="83"/>
      <c r="O61" s="83"/>
      <c r="P61" s="83"/>
      <c r="Q61" s="1"/>
      <c r="R61" s="1"/>
      <c r="S61" s="1"/>
      <c r="T61" s="1"/>
      <c r="U61" s="1"/>
      <c r="V61" s="1"/>
      <c r="W61" s="1"/>
      <c r="X61" s="1"/>
      <c r="Y61" s="1"/>
    </row>
    <row r="62" spans="1:25" ht="16.5" thickBot="1" x14ac:dyDescent="0.3">
      <c r="A62" s="1"/>
      <c r="B62" s="1"/>
      <c r="C62" s="1"/>
      <c r="D62" s="1"/>
      <c r="E62" s="1"/>
      <c r="F62" s="1"/>
      <c r="G62" s="1"/>
      <c r="H62" s="1"/>
      <c r="I62" s="1"/>
      <c r="J62" s="81" t="s">
        <v>47</v>
      </c>
      <c r="K62" s="83">
        <f>L23+C60+U23+AC23</f>
        <v>31</v>
      </c>
      <c r="L62" s="1"/>
      <c r="M62" s="84" t="s">
        <v>0</v>
      </c>
      <c r="N62" s="84" t="s">
        <v>30</v>
      </c>
      <c r="O62" s="84" t="s">
        <v>40</v>
      </c>
      <c r="P62" s="85"/>
      <c r="R62" s="107"/>
      <c r="T62" s="1"/>
      <c r="U62" s="1"/>
      <c r="V62" s="1"/>
      <c r="W62" s="1"/>
      <c r="X62" s="1"/>
      <c r="Y62" s="1"/>
    </row>
    <row r="63" spans="1:25" ht="27" customHeight="1" thickBot="1" x14ac:dyDescent="0.3">
      <c r="A63" s="1"/>
      <c r="B63" s="1"/>
      <c r="C63" s="1"/>
      <c r="D63" s="1"/>
      <c r="E63" s="1"/>
      <c r="F63" s="1"/>
      <c r="G63" s="1"/>
      <c r="H63" s="1"/>
      <c r="I63" s="1"/>
      <c r="J63" s="86" t="s">
        <v>48</v>
      </c>
      <c r="K63" s="379">
        <f>G60+P23+Y23</f>
        <v>0</v>
      </c>
      <c r="L63" s="380"/>
      <c r="M63" s="98">
        <f>G20+P16+P4+P5</f>
        <v>0</v>
      </c>
      <c r="N63" s="98">
        <f>G38+Y23+P6+P7</f>
        <v>0</v>
      </c>
      <c r="O63" s="98">
        <f>G58+P8</f>
        <v>0</v>
      </c>
      <c r="P63" s="109">
        <f>SUM(M63:O63)</f>
        <v>0</v>
      </c>
      <c r="R63" s="108"/>
      <c r="S63" s="99"/>
      <c r="T63" s="1"/>
      <c r="U63" s="1"/>
      <c r="V63" s="1"/>
      <c r="W63" s="1"/>
      <c r="X63" s="1"/>
      <c r="Y63" s="1"/>
    </row>
    <row r="64" spans="1:25" ht="13.5" thickBot="1" x14ac:dyDescent="0.25"/>
    <row r="65" spans="1:31" ht="36" customHeight="1" thickBot="1" x14ac:dyDescent="0.25">
      <c r="A65" s="392" t="s">
        <v>49</v>
      </c>
      <c r="B65" s="393"/>
      <c r="C65" s="393"/>
      <c r="D65" s="393"/>
      <c r="E65" s="393"/>
      <c r="F65" s="393"/>
      <c r="G65" s="393"/>
      <c r="H65" s="393"/>
      <c r="I65" s="393"/>
      <c r="J65" s="393"/>
      <c r="K65" s="393"/>
      <c r="L65" s="393"/>
      <c r="M65" s="393"/>
      <c r="N65" s="393"/>
      <c r="O65" s="393"/>
      <c r="P65" s="393"/>
      <c r="Q65" s="393"/>
      <c r="R65" s="393"/>
      <c r="S65" s="393"/>
      <c r="T65" s="393"/>
      <c r="U65" s="393"/>
      <c r="V65" s="393"/>
      <c r="W65" s="393"/>
      <c r="X65" s="393"/>
      <c r="Y65" s="393"/>
      <c r="Z65" s="393"/>
      <c r="AA65" s="393"/>
      <c r="AB65" s="393"/>
      <c r="AC65" s="393"/>
      <c r="AD65" s="393"/>
      <c r="AE65" s="394"/>
    </row>
    <row r="66" spans="1:31" ht="286.5" customHeight="1" x14ac:dyDescent="0.2">
      <c r="A66" s="387" t="s">
        <v>59</v>
      </c>
      <c r="B66" s="388"/>
      <c r="C66" s="388"/>
      <c r="D66" s="388"/>
      <c r="E66" s="388"/>
      <c r="F66" s="388"/>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8"/>
      <c r="AE66" s="388"/>
    </row>
    <row r="67" spans="1:31" ht="222.75" customHeight="1" x14ac:dyDescent="0.2">
      <c r="A67" s="387"/>
      <c r="B67" s="388"/>
      <c r="C67" s="388"/>
      <c r="D67" s="388"/>
      <c r="E67" s="388"/>
      <c r="F67" s="388"/>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8"/>
      <c r="AE67" s="388"/>
    </row>
    <row r="68" spans="1:31" ht="109.5" customHeight="1" x14ac:dyDescent="0.2">
      <c r="A68" s="387"/>
      <c r="B68" s="388"/>
      <c r="C68" s="388"/>
      <c r="D68" s="388"/>
      <c r="E68" s="388"/>
      <c r="F68" s="388"/>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8"/>
      <c r="AE68" s="388"/>
    </row>
    <row r="69" spans="1:31" ht="148.5" customHeight="1" x14ac:dyDescent="0.2">
      <c r="A69" s="387"/>
      <c r="B69" s="388"/>
      <c r="C69" s="388"/>
      <c r="D69" s="388"/>
      <c r="E69" s="388"/>
      <c r="F69" s="388"/>
      <c r="G69" s="388"/>
      <c r="H69" s="388"/>
      <c r="I69" s="388"/>
      <c r="J69" s="388"/>
      <c r="K69" s="388"/>
      <c r="L69" s="388"/>
      <c r="M69" s="388"/>
      <c r="N69" s="388"/>
      <c r="O69" s="388"/>
      <c r="P69" s="388"/>
      <c r="Q69" s="388"/>
      <c r="R69" s="388"/>
      <c r="S69" s="388"/>
      <c r="T69" s="388"/>
      <c r="U69" s="388"/>
      <c r="V69" s="388"/>
      <c r="W69" s="388"/>
      <c r="X69" s="388"/>
      <c r="Y69" s="388"/>
      <c r="Z69" s="388"/>
      <c r="AA69" s="388"/>
      <c r="AB69" s="388"/>
      <c r="AC69" s="388"/>
      <c r="AD69" s="388"/>
      <c r="AE69" s="388"/>
    </row>
    <row r="70" spans="1:31" ht="90" customHeight="1" x14ac:dyDescent="0.2">
      <c r="A70" s="387"/>
      <c r="B70" s="388"/>
      <c r="C70" s="388"/>
      <c r="D70" s="388"/>
      <c r="E70" s="388"/>
      <c r="F70" s="388"/>
      <c r="G70" s="388"/>
      <c r="H70" s="388"/>
      <c r="I70" s="388"/>
      <c r="J70" s="388"/>
      <c r="K70" s="388"/>
      <c r="L70" s="388"/>
      <c r="M70" s="388"/>
      <c r="N70" s="388"/>
      <c r="O70" s="388"/>
      <c r="P70" s="388"/>
      <c r="Q70" s="388"/>
      <c r="R70" s="388"/>
      <c r="S70" s="388"/>
      <c r="T70" s="388"/>
      <c r="U70" s="388"/>
      <c r="V70" s="388"/>
      <c r="W70" s="388"/>
      <c r="X70" s="388"/>
      <c r="Y70" s="388"/>
      <c r="Z70" s="388"/>
      <c r="AA70" s="388"/>
      <c r="AB70" s="388"/>
      <c r="AC70" s="388"/>
      <c r="AD70" s="388"/>
      <c r="AE70" s="388"/>
    </row>
    <row r="71" spans="1:31" ht="156" customHeight="1" x14ac:dyDescent="0.2">
      <c r="A71" s="387"/>
      <c r="B71" s="388"/>
      <c r="C71" s="388"/>
      <c r="D71" s="388"/>
      <c r="E71" s="388"/>
      <c r="F71" s="388"/>
      <c r="G71" s="388"/>
      <c r="H71" s="388"/>
      <c r="I71" s="388"/>
      <c r="J71" s="388"/>
      <c r="K71" s="388"/>
      <c r="L71" s="388"/>
      <c r="M71" s="388"/>
      <c r="N71" s="388"/>
      <c r="O71" s="388"/>
      <c r="P71" s="388"/>
      <c r="Q71" s="388"/>
      <c r="R71" s="388"/>
      <c r="S71" s="388"/>
      <c r="T71" s="388"/>
      <c r="U71" s="388"/>
      <c r="V71" s="388"/>
      <c r="W71" s="388"/>
      <c r="X71" s="388"/>
      <c r="Y71" s="388"/>
      <c r="Z71" s="388"/>
      <c r="AA71" s="388"/>
      <c r="AB71" s="388"/>
      <c r="AC71" s="388"/>
      <c r="AD71" s="388"/>
      <c r="AE71" s="388"/>
    </row>
    <row r="72" spans="1:31" ht="258" customHeight="1" x14ac:dyDescent="0.2">
      <c r="A72" s="387"/>
      <c r="B72" s="388"/>
      <c r="C72" s="388"/>
      <c r="D72" s="388"/>
      <c r="E72" s="388"/>
      <c r="F72" s="388"/>
      <c r="G72" s="388"/>
      <c r="H72" s="388"/>
      <c r="I72" s="388"/>
      <c r="J72" s="388"/>
      <c r="K72" s="388"/>
      <c r="L72" s="388"/>
      <c r="M72" s="388"/>
      <c r="N72" s="388"/>
      <c r="O72" s="388"/>
      <c r="P72" s="388"/>
      <c r="Q72" s="388"/>
      <c r="R72" s="388"/>
      <c r="S72" s="388"/>
      <c r="T72" s="388"/>
      <c r="U72" s="388"/>
      <c r="V72" s="388"/>
      <c r="W72" s="388"/>
      <c r="X72" s="388"/>
      <c r="Y72" s="388"/>
      <c r="Z72" s="388"/>
      <c r="AA72" s="388"/>
      <c r="AB72" s="388"/>
      <c r="AC72" s="388"/>
      <c r="AD72" s="388"/>
      <c r="AE72" s="388"/>
    </row>
    <row r="73" spans="1:31" ht="18.75" x14ac:dyDescent="0.2">
      <c r="S73" s="87"/>
      <c r="T73" s="88"/>
      <c r="U73" s="87"/>
    </row>
    <row r="74" spans="1:31" ht="18.75" x14ac:dyDescent="0.2">
      <c r="S74" s="87"/>
      <c r="T74" s="88"/>
      <c r="U74" s="87"/>
    </row>
    <row r="75" spans="1:31" ht="18.75" x14ac:dyDescent="0.2">
      <c r="A75" s="389"/>
      <c r="S75" s="87"/>
      <c r="T75" s="88"/>
      <c r="U75" s="87"/>
    </row>
    <row r="76" spans="1:31" ht="18.75" x14ac:dyDescent="0.2">
      <c r="A76" s="389"/>
      <c r="S76" s="87"/>
      <c r="T76" s="88"/>
      <c r="U76" s="87"/>
    </row>
    <row r="77" spans="1:31" ht="18.75" x14ac:dyDescent="0.2">
      <c r="A77" s="389"/>
      <c r="S77" s="87"/>
      <c r="T77" s="88"/>
      <c r="U77" s="87"/>
    </row>
    <row r="78" spans="1:31" ht="18.75" x14ac:dyDescent="0.25">
      <c r="A78" s="89"/>
      <c r="S78" s="87"/>
      <c r="T78" s="88"/>
      <c r="U78" s="87"/>
    </row>
    <row r="79" spans="1:31" ht="18.75" x14ac:dyDescent="0.25">
      <c r="A79" s="89"/>
      <c r="S79" s="87"/>
      <c r="T79" s="88"/>
      <c r="U79" s="87"/>
    </row>
    <row r="80" spans="1:31" ht="18.75" x14ac:dyDescent="0.25">
      <c r="A80" s="90"/>
      <c r="S80" s="87"/>
      <c r="T80" s="88"/>
      <c r="U80" s="87"/>
    </row>
    <row r="81" spans="1:21" ht="18.75" x14ac:dyDescent="0.2">
      <c r="A81" s="389" t="s">
        <v>50</v>
      </c>
      <c r="B81" s="391"/>
      <c r="S81" s="87"/>
      <c r="T81" s="88"/>
      <c r="U81" s="87"/>
    </row>
    <row r="82" spans="1:21" ht="18.75" x14ac:dyDescent="0.2">
      <c r="A82" s="390"/>
      <c r="B82" s="391"/>
      <c r="S82" s="87"/>
      <c r="T82" s="88"/>
      <c r="U82" s="87"/>
    </row>
    <row r="83" spans="1:21" ht="18.75" x14ac:dyDescent="0.2">
      <c r="A83" s="390"/>
      <c r="B83" s="391"/>
      <c r="S83" s="87"/>
      <c r="T83" s="88"/>
      <c r="U83" s="87"/>
    </row>
    <row r="84" spans="1:21" ht="18.75" x14ac:dyDescent="0.25">
      <c r="A84" s="89"/>
      <c r="B84" s="91"/>
      <c r="S84" s="87"/>
      <c r="T84" s="88"/>
      <c r="U84" s="87"/>
    </row>
    <row r="85" spans="1:21" ht="12.75" customHeight="1" x14ac:dyDescent="0.25">
      <c r="A85" s="92"/>
    </row>
    <row r="86" spans="1:21" ht="12.75" customHeight="1" x14ac:dyDescent="0.2">
      <c r="A86" s="385" t="s">
        <v>51</v>
      </c>
    </row>
    <row r="87" spans="1:21" ht="12.75" customHeight="1" x14ac:dyDescent="0.2">
      <c r="A87" s="386"/>
    </row>
    <row r="88" spans="1:21" ht="12.75" customHeight="1" x14ac:dyDescent="0.2">
      <c r="A88" s="386"/>
    </row>
    <row r="89" spans="1:21" ht="249.75" customHeight="1" x14ac:dyDescent="0.2">
      <c r="A89" s="93"/>
    </row>
    <row r="90" spans="1:21" x14ac:dyDescent="0.2">
      <c r="A90" s="94"/>
    </row>
    <row r="91" spans="1:21" x14ac:dyDescent="0.2">
      <c r="A91" s="94"/>
    </row>
    <row r="92" spans="1:21" x14ac:dyDescent="0.2">
      <c r="A92" s="94"/>
    </row>
    <row r="93" spans="1:21" x14ac:dyDescent="0.2">
      <c r="A93" s="94"/>
    </row>
    <row r="94" spans="1:21" x14ac:dyDescent="0.2">
      <c r="A94" s="94"/>
    </row>
    <row r="95" spans="1:21" x14ac:dyDescent="0.2">
      <c r="A95" s="94"/>
    </row>
    <row r="96" spans="1:21" x14ac:dyDescent="0.2">
      <c r="A96" s="94"/>
    </row>
    <row r="131" spans="6:14" x14ac:dyDescent="0.2">
      <c r="J131" s="2" t="s">
        <v>234</v>
      </c>
      <c r="K131" s="2" t="s">
        <v>148</v>
      </c>
    </row>
    <row r="132" spans="6:14" x14ac:dyDescent="0.2">
      <c r="F132" s="2">
        <v>0</v>
      </c>
      <c r="G132" s="2">
        <v>0</v>
      </c>
      <c r="H132" s="2">
        <v>0</v>
      </c>
      <c r="I132" s="2">
        <v>0</v>
      </c>
      <c r="J132" s="2">
        <v>0</v>
      </c>
      <c r="K132" s="2">
        <v>0</v>
      </c>
      <c r="L132" s="2">
        <v>0</v>
      </c>
      <c r="M132" s="2">
        <v>0</v>
      </c>
      <c r="N132" s="2" t="str">
        <f t="shared" ref="N132:N174" si="0">+CONCATENATE(G132,M132)</f>
        <v>00</v>
      </c>
    </row>
    <row r="133" spans="6:14" x14ac:dyDescent="0.2">
      <c r="F133" s="2" t="s">
        <v>60</v>
      </c>
      <c r="G133" s="2" t="s">
        <v>150</v>
      </c>
      <c r="H133" s="2" t="s">
        <v>192</v>
      </c>
      <c r="I133" s="100">
        <v>591271</v>
      </c>
      <c r="J133" s="100" t="s">
        <v>144</v>
      </c>
      <c r="K133" s="101">
        <v>4</v>
      </c>
      <c r="L133" s="2" t="s">
        <v>102</v>
      </c>
      <c r="M133" s="2" t="s">
        <v>149</v>
      </c>
      <c r="N133" s="2" t="str">
        <f t="shared" si="0"/>
        <v>1..</v>
      </c>
    </row>
    <row r="134" spans="6:14" x14ac:dyDescent="0.2">
      <c r="F134" s="2" t="s">
        <v>61</v>
      </c>
      <c r="G134" s="2" t="s">
        <v>151</v>
      </c>
      <c r="H134" s="2" t="s">
        <v>193</v>
      </c>
      <c r="I134" s="100">
        <v>522658</v>
      </c>
      <c r="J134" s="100" t="s">
        <v>144</v>
      </c>
      <c r="K134" s="101">
        <v>3</v>
      </c>
      <c r="L134" s="2" t="s">
        <v>103</v>
      </c>
      <c r="M134" s="2" t="s">
        <v>149</v>
      </c>
      <c r="N134" s="2" t="str">
        <f t="shared" si="0"/>
        <v>2..</v>
      </c>
    </row>
    <row r="135" spans="6:14" x14ac:dyDescent="0.2">
      <c r="F135" s="2" t="s">
        <v>62</v>
      </c>
      <c r="G135" s="2" t="s">
        <v>152</v>
      </c>
      <c r="H135" s="2" t="s">
        <v>194</v>
      </c>
      <c r="I135" s="100">
        <v>453679</v>
      </c>
      <c r="J135" s="100" t="s">
        <v>144</v>
      </c>
      <c r="K135" s="101">
        <v>2</v>
      </c>
      <c r="L135" s="2" t="s">
        <v>104</v>
      </c>
      <c r="M135" s="2" t="s">
        <v>149</v>
      </c>
      <c r="N135" s="2" t="str">
        <f t="shared" si="0"/>
        <v>3..</v>
      </c>
    </row>
    <row r="136" spans="6:14" x14ac:dyDescent="0.2">
      <c r="F136" s="2" t="s">
        <v>63</v>
      </c>
      <c r="G136" s="2" t="s">
        <v>153</v>
      </c>
      <c r="H136" s="2" t="s">
        <v>195</v>
      </c>
      <c r="I136" s="100">
        <v>384145</v>
      </c>
      <c r="J136" s="100" t="s">
        <v>144</v>
      </c>
      <c r="K136" s="101">
        <v>1</v>
      </c>
      <c r="L136" s="2" t="s">
        <v>105</v>
      </c>
      <c r="M136" s="2" t="s">
        <v>149</v>
      </c>
      <c r="N136" s="2" t="str">
        <f t="shared" si="0"/>
        <v>4..</v>
      </c>
    </row>
    <row r="137" spans="6:14" x14ac:dyDescent="0.2">
      <c r="F137" s="2" t="s">
        <v>64</v>
      </c>
      <c r="G137" s="2" t="s">
        <v>154</v>
      </c>
      <c r="H137" s="2" t="s">
        <v>196</v>
      </c>
      <c r="I137" s="100">
        <v>346554</v>
      </c>
      <c r="J137" s="100" t="s">
        <v>144</v>
      </c>
      <c r="K137" s="101">
        <v>0</v>
      </c>
      <c r="L137" s="2" t="s">
        <v>106</v>
      </c>
      <c r="M137" s="2" t="s">
        <v>149</v>
      </c>
      <c r="N137" s="2" t="str">
        <f t="shared" si="0"/>
        <v>5..</v>
      </c>
    </row>
    <row r="138" spans="6:14" x14ac:dyDescent="0.2">
      <c r="F138" s="2" t="s">
        <v>65</v>
      </c>
      <c r="G138" s="2" t="s">
        <v>155</v>
      </c>
      <c r="H138" s="2" t="s">
        <v>197</v>
      </c>
      <c r="I138" s="100">
        <v>698575</v>
      </c>
      <c r="J138" s="100" t="s">
        <v>146</v>
      </c>
      <c r="K138" s="101">
        <v>4</v>
      </c>
      <c r="L138" s="2" t="s">
        <v>107</v>
      </c>
      <c r="M138" s="2" t="s">
        <v>149</v>
      </c>
      <c r="N138" s="2" t="str">
        <f t="shared" si="0"/>
        <v>6..</v>
      </c>
    </row>
    <row r="139" spans="6:14" x14ac:dyDescent="0.2">
      <c r="F139" s="2" t="s">
        <v>66</v>
      </c>
      <c r="G139" s="2" t="s">
        <v>156</v>
      </c>
      <c r="H139" s="2" t="s">
        <v>198</v>
      </c>
      <c r="I139" s="100">
        <v>615599</v>
      </c>
      <c r="J139" s="100" t="s">
        <v>146</v>
      </c>
      <c r="K139" s="101">
        <v>3</v>
      </c>
      <c r="L139" s="2" t="s">
        <v>108</v>
      </c>
      <c r="M139" s="2" t="s">
        <v>149</v>
      </c>
      <c r="N139" s="2" t="str">
        <f t="shared" si="0"/>
        <v>7..</v>
      </c>
    </row>
    <row r="140" spans="6:14" x14ac:dyDescent="0.2">
      <c r="F140" s="2" t="s">
        <v>67</v>
      </c>
      <c r="G140" s="2" t="s">
        <v>157</v>
      </c>
      <c r="H140" s="2" t="s">
        <v>199</v>
      </c>
      <c r="I140" s="100">
        <v>532623</v>
      </c>
      <c r="J140" s="100" t="s">
        <v>146</v>
      </c>
      <c r="K140" s="101">
        <v>2</v>
      </c>
      <c r="L140" s="2" t="s">
        <v>109</v>
      </c>
      <c r="M140" s="2" t="s">
        <v>149</v>
      </c>
      <c r="N140" s="2" t="str">
        <f t="shared" si="0"/>
        <v>8..</v>
      </c>
    </row>
    <row r="141" spans="6:14" x14ac:dyDescent="0.2">
      <c r="F141" s="2" t="s">
        <v>68</v>
      </c>
      <c r="G141" s="2" t="s">
        <v>158</v>
      </c>
      <c r="H141" s="2" t="s">
        <v>200</v>
      </c>
      <c r="I141" s="100">
        <v>449647</v>
      </c>
      <c r="J141" s="100" t="s">
        <v>146</v>
      </c>
      <c r="K141" s="101">
        <v>1</v>
      </c>
      <c r="L141" s="2" t="s">
        <v>110</v>
      </c>
      <c r="M141" s="2" t="s">
        <v>149</v>
      </c>
      <c r="N141" s="2" t="str">
        <f t="shared" si="0"/>
        <v>9..</v>
      </c>
    </row>
    <row r="142" spans="6:14" x14ac:dyDescent="0.2">
      <c r="F142" s="2" t="s">
        <v>69</v>
      </c>
      <c r="G142" s="2" t="s">
        <v>159</v>
      </c>
      <c r="H142" s="2" t="s">
        <v>201</v>
      </c>
      <c r="I142" s="100">
        <v>381076</v>
      </c>
      <c r="J142" s="100" t="s">
        <v>146</v>
      </c>
      <c r="K142" s="101">
        <v>0</v>
      </c>
      <c r="L142" s="2" t="s">
        <v>111</v>
      </c>
      <c r="M142" s="2" t="s">
        <v>149</v>
      </c>
      <c r="N142" s="2" t="str">
        <f t="shared" si="0"/>
        <v>10..</v>
      </c>
    </row>
    <row r="143" spans="6:14" x14ac:dyDescent="0.2">
      <c r="F143" s="2" t="s">
        <v>70</v>
      </c>
      <c r="G143" s="2" t="s">
        <v>160</v>
      </c>
      <c r="H143" s="2" t="s">
        <v>202</v>
      </c>
      <c r="I143" s="100">
        <v>403027</v>
      </c>
      <c r="J143" s="100" t="s">
        <v>145</v>
      </c>
      <c r="K143" s="101">
        <v>4</v>
      </c>
      <c r="L143" s="2" t="s">
        <v>112</v>
      </c>
      <c r="M143" s="2" t="s">
        <v>149</v>
      </c>
      <c r="N143" s="2" t="str">
        <f t="shared" si="0"/>
        <v>11..</v>
      </c>
    </row>
    <row r="144" spans="6:14" x14ac:dyDescent="0.2">
      <c r="F144" s="2" t="s">
        <v>71</v>
      </c>
      <c r="G144" s="2" t="s">
        <v>161</v>
      </c>
      <c r="H144" s="2" t="s">
        <v>203</v>
      </c>
      <c r="I144" s="100">
        <v>354644</v>
      </c>
      <c r="J144" s="100" t="s">
        <v>145</v>
      </c>
      <c r="K144" s="101">
        <v>3</v>
      </c>
      <c r="L144" s="2" t="s">
        <v>113</v>
      </c>
      <c r="M144" s="2" t="s">
        <v>149</v>
      </c>
      <c r="N144" s="2" t="str">
        <f t="shared" si="0"/>
        <v>12..</v>
      </c>
    </row>
    <row r="145" spans="6:14" x14ac:dyDescent="0.2">
      <c r="F145" s="2" t="s">
        <v>72</v>
      </c>
      <c r="G145" s="2" t="s">
        <v>162</v>
      </c>
      <c r="H145" s="2" t="s">
        <v>204</v>
      </c>
      <c r="I145" s="100">
        <v>306110</v>
      </c>
      <c r="J145" s="100" t="s">
        <v>145</v>
      </c>
      <c r="K145" s="101">
        <v>2</v>
      </c>
      <c r="L145" s="2" t="s">
        <v>114</v>
      </c>
      <c r="M145" s="2" t="s">
        <v>149</v>
      </c>
      <c r="N145" s="2" t="str">
        <f t="shared" si="0"/>
        <v>13..</v>
      </c>
    </row>
    <row r="146" spans="6:14" x14ac:dyDescent="0.2">
      <c r="F146" s="2" t="s">
        <v>73</v>
      </c>
      <c r="G146" s="2" t="s">
        <v>163</v>
      </c>
      <c r="H146" s="2" t="s">
        <v>205</v>
      </c>
      <c r="I146" s="100">
        <v>257359</v>
      </c>
      <c r="J146" s="100" t="s">
        <v>145</v>
      </c>
      <c r="K146" s="101">
        <v>1</v>
      </c>
      <c r="L146" s="2" t="s">
        <v>115</v>
      </c>
      <c r="M146" s="2" t="s">
        <v>149</v>
      </c>
      <c r="N146" s="2" t="str">
        <f t="shared" si="0"/>
        <v>14..</v>
      </c>
    </row>
    <row r="147" spans="6:14" x14ac:dyDescent="0.2">
      <c r="F147" s="2" t="s">
        <v>74</v>
      </c>
      <c r="G147" s="2" t="s">
        <v>164</v>
      </c>
      <c r="H147" s="2" t="s">
        <v>206</v>
      </c>
      <c r="I147" s="100">
        <v>207831</v>
      </c>
      <c r="J147" s="100" t="s">
        <v>145</v>
      </c>
      <c r="K147" s="101">
        <v>0</v>
      </c>
      <c r="L147" s="2" t="s">
        <v>116</v>
      </c>
      <c r="M147" s="2" t="s">
        <v>149</v>
      </c>
      <c r="N147" s="2" t="str">
        <f t="shared" si="0"/>
        <v>15..</v>
      </c>
    </row>
    <row r="148" spans="6:14" x14ac:dyDescent="0.2">
      <c r="F148" s="2" t="s">
        <v>75</v>
      </c>
      <c r="G148" s="2" t="s">
        <v>165</v>
      </c>
      <c r="H148" s="2" t="s">
        <v>207</v>
      </c>
      <c r="I148" s="100">
        <v>504881</v>
      </c>
      <c r="J148" s="100" t="s">
        <v>144</v>
      </c>
      <c r="K148" s="101">
        <v>4</v>
      </c>
      <c r="L148" s="2" t="s">
        <v>117</v>
      </c>
      <c r="M148" s="2" t="s">
        <v>149</v>
      </c>
      <c r="N148" s="2" t="str">
        <f t="shared" si="0"/>
        <v>16..</v>
      </c>
    </row>
    <row r="149" spans="6:14" x14ac:dyDescent="0.2">
      <c r="F149" s="2" t="s">
        <v>76</v>
      </c>
      <c r="G149" s="2" t="s">
        <v>166</v>
      </c>
      <c r="H149" s="2" t="s">
        <v>208</v>
      </c>
      <c r="I149" s="100">
        <v>456996</v>
      </c>
      <c r="J149" s="100" t="s">
        <v>144</v>
      </c>
      <c r="K149" s="101">
        <v>3</v>
      </c>
      <c r="L149" s="2" t="s">
        <v>118</v>
      </c>
      <c r="M149" s="2" t="s">
        <v>149</v>
      </c>
      <c r="N149" s="2" t="str">
        <f t="shared" si="0"/>
        <v>17..</v>
      </c>
    </row>
    <row r="150" spans="6:14" x14ac:dyDescent="0.2">
      <c r="F150" s="2" t="s">
        <v>77</v>
      </c>
      <c r="G150" s="2" t="s">
        <v>167</v>
      </c>
      <c r="H150" s="2" t="s">
        <v>209</v>
      </c>
      <c r="I150" s="100">
        <v>460381</v>
      </c>
      <c r="J150" s="100" t="s">
        <v>144</v>
      </c>
      <c r="K150" s="101">
        <v>2</v>
      </c>
      <c r="L150" s="2" t="s">
        <v>119</v>
      </c>
      <c r="M150" s="2" t="s">
        <v>149</v>
      </c>
      <c r="N150" s="2" t="str">
        <f t="shared" si="0"/>
        <v>18..</v>
      </c>
    </row>
    <row r="151" spans="6:14" x14ac:dyDescent="0.2">
      <c r="F151" s="2" t="s">
        <v>78</v>
      </c>
      <c r="G151" s="2" t="s">
        <v>168</v>
      </c>
      <c r="H151" s="2" t="s">
        <v>210</v>
      </c>
      <c r="I151" s="100">
        <v>375536</v>
      </c>
      <c r="J151" s="100" t="s">
        <v>144</v>
      </c>
      <c r="K151" s="101">
        <v>1</v>
      </c>
      <c r="L151" s="2" t="s">
        <v>120</v>
      </c>
      <c r="M151" s="2" t="s">
        <v>149</v>
      </c>
      <c r="N151" s="2" t="str">
        <f t="shared" si="0"/>
        <v>19..</v>
      </c>
    </row>
    <row r="152" spans="6:14" x14ac:dyDescent="0.2">
      <c r="F152" s="2" t="s">
        <v>79</v>
      </c>
      <c r="G152" s="2" t="s">
        <v>169</v>
      </c>
      <c r="H152" s="2" t="s">
        <v>211</v>
      </c>
      <c r="I152" s="100">
        <v>299013</v>
      </c>
      <c r="J152" s="100" t="s">
        <v>144</v>
      </c>
      <c r="K152" s="101">
        <v>0</v>
      </c>
      <c r="L152" s="2" t="s">
        <v>121</v>
      </c>
      <c r="M152" s="2" t="s">
        <v>149</v>
      </c>
      <c r="N152" s="2" t="str">
        <f t="shared" si="0"/>
        <v>20..</v>
      </c>
    </row>
    <row r="153" spans="6:14" x14ac:dyDescent="0.2">
      <c r="F153" s="2" t="s">
        <v>80</v>
      </c>
      <c r="G153" s="2" t="s">
        <v>170</v>
      </c>
      <c r="H153" s="2" t="s">
        <v>212</v>
      </c>
      <c r="I153" s="100">
        <v>643450</v>
      </c>
      <c r="J153" s="100" t="s">
        <v>146</v>
      </c>
      <c r="K153" s="101">
        <v>4</v>
      </c>
      <c r="L153" s="2" t="s">
        <v>122</v>
      </c>
      <c r="M153" s="2" t="s">
        <v>149</v>
      </c>
      <c r="N153" s="2" t="str">
        <f t="shared" si="0"/>
        <v>21..</v>
      </c>
    </row>
    <row r="154" spans="6:14" x14ac:dyDescent="0.2">
      <c r="F154" s="2" t="s">
        <v>81</v>
      </c>
      <c r="G154" s="2" t="s">
        <v>171</v>
      </c>
      <c r="H154" s="2" t="s">
        <v>213</v>
      </c>
      <c r="I154" s="100">
        <v>570077</v>
      </c>
      <c r="J154" s="100" t="s">
        <v>146</v>
      </c>
      <c r="K154" s="101">
        <v>3</v>
      </c>
      <c r="L154" s="2" t="s">
        <v>123</v>
      </c>
      <c r="M154" s="2" t="s">
        <v>149</v>
      </c>
      <c r="N154" s="2" t="str">
        <f t="shared" si="0"/>
        <v>22..</v>
      </c>
    </row>
    <row r="155" spans="6:14" x14ac:dyDescent="0.2">
      <c r="F155" s="2" t="s">
        <v>82</v>
      </c>
      <c r="G155" s="2" t="s">
        <v>172</v>
      </c>
      <c r="H155" s="2" t="s">
        <v>214</v>
      </c>
      <c r="I155" s="100">
        <v>482299</v>
      </c>
      <c r="J155" s="100" t="s">
        <v>146</v>
      </c>
      <c r="K155" s="101">
        <v>2</v>
      </c>
      <c r="L155" s="2" t="s">
        <v>124</v>
      </c>
      <c r="M155" s="2" t="s">
        <v>149</v>
      </c>
      <c r="N155" s="2" t="str">
        <f t="shared" si="0"/>
        <v>23..</v>
      </c>
    </row>
    <row r="156" spans="6:14" x14ac:dyDescent="0.2">
      <c r="F156" s="2" t="s">
        <v>83</v>
      </c>
      <c r="G156" s="2" t="s">
        <v>173</v>
      </c>
      <c r="H156" s="2" t="s">
        <v>215</v>
      </c>
      <c r="I156" s="100">
        <v>408927</v>
      </c>
      <c r="J156" s="100" t="s">
        <v>146</v>
      </c>
      <c r="K156" s="101">
        <v>1</v>
      </c>
      <c r="L156" s="2" t="s">
        <v>125</v>
      </c>
      <c r="M156" s="2" t="s">
        <v>149</v>
      </c>
      <c r="N156" s="2" t="str">
        <f t="shared" si="0"/>
        <v>24..</v>
      </c>
    </row>
    <row r="157" spans="6:14" x14ac:dyDescent="0.2">
      <c r="F157" s="2" t="s">
        <v>84</v>
      </c>
      <c r="G157" s="2" t="s">
        <v>174</v>
      </c>
      <c r="H157" s="2" t="s">
        <v>216</v>
      </c>
      <c r="I157" s="100">
        <v>330752</v>
      </c>
      <c r="J157" s="100" t="s">
        <v>146</v>
      </c>
      <c r="K157" s="101">
        <v>0</v>
      </c>
      <c r="L157" s="2" t="s">
        <v>126</v>
      </c>
      <c r="M157" s="2" t="s">
        <v>149</v>
      </c>
      <c r="N157" s="2" t="str">
        <f t="shared" si="0"/>
        <v>25..</v>
      </c>
    </row>
    <row r="158" spans="6:14" x14ac:dyDescent="0.2">
      <c r="F158" s="2" t="s">
        <v>85</v>
      </c>
      <c r="G158" s="2" t="s">
        <v>175</v>
      </c>
      <c r="H158" s="2" t="s">
        <v>217</v>
      </c>
      <c r="I158" s="100">
        <v>394959</v>
      </c>
      <c r="J158" s="100" t="s">
        <v>145</v>
      </c>
      <c r="K158" s="101">
        <v>4</v>
      </c>
      <c r="L158" s="2" t="s">
        <v>127</v>
      </c>
      <c r="M158" s="2" t="s">
        <v>149</v>
      </c>
      <c r="N158" s="2" t="str">
        <f t="shared" si="0"/>
        <v>26..</v>
      </c>
    </row>
    <row r="159" spans="6:14" x14ac:dyDescent="0.2">
      <c r="F159" s="2" t="s">
        <v>86</v>
      </c>
      <c r="G159" s="2" t="s">
        <v>176</v>
      </c>
      <c r="H159" s="2" t="s">
        <v>218</v>
      </c>
      <c r="I159" s="100">
        <v>350982</v>
      </c>
      <c r="J159" s="100" t="s">
        <v>145</v>
      </c>
      <c r="K159" s="101">
        <v>3</v>
      </c>
      <c r="L159" s="2" t="s">
        <v>128</v>
      </c>
      <c r="M159" s="2" t="s">
        <v>149</v>
      </c>
      <c r="N159" s="2" t="str">
        <f t="shared" si="0"/>
        <v>27..</v>
      </c>
    </row>
    <row r="160" spans="6:14" x14ac:dyDescent="0.2">
      <c r="F160" s="2" t="s">
        <v>87</v>
      </c>
      <c r="G160" s="2" t="s">
        <v>177</v>
      </c>
      <c r="H160" s="2" t="s">
        <v>219</v>
      </c>
      <c r="I160" s="100">
        <v>391635</v>
      </c>
      <c r="J160" s="100" t="s">
        <v>145</v>
      </c>
      <c r="K160" s="101">
        <v>2</v>
      </c>
      <c r="L160" s="2" t="s">
        <v>129</v>
      </c>
      <c r="M160" s="2" t="s">
        <v>149</v>
      </c>
      <c r="N160" s="2" t="str">
        <f t="shared" si="0"/>
        <v>28..</v>
      </c>
    </row>
    <row r="161" spans="6:14" x14ac:dyDescent="0.2">
      <c r="F161" s="2" t="s">
        <v>88</v>
      </c>
      <c r="G161" s="2" t="s">
        <v>178</v>
      </c>
      <c r="H161" s="2" t="s">
        <v>220</v>
      </c>
      <c r="I161" s="100">
        <v>316617</v>
      </c>
      <c r="J161" s="100" t="s">
        <v>145</v>
      </c>
      <c r="K161" s="101">
        <v>1</v>
      </c>
      <c r="L161" s="2" t="s">
        <v>130</v>
      </c>
      <c r="M161" s="2" t="s">
        <v>149</v>
      </c>
      <c r="N161" s="2" t="str">
        <f t="shared" si="0"/>
        <v>29..</v>
      </c>
    </row>
    <row r="162" spans="6:14" x14ac:dyDescent="0.2">
      <c r="F162" s="2" t="s">
        <v>89</v>
      </c>
      <c r="G162" s="2" t="s">
        <v>179</v>
      </c>
      <c r="H162" s="2" t="s">
        <v>221</v>
      </c>
      <c r="I162" s="100">
        <v>246608</v>
      </c>
      <c r="J162" s="100" t="s">
        <v>145</v>
      </c>
      <c r="K162" s="101">
        <v>0</v>
      </c>
      <c r="L162" s="2" t="s">
        <v>131</v>
      </c>
      <c r="M162" s="2" t="s">
        <v>149</v>
      </c>
      <c r="N162" s="2" t="str">
        <f t="shared" si="0"/>
        <v>30..</v>
      </c>
    </row>
    <row r="163" spans="6:14" x14ac:dyDescent="0.2">
      <c r="F163" s="2" t="s">
        <v>90</v>
      </c>
      <c r="G163" s="2" t="s">
        <v>180</v>
      </c>
      <c r="H163" s="2" t="s">
        <v>222</v>
      </c>
      <c r="I163" s="100">
        <v>350536</v>
      </c>
      <c r="J163" s="100" t="s">
        <v>144</v>
      </c>
      <c r="K163" s="101">
        <v>0</v>
      </c>
      <c r="L163" s="2" t="s">
        <v>132</v>
      </c>
      <c r="M163" s="2" t="s">
        <v>149</v>
      </c>
      <c r="N163" s="2" t="str">
        <f t="shared" si="0"/>
        <v>31..</v>
      </c>
    </row>
    <row r="164" spans="6:14" x14ac:dyDescent="0.2">
      <c r="F164" s="2" t="s">
        <v>91</v>
      </c>
      <c r="G164" s="2" t="s">
        <v>181</v>
      </c>
      <c r="H164" s="2" t="s">
        <v>223</v>
      </c>
      <c r="I164" s="100">
        <v>300597</v>
      </c>
      <c r="J164" s="100" t="s">
        <v>146</v>
      </c>
      <c r="K164" s="101">
        <v>0</v>
      </c>
      <c r="L164" s="2" t="s">
        <v>133</v>
      </c>
      <c r="M164" s="2" t="s">
        <v>149</v>
      </c>
      <c r="N164" s="2" t="str">
        <f t="shared" si="0"/>
        <v>32..</v>
      </c>
    </row>
    <row r="165" spans="6:14" x14ac:dyDescent="0.2">
      <c r="F165" s="2" t="s">
        <v>92</v>
      </c>
      <c r="G165" s="2" t="s">
        <v>182</v>
      </c>
      <c r="H165" s="2" t="s">
        <v>224</v>
      </c>
      <c r="I165" s="100">
        <v>220886</v>
      </c>
      <c r="J165" s="100" t="s">
        <v>145</v>
      </c>
      <c r="K165" s="101">
        <v>0</v>
      </c>
      <c r="L165" s="2" t="s">
        <v>134</v>
      </c>
      <c r="M165" s="2" t="s">
        <v>149</v>
      </c>
      <c r="N165" s="2" t="str">
        <f t="shared" si="0"/>
        <v>33..</v>
      </c>
    </row>
    <row r="166" spans="6:14" x14ac:dyDescent="0.2">
      <c r="F166" s="2" t="s">
        <v>93</v>
      </c>
      <c r="G166" s="2" t="s">
        <v>183</v>
      </c>
      <c r="H166" s="2" t="s">
        <v>225</v>
      </c>
      <c r="I166" s="100">
        <v>605035</v>
      </c>
      <c r="J166" s="100" t="s">
        <v>144</v>
      </c>
      <c r="K166" s="101">
        <v>0</v>
      </c>
      <c r="L166" s="2" t="s">
        <v>135</v>
      </c>
      <c r="M166" s="2" t="s">
        <v>149</v>
      </c>
      <c r="N166" s="2" t="str">
        <f t="shared" si="0"/>
        <v>34..</v>
      </c>
    </row>
    <row r="167" spans="6:14" x14ac:dyDescent="0.2">
      <c r="F167" s="2" t="s">
        <v>94</v>
      </c>
      <c r="G167" s="2" t="s">
        <v>184</v>
      </c>
      <c r="H167" s="2" t="s">
        <v>226</v>
      </c>
      <c r="I167" s="100">
        <v>336131</v>
      </c>
      <c r="J167" s="100" t="s">
        <v>146</v>
      </c>
      <c r="K167" s="101">
        <v>0</v>
      </c>
      <c r="L167" s="2" t="s">
        <v>136</v>
      </c>
      <c r="M167" s="2" t="s">
        <v>149</v>
      </c>
      <c r="N167" s="2" t="str">
        <f t="shared" si="0"/>
        <v>35..</v>
      </c>
    </row>
    <row r="168" spans="6:14" x14ac:dyDescent="0.2">
      <c r="F168" s="2" t="s">
        <v>95</v>
      </c>
      <c r="G168" s="2" t="s">
        <v>185</v>
      </c>
      <c r="H168" s="2" t="s">
        <v>227</v>
      </c>
      <c r="I168" s="100">
        <v>235291</v>
      </c>
      <c r="J168" s="100" t="s">
        <v>145</v>
      </c>
      <c r="K168" s="101">
        <v>0</v>
      </c>
      <c r="L168" s="2" t="s">
        <v>137</v>
      </c>
      <c r="M168" s="2" t="s">
        <v>149</v>
      </c>
      <c r="N168" s="2" t="str">
        <f t="shared" si="0"/>
        <v>36..</v>
      </c>
    </row>
    <row r="169" spans="6:14" x14ac:dyDescent="0.2">
      <c r="F169" s="2" t="s">
        <v>96</v>
      </c>
      <c r="G169" s="2" t="s">
        <v>186</v>
      </c>
      <c r="H169" s="2" t="s">
        <v>228</v>
      </c>
      <c r="I169" s="100">
        <v>1248485</v>
      </c>
      <c r="J169" s="100" t="s">
        <v>144</v>
      </c>
      <c r="K169" s="101">
        <v>0</v>
      </c>
      <c r="L169" s="2" t="s">
        <v>138</v>
      </c>
      <c r="M169" s="2" t="s">
        <v>149</v>
      </c>
      <c r="N169" s="2" t="str">
        <f t="shared" si="0"/>
        <v>37..</v>
      </c>
    </row>
    <row r="170" spans="6:14" x14ac:dyDescent="0.2">
      <c r="F170" s="2" t="s">
        <v>97</v>
      </c>
      <c r="G170" s="2" t="s">
        <v>187</v>
      </c>
      <c r="H170" s="2" t="s">
        <v>229</v>
      </c>
      <c r="I170" s="100">
        <v>299636</v>
      </c>
      <c r="J170" s="100" t="s">
        <v>147</v>
      </c>
      <c r="K170" s="101">
        <v>0</v>
      </c>
      <c r="L170" s="2" t="s">
        <v>139</v>
      </c>
      <c r="M170" s="2" t="s">
        <v>149</v>
      </c>
      <c r="N170" s="2" t="str">
        <f t="shared" si="0"/>
        <v>38..</v>
      </c>
    </row>
    <row r="171" spans="6:14" x14ac:dyDescent="0.2">
      <c r="F171" s="2" t="s">
        <v>98</v>
      </c>
      <c r="G171" s="2" t="s">
        <v>188</v>
      </c>
      <c r="H171" s="2" t="s">
        <v>230</v>
      </c>
      <c r="I171" s="100">
        <v>1248485</v>
      </c>
      <c r="J171" s="100" t="s">
        <v>144</v>
      </c>
      <c r="K171" s="101">
        <v>0</v>
      </c>
      <c r="L171" s="2" t="s">
        <v>140</v>
      </c>
      <c r="M171" s="2" t="s">
        <v>149</v>
      </c>
      <c r="N171" s="2" t="str">
        <f t="shared" si="0"/>
        <v>39..</v>
      </c>
    </row>
    <row r="172" spans="6:14" x14ac:dyDescent="0.2">
      <c r="F172" s="2" t="s">
        <v>99</v>
      </c>
      <c r="G172" s="2" t="s">
        <v>189</v>
      </c>
      <c r="H172" s="2" t="s">
        <v>231</v>
      </c>
      <c r="I172" s="100">
        <v>187273</v>
      </c>
      <c r="J172" s="100" t="s">
        <v>147</v>
      </c>
      <c r="K172" s="101">
        <v>0</v>
      </c>
      <c r="L172" s="2" t="s">
        <v>141</v>
      </c>
      <c r="M172" s="2" t="s">
        <v>149</v>
      </c>
      <c r="N172" s="2" t="str">
        <f t="shared" si="0"/>
        <v>40..</v>
      </c>
    </row>
    <row r="173" spans="6:14" x14ac:dyDescent="0.2">
      <c r="F173" s="2" t="s">
        <v>100</v>
      </c>
      <c r="G173" s="2" t="s">
        <v>190</v>
      </c>
      <c r="H173" s="2" t="s">
        <v>232</v>
      </c>
      <c r="I173" s="100">
        <v>53564</v>
      </c>
      <c r="J173" s="100" t="s">
        <v>147</v>
      </c>
      <c r="K173" s="101">
        <v>0</v>
      </c>
      <c r="L173" s="2" t="s">
        <v>142</v>
      </c>
      <c r="M173" s="2" t="s">
        <v>149</v>
      </c>
      <c r="N173" s="2" t="str">
        <f t="shared" si="0"/>
        <v>41..</v>
      </c>
    </row>
    <row r="174" spans="6:14" x14ac:dyDescent="0.2">
      <c r="F174" s="2" t="s">
        <v>101</v>
      </c>
      <c r="G174" s="2" t="s">
        <v>191</v>
      </c>
      <c r="H174" s="2" t="s">
        <v>233</v>
      </c>
      <c r="I174" s="100">
        <v>40173</v>
      </c>
      <c r="J174" s="100" t="s">
        <v>147</v>
      </c>
      <c r="K174" s="101">
        <v>0</v>
      </c>
      <c r="L174" s="2" t="s">
        <v>143</v>
      </c>
      <c r="M174" s="2" t="s">
        <v>149</v>
      </c>
      <c r="N174" s="2" t="str">
        <f t="shared" si="0"/>
        <v>42..</v>
      </c>
    </row>
  </sheetData>
  <sheetProtection algorithmName="SHA-512" hashValue="3IiFxwQedOnTeDxE1BqRL7KUwO7u4t8dtBXJGAvfXz1/5xGQMIApnZSkLzQjqFIpcTSx48J8JFkOPxj898iQVw==" saltValue="+n5ukpFpgZQhX5nBF1DKpQ==" spinCount="100000" sheet="1" selectLockedCells="1" selectUnlockedCells="1"/>
  <mergeCells count="22">
    <mergeCell ref="A86:A88"/>
    <mergeCell ref="R11:Y11"/>
    <mergeCell ref="A66:AE72"/>
    <mergeCell ref="A75:A77"/>
    <mergeCell ref="A81:A83"/>
    <mergeCell ref="B81:B83"/>
    <mergeCell ref="A65:AE65"/>
    <mergeCell ref="A12:G12"/>
    <mergeCell ref="I14:P14"/>
    <mergeCell ref="A21:G21"/>
    <mergeCell ref="A22:G22"/>
    <mergeCell ref="A30:G30"/>
    <mergeCell ref="A39:G39"/>
    <mergeCell ref="A40:G40"/>
    <mergeCell ref="J44:P58"/>
    <mergeCell ref="A50:G50"/>
    <mergeCell ref="AA2:AE2"/>
    <mergeCell ref="K63:L63"/>
    <mergeCell ref="A1:G1"/>
    <mergeCell ref="A2:G2"/>
    <mergeCell ref="I2:P2"/>
    <mergeCell ref="R2:Y2"/>
  </mergeCells>
  <dataValidations count="2">
    <dataValidation type="list" allowBlank="1" showInputMessage="1" showErrorMessage="1" sqref="F27 F8:F11 F18" xr:uid="{00000000-0002-0000-0000-000000000000}">
      <formula1>$H$133:$H$174</formula1>
    </dataValidation>
    <dataValidation type="list" allowBlank="1" showInputMessage="1" showErrorMessage="1" sqref="F4:F7 F14:F17 F24:F26 F32:F35 F52:F56 O4:O8 O16 X4:X8 X13:X14" xr:uid="{00000000-0002-0000-0000-000001000000}">
      <formula1>$H$133:$H$175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0000"/>
  </sheetPr>
  <dimension ref="A1:AE174"/>
  <sheetViews>
    <sheetView view="pageBreakPreview" topLeftCell="C1" zoomScale="55" zoomScaleNormal="59" zoomScaleSheetLayoutView="55" workbookViewId="0">
      <selection activeCell="Q29" sqref="Q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customWidth="1"/>
    <col min="8" max="8" width="21.7109375" style="2" customWidth="1"/>
    <col min="9" max="9" width="28.140625" style="2" customWidth="1"/>
    <col min="10" max="10" width="64.85546875" style="2" customWidth="1"/>
    <col min="11" max="11" width="14.28515625" style="2" customWidth="1"/>
    <col min="12" max="12" width="12.7109375" style="2" customWidth="1"/>
    <col min="13" max="13" width="20.85546875" style="2" customWidth="1"/>
    <col min="14" max="14" width="25.7109375" style="2" customWidth="1"/>
    <col min="15" max="15" width="34.285156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0" style="2" customWidth="1"/>
    <col min="25" max="25" width="25.42578125"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2</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02">
        <v>3</v>
      </c>
      <c r="C4" s="10">
        <v>1</v>
      </c>
      <c r="D4" s="10" t="s">
        <v>53</v>
      </c>
      <c r="E4" s="47" t="s">
        <v>55</v>
      </c>
      <c r="F4" s="12">
        <v>0</v>
      </c>
      <c r="G4" s="11">
        <f>+IF(F4="","",VLOOKUP(F4,$H$132:$I$174,2,FALSE))</f>
        <v>0</v>
      </c>
      <c r="H4" s="1"/>
      <c r="I4" s="4" t="s">
        <v>11</v>
      </c>
      <c r="J4" s="12" t="s">
        <v>54</v>
      </c>
      <c r="K4" s="13">
        <v>3</v>
      </c>
      <c r="L4" s="14">
        <v>1</v>
      </c>
      <c r="M4" s="15" t="s">
        <v>53</v>
      </c>
      <c r="N4" s="47" t="s">
        <v>55</v>
      </c>
      <c r="O4" s="12">
        <v>0</v>
      </c>
      <c r="P4" s="11">
        <f>+IF(O4="","",VLOOKUP(O4,$H$132:$I$174,2,FALSE))</f>
        <v>0</v>
      </c>
      <c r="Q4" s="1"/>
      <c r="R4" s="17" t="s">
        <v>12</v>
      </c>
      <c r="S4" s="18" t="s">
        <v>13</v>
      </c>
      <c r="T4" s="19">
        <v>3</v>
      </c>
      <c r="U4" s="19">
        <v>1</v>
      </c>
      <c r="V4" s="20" t="s">
        <v>53</v>
      </c>
      <c r="W4" s="47" t="s">
        <v>55</v>
      </c>
      <c r="X4" s="12">
        <v>0</v>
      </c>
      <c r="Y4" s="11">
        <f>+IF(X4="","",VLOOKUP(X4,$H$132:$I$174,2,FALSE))</f>
        <v>0</v>
      </c>
      <c r="AA4" s="21"/>
      <c r="AB4" s="22"/>
      <c r="AC4" s="22"/>
      <c r="AD4" s="23"/>
      <c r="AE4" s="24"/>
    </row>
    <row r="5" spans="1:31" ht="15.75" x14ac:dyDescent="0.25">
      <c r="A5" s="25" t="s">
        <v>14</v>
      </c>
      <c r="B5" s="103">
        <v>3</v>
      </c>
      <c r="C5" s="15">
        <v>1</v>
      </c>
      <c r="D5" s="15" t="s">
        <v>53</v>
      </c>
      <c r="E5" s="47" t="s">
        <v>55</v>
      </c>
      <c r="F5" s="12">
        <v>0</v>
      </c>
      <c r="G5" s="11">
        <f>+IF(F5="","",VLOOKUP(F5,$H$132:$I$174,2,FALSE))</f>
        <v>0</v>
      </c>
      <c r="H5" s="1"/>
      <c r="I5" s="4" t="s">
        <v>11</v>
      </c>
      <c r="J5" s="12" t="s">
        <v>58</v>
      </c>
      <c r="K5" s="13">
        <v>4</v>
      </c>
      <c r="L5" s="14">
        <v>1</v>
      </c>
      <c r="M5" s="15" t="s">
        <v>53</v>
      </c>
      <c r="N5" s="47" t="s">
        <v>55</v>
      </c>
      <c r="O5" s="12">
        <v>0</v>
      </c>
      <c r="P5" s="11">
        <f>+IF(O5="","",VLOOKUP(O5,$H$132:$I$174,2,FALSE))</f>
        <v>0</v>
      </c>
      <c r="Q5" s="1"/>
      <c r="R5" s="17" t="s">
        <v>12</v>
      </c>
      <c r="S5" s="18" t="s">
        <v>15</v>
      </c>
      <c r="T5" s="19">
        <v>3</v>
      </c>
      <c r="U5" s="19">
        <v>1</v>
      </c>
      <c r="V5" s="20" t="s">
        <v>53</v>
      </c>
      <c r="W5" s="47" t="s">
        <v>55</v>
      </c>
      <c r="X5" s="12">
        <v>0</v>
      </c>
      <c r="Y5" s="11">
        <f>+IF(X5="","",VLOOKUP(X5,$H$132:$I$174,2,FALSE))</f>
        <v>0</v>
      </c>
      <c r="AA5" s="21"/>
      <c r="AB5" s="22"/>
      <c r="AC5" s="22"/>
      <c r="AD5" s="23"/>
      <c r="AE5" s="24"/>
    </row>
    <row r="6" spans="1:31" ht="15.75" x14ac:dyDescent="0.25">
      <c r="A6" s="25" t="s">
        <v>16</v>
      </c>
      <c r="B6" s="103">
        <v>3</v>
      </c>
      <c r="C6" s="15">
        <v>1</v>
      </c>
      <c r="D6" s="15" t="s">
        <v>53</v>
      </c>
      <c r="E6" s="47" t="s">
        <v>55</v>
      </c>
      <c r="F6" s="12">
        <v>0</v>
      </c>
      <c r="G6" s="11">
        <f>+IF(F6="","",VLOOKUP(F6,$H$132:$I$174,2,FALSE))</f>
        <v>0</v>
      </c>
      <c r="H6" s="1"/>
      <c r="I6" s="29" t="s">
        <v>12</v>
      </c>
      <c r="J6" s="12" t="s">
        <v>58</v>
      </c>
      <c r="K6" s="13">
        <v>4</v>
      </c>
      <c r="L6" s="14">
        <v>1</v>
      </c>
      <c r="M6" s="15" t="s">
        <v>53</v>
      </c>
      <c r="N6" s="47" t="s">
        <v>55</v>
      </c>
      <c r="O6" s="12">
        <v>0</v>
      </c>
      <c r="P6" s="11">
        <f>+IF(O6="","",VLOOKUP(O6,$H$132:$I$174,2,FALSE))</f>
        <v>0</v>
      </c>
      <c r="Q6" s="1"/>
      <c r="R6" s="17" t="s">
        <v>12</v>
      </c>
      <c r="S6" s="18" t="s">
        <v>17</v>
      </c>
      <c r="T6" s="19">
        <v>3</v>
      </c>
      <c r="U6" s="19">
        <v>1</v>
      </c>
      <c r="V6" s="20" t="s">
        <v>53</v>
      </c>
      <c r="W6" s="47" t="s">
        <v>55</v>
      </c>
      <c r="X6" s="12">
        <v>0</v>
      </c>
      <c r="Y6" s="11">
        <f>+IF(X6="","",VLOOKUP(X6,$H$132:$I$174,2,FALSE))</f>
        <v>0</v>
      </c>
      <c r="AA6" s="21"/>
      <c r="AB6" s="22"/>
      <c r="AC6" s="22"/>
      <c r="AD6" s="23"/>
      <c r="AE6" s="24"/>
    </row>
    <row r="7" spans="1:31" ht="15.75" x14ac:dyDescent="0.25">
      <c r="A7" s="25" t="s">
        <v>18</v>
      </c>
      <c r="B7" s="103">
        <v>3</v>
      </c>
      <c r="C7" s="15">
        <v>1</v>
      </c>
      <c r="D7" s="15" t="s">
        <v>53</v>
      </c>
      <c r="E7" s="47" t="s">
        <v>55</v>
      </c>
      <c r="F7" s="12">
        <v>0</v>
      </c>
      <c r="G7" s="11">
        <f>+IF(F7="","",VLOOKUP(F7,$H$132:$I$174,2,FALSE))</f>
        <v>0</v>
      </c>
      <c r="H7" s="1"/>
      <c r="I7" s="29" t="s">
        <v>12</v>
      </c>
      <c r="J7" s="12" t="s">
        <v>58</v>
      </c>
      <c r="K7" s="13">
        <v>4</v>
      </c>
      <c r="L7" s="27">
        <v>1</v>
      </c>
      <c r="M7" s="15" t="s">
        <v>53</v>
      </c>
      <c r="N7" s="47" t="s">
        <v>55</v>
      </c>
      <c r="O7" s="12">
        <v>0</v>
      </c>
      <c r="P7" s="11">
        <f>+IF(O7="","",VLOOKUP(O7,$H$132:$I$174,2,FALSE))</f>
        <v>0</v>
      </c>
      <c r="Q7" s="1"/>
      <c r="R7" s="29" t="s">
        <v>12</v>
      </c>
      <c r="S7" s="30" t="s">
        <v>19</v>
      </c>
      <c r="T7" s="31">
        <v>3</v>
      </c>
      <c r="U7" s="31">
        <v>1</v>
      </c>
      <c r="V7" s="10" t="s">
        <v>53</v>
      </c>
      <c r="W7" s="47" t="s">
        <v>55</v>
      </c>
      <c r="X7" s="12">
        <v>0</v>
      </c>
      <c r="Y7" s="11">
        <f>+IF(X7="","",VLOOKUP(X7,$H$132:$I$174,2,FALSE))</f>
        <v>0</v>
      </c>
      <c r="AA7" s="21"/>
      <c r="AB7" s="21"/>
      <c r="AC7" s="21"/>
      <c r="AD7" s="21"/>
      <c r="AE7" s="21"/>
    </row>
    <row r="8" spans="1:31" ht="15.75" x14ac:dyDescent="0.25">
      <c r="A8" s="32"/>
      <c r="B8" s="104"/>
      <c r="C8" s="28"/>
      <c r="D8" s="28"/>
      <c r="E8" s="28"/>
      <c r="F8" s="12"/>
      <c r="G8" s="11" t="str">
        <f t="shared" ref="G8:G11" si="0">+IF(F8="","",VLOOKUP(F8,$H$133:$I$174,2,FALSE))</f>
        <v/>
      </c>
      <c r="H8" s="1"/>
      <c r="I8" s="78" t="s">
        <v>57</v>
      </c>
      <c r="J8" s="12" t="s">
        <v>58</v>
      </c>
      <c r="K8" s="13">
        <v>4</v>
      </c>
      <c r="L8" s="27">
        <v>1</v>
      </c>
      <c r="M8" s="15" t="s">
        <v>53</v>
      </c>
      <c r="N8" s="47" t="s">
        <v>55</v>
      </c>
      <c r="O8" s="12">
        <v>0</v>
      </c>
      <c r="P8" s="11">
        <f>+IF(O8="","",VLOOKUP(O8,$H$132:$I$174,2,FALSE))</f>
        <v>0</v>
      </c>
      <c r="Q8" s="1"/>
      <c r="R8" s="17" t="s">
        <v>12</v>
      </c>
      <c r="S8" s="18" t="s">
        <v>20</v>
      </c>
      <c r="T8" s="19">
        <v>3</v>
      </c>
      <c r="U8" s="19">
        <v>1</v>
      </c>
      <c r="V8" s="15" t="s">
        <v>53</v>
      </c>
      <c r="W8" s="12" t="s">
        <v>55</v>
      </c>
      <c r="X8" s="12">
        <v>0</v>
      </c>
      <c r="Y8" s="11">
        <f>+IF(X8="","",VLOOKUP(X8,$H$132:$I$174,2,FALSE))</f>
        <v>0</v>
      </c>
      <c r="AA8" s="21"/>
      <c r="AB8" s="21"/>
      <c r="AC8" s="21"/>
      <c r="AD8" s="21"/>
      <c r="AE8" s="21"/>
    </row>
    <row r="9" spans="1:31" ht="15.75" x14ac:dyDescent="0.25">
      <c r="A9" s="32"/>
      <c r="B9" s="104"/>
      <c r="C9" s="28"/>
      <c r="D9" s="28"/>
      <c r="E9" s="28"/>
      <c r="F9" s="12"/>
      <c r="G9" s="11" t="str">
        <f t="shared" si="0"/>
        <v/>
      </c>
      <c r="H9" s="1"/>
      <c r="I9" s="26"/>
      <c r="J9" s="12"/>
      <c r="K9" s="13"/>
      <c r="L9" s="27"/>
      <c r="M9" s="27"/>
      <c r="N9" s="16"/>
      <c r="O9" s="16"/>
      <c r="P9" s="110"/>
      <c r="Q9" s="1"/>
      <c r="R9" s="33"/>
      <c r="S9" s="34"/>
      <c r="T9" s="34"/>
      <c r="U9" s="34"/>
      <c r="V9" s="35"/>
      <c r="W9" s="35"/>
      <c r="X9" s="35"/>
      <c r="Y9" s="1"/>
      <c r="AA9" s="21"/>
      <c r="AB9" s="21"/>
      <c r="AC9" s="21"/>
      <c r="AD9" s="21"/>
      <c r="AE9" s="21"/>
    </row>
    <row r="10" spans="1:31" ht="15.75" x14ac:dyDescent="0.25">
      <c r="A10" s="32"/>
      <c r="B10" s="104"/>
      <c r="C10" s="28"/>
      <c r="D10" s="28"/>
      <c r="E10" s="28"/>
      <c r="F10" s="12"/>
      <c r="G10" s="11" t="str">
        <f t="shared" si="0"/>
        <v/>
      </c>
      <c r="H10" s="1"/>
      <c r="I10" s="26"/>
      <c r="J10" s="12"/>
      <c r="K10" s="13"/>
      <c r="L10" s="27"/>
      <c r="M10" s="27"/>
      <c r="N10" s="16"/>
      <c r="O10" s="16"/>
      <c r="P10" s="110"/>
      <c r="Q10" s="1"/>
      <c r="R10" s="33"/>
      <c r="S10" s="34"/>
      <c r="T10" s="34"/>
      <c r="U10" s="34"/>
      <c r="V10" s="35"/>
      <c r="W10" s="35"/>
      <c r="X10" s="35"/>
      <c r="Y10" s="1"/>
      <c r="AA10" s="21"/>
      <c r="AB10" s="21"/>
      <c r="AC10" s="21"/>
      <c r="AD10" s="21"/>
      <c r="AE10" s="21"/>
    </row>
    <row r="11" spans="1:31" ht="15.75" x14ac:dyDescent="0.25">
      <c r="A11" s="32"/>
      <c r="B11" s="104"/>
      <c r="C11" s="28"/>
      <c r="D11" s="28"/>
      <c r="E11" s="28"/>
      <c r="F11" s="12"/>
      <c r="G11" s="11" t="str">
        <f t="shared" si="0"/>
        <v/>
      </c>
      <c r="H11" s="1"/>
      <c r="I11" s="26"/>
      <c r="J11" s="12"/>
      <c r="K11" s="13"/>
      <c r="L11" s="14"/>
      <c r="M11" s="27"/>
      <c r="N11" s="16"/>
      <c r="O11" s="36"/>
      <c r="P11" s="36"/>
      <c r="Q11" s="1"/>
      <c r="R11" s="382" t="s">
        <v>21</v>
      </c>
      <c r="S11" s="383"/>
      <c r="T11" s="383"/>
      <c r="U11" s="383"/>
      <c r="V11" s="383"/>
      <c r="W11" s="383"/>
      <c r="X11" s="383"/>
      <c r="Y11" s="384"/>
      <c r="AA11" s="21"/>
      <c r="AB11" s="21"/>
      <c r="AC11" s="21"/>
      <c r="AD11" s="21"/>
      <c r="AE11" s="21"/>
    </row>
    <row r="12" spans="1:31" ht="16.5" customHeight="1" x14ac:dyDescent="0.25">
      <c r="A12" s="395" t="s">
        <v>22</v>
      </c>
      <c r="B12" s="395"/>
      <c r="C12" s="395"/>
      <c r="D12" s="395"/>
      <c r="E12" s="395"/>
      <c r="F12" s="395"/>
      <c r="G12" s="395"/>
      <c r="H12" s="1"/>
      <c r="I12" s="26"/>
      <c r="J12" s="12"/>
      <c r="K12" s="13"/>
      <c r="L12" s="14"/>
      <c r="M12" s="27"/>
      <c r="N12" s="16"/>
      <c r="O12" s="16"/>
      <c r="P12" s="16"/>
      <c r="Q12" s="1"/>
      <c r="R12" s="5" t="s">
        <v>9</v>
      </c>
      <c r="S12" s="5" t="s">
        <v>4</v>
      </c>
      <c r="T12" s="6" t="s">
        <v>5</v>
      </c>
      <c r="U12" s="6" t="s">
        <v>6</v>
      </c>
      <c r="V12" s="6" t="s">
        <v>7</v>
      </c>
      <c r="W12" s="6" t="s">
        <v>52</v>
      </c>
      <c r="X12" s="6" t="s">
        <v>235</v>
      </c>
      <c r="Y12" s="6" t="s">
        <v>8</v>
      </c>
    </row>
    <row r="13" spans="1:31" ht="15.75" x14ac:dyDescent="0.2">
      <c r="A13" s="3" t="s">
        <v>4</v>
      </c>
      <c r="B13" s="4" t="s">
        <v>5</v>
      </c>
      <c r="C13" s="4" t="s">
        <v>6</v>
      </c>
      <c r="D13" s="4" t="s">
        <v>7</v>
      </c>
      <c r="E13" s="4" t="s">
        <v>52</v>
      </c>
      <c r="F13" s="106" t="s">
        <v>235</v>
      </c>
      <c r="G13" s="4" t="s">
        <v>8</v>
      </c>
      <c r="H13" s="1"/>
      <c r="I13" s="37"/>
      <c r="J13" s="37"/>
      <c r="K13" s="37"/>
      <c r="L13" s="37"/>
      <c r="M13" s="37"/>
      <c r="N13" s="16"/>
      <c r="O13" s="16"/>
      <c r="P13" s="38"/>
      <c r="Q13" s="1"/>
      <c r="R13" s="39" t="s">
        <v>12</v>
      </c>
      <c r="S13" s="40" t="s">
        <v>23</v>
      </c>
      <c r="T13" s="40">
        <v>2</v>
      </c>
      <c r="U13" s="40">
        <v>0</v>
      </c>
      <c r="V13" s="40">
        <v>0</v>
      </c>
      <c r="W13" s="47" t="s">
        <v>55</v>
      </c>
      <c r="X13" s="12">
        <v>0</v>
      </c>
      <c r="Y13" s="11">
        <f>+IF(X13="","",VLOOKUP(X13,$H$132:$I$174,2,FALSE))</f>
        <v>0</v>
      </c>
    </row>
    <row r="14" spans="1:31" ht="18.75" customHeight="1" x14ac:dyDescent="0.2">
      <c r="A14" s="41" t="s">
        <v>24</v>
      </c>
      <c r="B14" s="19">
        <v>4</v>
      </c>
      <c r="C14" s="19">
        <v>1</v>
      </c>
      <c r="D14" s="20" t="s">
        <v>53</v>
      </c>
      <c r="E14" s="47" t="s">
        <v>55</v>
      </c>
      <c r="F14" s="12">
        <v>0</v>
      </c>
      <c r="G14" s="11">
        <f>+IF(F14="","",VLOOKUP(F14,$H$132:$I$174,2,FALSE))</f>
        <v>0</v>
      </c>
      <c r="H14" s="1"/>
      <c r="I14" s="396" t="s">
        <v>25</v>
      </c>
      <c r="J14" s="397"/>
      <c r="K14" s="397"/>
      <c r="L14" s="397"/>
      <c r="M14" s="397"/>
      <c r="N14" s="397"/>
      <c r="O14" s="397"/>
      <c r="P14" s="398"/>
      <c r="Q14" s="1"/>
      <c r="R14" s="39" t="s">
        <v>12</v>
      </c>
      <c r="S14" s="40" t="s">
        <v>58</v>
      </c>
      <c r="T14" s="40">
        <v>33</v>
      </c>
      <c r="U14" s="40">
        <v>0</v>
      </c>
      <c r="V14" s="40">
        <v>0</v>
      </c>
      <c r="W14" s="12" t="s">
        <v>55</v>
      </c>
      <c r="X14" s="12">
        <v>0</v>
      </c>
      <c r="Y14" s="11">
        <f>+IF(X14="","",VLOOKUP(X14,$H$132:$I$174,2,FALSE))</f>
        <v>0</v>
      </c>
    </row>
    <row r="15" spans="1:31" ht="23.25" customHeight="1" x14ac:dyDescent="0.2">
      <c r="A15" s="41" t="s">
        <v>26</v>
      </c>
      <c r="B15" s="19">
        <v>4</v>
      </c>
      <c r="C15" s="19">
        <v>1</v>
      </c>
      <c r="D15" s="20" t="s">
        <v>53</v>
      </c>
      <c r="E15" s="47" t="s">
        <v>55</v>
      </c>
      <c r="F15" s="12">
        <v>0</v>
      </c>
      <c r="G15" s="11">
        <f>+IF(F15="","",VLOOKUP(F15,$H$132:$I$174,2,FALSE))</f>
        <v>0</v>
      </c>
      <c r="H15" s="1"/>
      <c r="I15" s="5" t="s">
        <v>9</v>
      </c>
      <c r="J15" s="5" t="s">
        <v>4</v>
      </c>
      <c r="K15" s="6" t="s">
        <v>5</v>
      </c>
      <c r="L15" s="6" t="s">
        <v>6</v>
      </c>
      <c r="M15" s="6" t="s">
        <v>7</v>
      </c>
      <c r="N15" s="6" t="s">
        <v>52</v>
      </c>
      <c r="O15" s="6" t="s">
        <v>235</v>
      </c>
      <c r="P15" s="6" t="s">
        <v>8</v>
      </c>
      <c r="Q15" s="1"/>
      <c r="R15" s="1"/>
      <c r="S15" s="1"/>
      <c r="T15" s="1"/>
      <c r="U15" s="1"/>
      <c r="V15" s="1"/>
      <c r="W15" s="1"/>
      <c r="X15" s="1"/>
      <c r="Y15" s="1"/>
    </row>
    <row r="16" spans="1:31" ht="15.75" x14ac:dyDescent="0.25">
      <c r="A16" s="41" t="s">
        <v>27</v>
      </c>
      <c r="B16" s="19">
        <v>4</v>
      </c>
      <c r="C16" s="19">
        <v>1</v>
      </c>
      <c r="D16" s="20" t="s">
        <v>53</v>
      </c>
      <c r="E16" s="47" t="s">
        <v>55</v>
      </c>
      <c r="F16" s="12">
        <v>0</v>
      </c>
      <c r="G16" s="11">
        <f>+IF(F16="","",VLOOKUP(F16,$H$132:$I$174,2,FALSE))</f>
        <v>0</v>
      </c>
      <c r="H16" s="1"/>
      <c r="I16" s="4" t="s">
        <v>11</v>
      </c>
      <c r="J16" s="12" t="s">
        <v>56</v>
      </c>
      <c r="K16" s="13">
        <v>3</v>
      </c>
      <c r="L16" s="27">
        <v>1</v>
      </c>
      <c r="M16" s="15" t="s">
        <v>53</v>
      </c>
      <c r="N16" s="47" t="s">
        <v>55</v>
      </c>
      <c r="O16" s="12">
        <v>0</v>
      </c>
      <c r="P16" s="11">
        <f>+IF(O16="","",VLOOKUP(O16,$H$132:$I$174,2,FALSE))</f>
        <v>0</v>
      </c>
      <c r="Q16" s="1"/>
      <c r="R16" s="1"/>
      <c r="S16" s="1"/>
      <c r="T16" s="1"/>
      <c r="U16" s="1"/>
      <c r="V16" s="1"/>
      <c r="W16" s="1"/>
      <c r="X16" s="1"/>
      <c r="Y16" s="1"/>
    </row>
    <row r="17" spans="1:31" ht="15.75" x14ac:dyDescent="0.25">
      <c r="A17" s="44" t="s">
        <v>28</v>
      </c>
      <c r="B17" s="20">
        <v>3</v>
      </c>
      <c r="C17" s="20">
        <v>1</v>
      </c>
      <c r="D17" s="20" t="s">
        <v>53</v>
      </c>
      <c r="E17" s="47" t="s">
        <v>55</v>
      </c>
      <c r="F17" s="12">
        <v>0</v>
      </c>
      <c r="G17" s="11">
        <f>+IF(F17="","",VLOOKUP(F17,$H$132:$I$174,2,FALSE))</f>
        <v>0</v>
      </c>
      <c r="H17" s="1"/>
      <c r="I17" s="26"/>
      <c r="J17" s="12"/>
      <c r="K17" s="13"/>
      <c r="L17" s="27"/>
      <c r="M17" s="27"/>
      <c r="N17" s="47"/>
      <c r="O17" s="47"/>
      <c r="P17" s="43"/>
      <c r="Q17" s="1"/>
      <c r="R17" s="1"/>
      <c r="S17" s="1"/>
      <c r="T17" s="1"/>
      <c r="U17" s="1"/>
      <c r="V17" s="1"/>
      <c r="W17" s="1"/>
      <c r="X17" s="1"/>
      <c r="Y17" s="1"/>
      <c r="AA17" s="21"/>
      <c r="AB17" s="21"/>
      <c r="AC17" s="21"/>
      <c r="AD17" s="21"/>
      <c r="AE17" s="21"/>
    </row>
    <row r="18" spans="1:31" ht="15.75" x14ac:dyDescent="0.25">
      <c r="A18" s="45"/>
      <c r="B18" s="46"/>
      <c r="C18" s="46"/>
      <c r="D18" s="46"/>
      <c r="E18" s="46"/>
      <c r="F18" s="12"/>
      <c r="G18" s="11"/>
      <c r="H18" s="1"/>
      <c r="I18" s="26"/>
      <c r="J18" s="47"/>
      <c r="K18" s="48"/>
      <c r="L18" s="49"/>
      <c r="M18" s="20"/>
      <c r="N18" s="12"/>
      <c r="O18" s="12"/>
      <c r="P18" s="43"/>
      <c r="Q18" s="1"/>
      <c r="R18" s="1"/>
      <c r="S18" s="1"/>
      <c r="T18" s="1"/>
      <c r="U18" s="1"/>
      <c r="V18" s="1"/>
      <c r="W18" s="1"/>
      <c r="X18" s="1"/>
      <c r="Y18" s="1"/>
      <c r="AA18" s="21"/>
      <c r="AB18" s="21"/>
      <c r="AC18" s="21"/>
      <c r="AD18" s="21"/>
      <c r="AE18" s="21"/>
    </row>
    <row r="19" spans="1:31" ht="15.75" x14ac:dyDescent="0.25">
      <c r="A19" s="45"/>
      <c r="B19" s="46"/>
      <c r="C19" s="46"/>
      <c r="D19" s="46"/>
      <c r="E19" s="46"/>
      <c r="F19" s="46"/>
      <c r="G19" s="42"/>
      <c r="H19" s="1"/>
      <c r="I19" s="26"/>
      <c r="J19" s="47"/>
      <c r="K19" s="48"/>
      <c r="L19" s="49"/>
      <c r="M19" s="20"/>
      <c r="N19" s="47"/>
      <c r="O19" s="47"/>
      <c r="P19" s="43"/>
      <c r="Q19" s="1"/>
      <c r="R19" s="1"/>
      <c r="S19" s="1"/>
      <c r="T19" s="1"/>
      <c r="U19" s="1"/>
      <c r="V19" s="1"/>
      <c r="W19" s="1"/>
      <c r="X19" s="1"/>
      <c r="Y19" s="1"/>
      <c r="AA19" s="21"/>
      <c r="AB19" s="21"/>
      <c r="AC19" s="21"/>
      <c r="AD19" s="21"/>
      <c r="AE19" s="21"/>
    </row>
    <row r="20" spans="1:31" ht="15.75" x14ac:dyDescent="0.25">
      <c r="A20" s="50" t="s">
        <v>29</v>
      </c>
      <c r="B20" s="51">
        <f>SUM(B4:B11)+B14+B15+B16+B17+B18+B19</f>
        <v>27</v>
      </c>
      <c r="C20" s="51">
        <f>SUM(C4:C11)+C14+C15+C16+C17+C18+C19</f>
        <v>8</v>
      </c>
      <c r="D20" s="51"/>
      <c r="E20" s="51"/>
      <c r="F20" s="51"/>
      <c r="G20" s="52">
        <f>SUM(G4:G11)+G14+G15+G16+G17+G18+G19</f>
        <v>0</v>
      </c>
      <c r="H20" s="1"/>
      <c r="I20" s="26"/>
      <c r="J20" s="12"/>
      <c r="K20" s="13"/>
      <c r="L20" s="27"/>
      <c r="M20" s="27"/>
      <c r="N20" s="47"/>
      <c r="O20" s="47"/>
      <c r="P20" s="43"/>
      <c r="Q20" s="1"/>
      <c r="R20" s="1"/>
      <c r="S20" s="1"/>
      <c r="T20" s="1"/>
      <c r="U20" s="1"/>
      <c r="V20" s="1"/>
      <c r="W20" s="1"/>
      <c r="X20" s="1"/>
      <c r="Y20" s="1"/>
      <c r="AA20" s="21"/>
      <c r="AB20" s="21"/>
      <c r="AC20" s="21"/>
      <c r="AD20" s="21"/>
      <c r="AE20" s="21"/>
    </row>
    <row r="21" spans="1:31" ht="15.75" x14ac:dyDescent="0.25">
      <c r="A21" s="399" t="s">
        <v>30</v>
      </c>
      <c r="B21" s="399"/>
      <c r="C21" s="399"/>
      <c r="D21" s="399"/>
      <c r="E21" s="399"/>
      <c r="F21" s="399"/>
      <c r="G21" s="399"/>
      <c r="H21" s="1"/>
      <c r="I21" s="53"/>
      <c r="J21" s="12"/>
      <c r="K21" s="13"/>
      <c r="L21" s="27"/>
      <c r="M21" s="20"/>
      <c r="N21" s="12"/>
      <c r="O21" s="47"/>
      <c r="P21" s="54"/>
      <c r="Q21" s="1"/>
      <c r="R21" s="1"/>
      <c r="S21" s="1"/>
      <c r="T21" s="1"/>
      <c r="U21" s="1"/>
      <c r="V21" s="1"/>
      <c r="W21" s="1"/>
      <c r="X21" s="1"/>
      <c r="Y21" s="1"/>
      <c r="AA21" s="21"/>
      <c r="AB21" s="21"/>
      <c r="AC21" s="21"/>
      <c r="AD21" s="21"/>
      <c r="AE21" s="21"/>
    </row>
    <row r="22" spans="1:31" ht="15.75" x14ac:dyDescent="0.25">
      <c r="A22" s="399" t="s">
        <v>1</v>
      </c>
      <c r="B22" s="399"/>
      <c r="C22" s="399"/>
      <c r="D22" s="399"/>
      <c r="E22" s="399"/>
      <c r="F22" s="399"/>
      <c r="G22" s="399"/>
      <c r="H22" s="1"/>
      <c r="I22" s="26"/>
      <c r="J22" s="55"/>
      <c r="K22" s="13"/>
      <c r="L22" s="56"/>
      <c r="M22" s="56"/>
      <c r="N22" s="56"/>
      <c r="O22" s="56"/>
      <c r="P22" s="57"/>
      <c r="Q22" s="1"/>
      <c r="R22" s="1"/>
      <c r="S22" s="1"/>
      <c r="T22" s="1"/>
      <c r="U22" s="1"/>
      <c r="V22" s="1"/>
      <c r="W22" s="1"/>
      <c r="X22" s="1"/>
      <c r="Y22" s="1"/>
      <c r="AA22" s="21"/>
      <c r="AB22" s="21"/>
      <c r="AC22" s="21"/>
      <c r="AD22" s="21"/>
      <c r="AE22" s="21"/>
    </row>
    <row r="23" spans="1:31" ht="15.75" x14ac:dyDescent="0.2">
      <c r="A23" s="58" t="s">
        <v>4</v>
      </c>
      <c r="B23" s="59" t="s">
        <v>5</v>
      </c>
      <c r="C23" s="59" t="s">
        <v>6</v>
      </c>
      <c r="D23" s="59" t="s">
        <v>7</v>
      </c>
      <c r="E23" s="59" t="s">
        <v>52</v>
      </c>
      <c r="F23" s="59" t="s">
        <v>235</v>
      </c>
      <c r="G23" s="59" t="s">
        <v>8</v>
      </c>
      <c r="H23" s="1"/>
      <c r="I23" s="1"/>
      <c r="J23" s="60" t="s">
        <v>31</v>
      </c>
      <c r="K23" s="60">
        <f>SUM(K4:K22)</f>
        <v>22</v>
      </c>
      <c r="L23" s="60">
        <f>SUM(L4:L22)</f>
        <v>6</v>
      </c>
      <c r="M23" s="60"/>
      <c r="N23" s="60"/>
      <c r="O23" s="60"/>
      <c r="P23" s="61">
        <f>SUM(P4:P21)</f>
        <v>0</v>
      </c>
      <c r="Q23" s="1"/>
      <c r="R23" s="1"/>
      <c r="S23" s="62" t="s">
        <v>31</v>
      </c>
      <c r="T23" s="62">
        <f>SUM(T4:T10)+T13+T14</f>
        <v>50</v>
      </c>
      <c r="U23" s="62">
        <f>SUM(U4:U10)</f>
        <v>5</v>
      </c>
      <c r="V23" s="62"/>
      <c r="W23" s="62"/>
      <c r="X23" s="62"/>
      <c r="Y23" s="63">
        <f>SUM(Y4:Y22)</f>
        <v>0</v>
      </c>
      <c r="AA23" s="64"/>
      <c r="AB23" s="64"/>
      <c r="AC23" s="64"/>
      <c r="AD23" s="64"/>
      <c r="AE23" s="65"/>
    </row>
    <row r="24" spans="1:31" ht="15.75" x14ac:dyDescent="0.2">
      <c r="A24" s="44" t="s">
        <v>32</v>
      </c>
      <c r="B24" s="66">
        <v>3</v>
      </c>
      <c r="C24" s="66">
        <v>1</v>
      </c>
      <c r="D24" s="20" t="s">
        <v>53</v>
      </c>
      <c r="E24" s="47" t="s">
        <v>55</v>
      </c>
      <c r="F24" s="12">
        <v>0</v>
      </c>
      <c r="G24" s="11">
        <f>+IF(F24="","",VLOOKUP(F24,$H$132:$I$174,2,FALSE))</f>
        <v>0</v>
      </c>
      <c r="H24" s="1"/>
      <c r="I24" s="1"/>
      <c r="J24" s="1"/>
      <c r="K24" s="1"/>
      <c r="L24" s="1"/>
      <c r="M24" s="1"/>
      <c r="N24" s="1"/>
      <c r="O24" s="1"/>
      <c r="P24" s="1"/>
      <c r="Q24" s="1"/>
      <c r="R24" s="1"/>
      <c r="S24" s="1"/>
      <c r="T24" s="1"/>
      <c r="U24" s="1"/>
      <c r="V24" s="1"/>
      <c r="W24" s="1"/>
      <c r="X24" s="1"/>
      <c r="Y24" s="1"/>
      <c r="AA24" s="21"/>
      <c r="AB24" s="21"/>
      <c r="AC24" s="21"/>
      <c r="AD24" s="21"/>
      <c r="AE24" s="21"/>
    </row>
    <row r="25" spans="1:31" ht="15.75" x14ac:dyDescent="0.2">
      <c r="A25" s="44" t="s">
        <v>33</v>
      </c>
      <c r="B25" s="68">
        <v>3</v>
      </c>
      <c r="C25" s="68">
        <v>1</v>
      </c>
      <c r="D25" s="20" t="s">
        <v>53</v>
      </c>
      <c r="E25" s="47" t="s">
        <v>55</v>
      </c>
      <c r="F25" s="12">
        <v>0</v>
      </c>
      <c r="G25" s="11">
        <f>+IF(F25="","",VLOOKUP(F25,$H$132:$I$174,2,FALSE))</f>
        <v>0</v>
      </c>
      <c r="H25" s="1"/>
      <c r="I25" s="1"/>
      <c r="J25" s="1"/>
      <c r="K25" s="1"/>
      <c r="L25" s="1"/>
      <c r="M25" s="1"/>
      <c r="N25" s="1"/>
      <c r="O25" s="1"/>
      <c r="P25" s="1"/>
      <c r="Q25" s="1"/>
      <c r="R25" s="1"/>
      <c r="S25" s="1"/>
      <c r="T25" s="1"/>
      <c r="U25" s="1"/>
      <c r="V25" s="1"/>
      <c r="W25" s="1"/>
      <c r="X25" s="1"/>
      <c r="Y25" s="1"/>
    </row>
    <row r="26" spans="1:31" ht="15.75" customHeight="1" x14ac:dyDescent="0.2">
      <c r="A26" s="44" t="s">
        <v>34</v>
      </c>
      <c r="B26" s="68">
        <v>3</v>
      </c>
      <c r="C26" s="68">
        <v>1</v>
      </c>
      <c r="D26" s="20" t="s">
        <v>53</v>
      </c>
      <c r="E26" s="47" t="s">
        <v>55</v>
      </c>
      <c r="F26" s="12">
        <v>0</v>
      </c>
      <c r="G26" s="11">
        <f>+IF(F26="","",VLOOKUP(F26,$H$132:$I$174,2,FALSE))</f>
        <v>0</v>
      </c>
      <c r="H26" s="1"/>
      <c r="I26" s="1"/>
      <c r="J26" s="1"/>
      <c r="K26" s="1"/>
      <c r="L26" s="1"/>
      <c r="M26" s="1"/>
      <c r="N26" s="1"/>
      <c r="O26" s="1"/>
      <c r="P26" s="1"/>
      <c r="Q26" s="1"/>
      <c r="R26" s="1"/>
      <c r="S26" s="1"/>
      <c r="T26" s="1"/>
      <c r="U26" s="1"/>
      <c r="V26" s="1"/>
      <c r="W26" s="1"/>
      <c r="X26" s="1"/>
      <c r="Y26" s="1"/>
    </row>
    <row r="27" spans="1:31" ht="15.75" x14ac:dyDescent="0.2">
      <c r="A27" s="44"/>
      <c r="B27" s="68"/>
      <c r="C27" s="68"/>
      <c r="D27" s="20"/>
      <c r="E27" s="47"/>
      <c r="F27" s="12"/>
      <c r="G27" s="11"/>
      <c r="H27" s="1"/>
      <c r="I27" s="1"/>
      <c r="J27" s="1"/>
      <c r="K27" s="1"/>
      <c r="L27" s="1"/>
      <c r="M27" s="1"/>
      <c r="N27" s="1"/>
      <c r="O27" s="1"/>
      <c r="P27" s="1"/>
      <c r="Q27" s="1"/>
      <c r="R27" s="1"/>
      <c r="S27" s="1"/>
      <c r="T27" s="1"/>
      <c r="U27" s="1"/>
      <c r="V27" s="1"/>
      <c r="W27" s="1"/>
      <c r="X27" s="1"/>
      <c r="Y27" s="1"/>
    </row>
    <row r="28" spans="1:31" ht="15.75" x14ac:dyDescent="0.2">
      <c r="A28" s="44"/>
      <c r="B28" s="68"/>
      <c r="C28" s="68"/>
      <c r="D28" s="20"/>
      <c r="E28" s="67"/>
      <c r="F28" s="67"/>
      <c r="G28" s="67"/>
      <c r="H28" s="1"/>
      <c r="I28" s="1"/>
      <c r="J28" s="1"/>
      <c r="K28" s="1"/>
      <c r="L28" s="1"/>
      <c r="M28" s="1"/>
      <c r="N28" s="1"/>
      <c r="O28" s="1"/>
      <c r="P28" s="1"/>
      <c r="Q28" s="1"/>
      <c r="R28" s="1"/>
      <c r="S28" s="1"/>
      <c r="T28" s="1"/>
      <c r="U28" s="1"/>
      <c r="V28" s="1"/>
      <c r="W28" s="1"/>
      <c r="X28" s="1"/>
      <c r="Y28" s="1"/>
    </row>
    <row r="29" spans="1:31" ht="15.75" x14ac:dyDescent="0.2">
      <c r="A29" s="44"/>
      <c r="B29" s="68"/>
      <c r="C29" s="68"/>
      <c r="D29" s="20"/>
      <c r="E29" s="67"/>
      <c r="F29" s="67"/>
      <c r="G29" s="67"/>
      <c r="H29" s="1"/>
      <c r="I29" s="1"/>
      <c r="J29" s="1"/>
      <c r="K29" s="1"/>
      <c r="L29" s="1"/>
      <c r="M29" s="1"/>
      <c r="N29" s="1"/>
      <c r="O29" s="1"/>
      <c r="P29" s="1"/>
      <c r="Q29" s="1"/>
      <c r="R29" s="1"/>
      <c r="S29" s="1"/>
      <c r="T29" s="1"/>
      <c r="U29" s="1"/>
      <c r="V29" s="1"/>
      <c r="W29" s="1"/>
      <c r="X29" s="1"/>
      <c r="Y29" s="1"/>
    </row>
    <row r="30" spans="1:31" ht="15.75" x14ac:dyDescent="0.2">
      <c r="A30" s="400" t="s">
        <v>22</v>
      </c>
      <c r="B30" s="400"/>
      <c r="C30" s="400"/>
      <c r="D30" s="400"/>
      <c r="E30" s="400"/>
      <c r="F30" s="400"/>
      <c r="G30" s="400"/>
      <c r="H30" s="1"/>
      <c r="I30" s="1"/>
      <c r="J30" s="1"/>
      <c r="K30" s="1"/>
      <c r="L30" s="1"/>
      <c r="M30" s="1"/>
      <c r="N30" s="1"/>
      <c r="O30" s="1"/>
      <c r="P30" s="1"/>
      <c r="Q30" s="1"/>
      <c r="R30" s="1"/>
      <c r="S30" s="1"/>
      <c r="T30" s="1"/>
      <c r="U30" s="1"/>
      <c r="V30" s="1"/>
      <c r="W30" s="1"/>
      <c r="X30" s="1"/>
      <c r="Y30" s="1"/>
    </row>
    <row r="31" spans="1:31" ht="15.75" x14ac:dyDescent="0.2">
      <c r="A31" s="58" t="s">
        <v>35</v>
      </c>
      <c r="B31" s="59" t="s">
        <v>5</v>
      </c>
      <c r="C31" s="59" t="s">
        <v>6</v>
      </c>
      <c r="D31" s="59" t="s">
        <v>7</v>
      </c>
      <c r="E31" s="59"/>
      <c r="F31" s="59" t="s">
        <v>235</v>
      </c>
      <c r="G31" s="59" t="s">
        <v>8</v>
      </c>
      <c r="H31" s="1"/>
      <c r="I31" s="1"/>
      <c r="J31" s="1"/>
      <c r="K31" s="1"/>
      <c r="L31" s="1"/>
      <c r="M31" s="1"/>
      <c r="N31" s="1"/>
      <c r="O31" s="1"/>
      <c r="P31" s="1"/>
      <c r="Q31" s="1"/>
      <c r="R31" s="1"/>
      <c r="S31" s="1"/>
      <c r="T31" s="1"/>
      <c r="U31" s="1"/>
      <c r="V31" s="1"/>
      <c r="W31" s="1"/>
      <c r="X31" s="1"/>
      <c r="Y31" s="111"/>
    </row>
    <row r="32" spans="1:31" ht="15.75" x14ac:dyDescent="0.25">
      <c r="A32" s="69" t="s">
        <v>36</v>
      </c>
      <c r="B32" s="70">
        <v>3</v>
      </c>
      <c r="C32" s="70">
        <v>1</v>
      </c>
      <c r="D32" s="20" t="s">
        <v>53</v>
      </c>
      <c r="E32" s="47" t="s">
        <v>55</v>
      </c>
      <c r="F32" s="12">
        <v>0</v>
      </c>
      <c r="G32" s="11">
        <f>+IF(F32="","",VLOOKUP(F32,$H$132:$I$174,2,FALSE))</f>
        <v>0</v>
      </c>
      <c r="H32" s="1"/>
      <c r="I32" s="1"/>
      <c r="J32" s="1"/>
      <c r="K32" s="1"/>
      <c r="L32" s="1"/>
      <c r="M32" s="1"/>
      <c r="N32" s="1"/>
      <c r="O32" s="1"/>
      <c r="P32" s="1"/>
      <c r="Q32" s="1"/>
      <c r="R32" s="1"/>
      <c r="S32" s="1"/>
      <c r="T32" s="1"/>
      <c r="U32" s="1"/>
      <c r="V32" s="1"/>
      <c r="W32" s="1"/>
      <c r="X32" s="1"/>
      <c r="Y32" s="111"/>
    </row>
    <row r="33" spans="1:25" ht="15.75" x14ac:dyDescent="0.2">
      <c r="A33" s="9" t="s">
        <v>37</v>
      </c>
      <c r="B33" s="95">
        <v>2</v>
      </c>
      <c r="C33" s="71">
        <v>1</v>
      </c>
      <c r="D33" s="10" t="s">
        <v>53</v>
      </c>
      <c r="E33" s="47" t="s">
        <v>55</v>
      </c>
      <c r="F33" s="12">
        <v>0</v>
      </c>
      <c r="G33" s="11">
        <f>+IF(F33="","",VLOOKUP(F33,$H$132:$I$174,2,FALSE))</f>
        <v>0</v>
      </c>
      <c r="H33" s="1"/>
      <c r="I33" s="1"/>
      <c r="J33" s="1"/>
      <c r="K33" s="1"/>
      <c r="L33" s="1"/>
      <c r="M33" s="1"/>
      <c r="N33" s="1"/>
      <c r="O33" s="1"/>
      <c r="P33" s="1"/>
      <c r="Q33" s="1"/>
      <c r="R33" s="1"/>
      <c r="S33" s="1"/>
      <c r="T33" s="1"/>
      <c r="U33" s="1"/>
      <c r="V33" s="1"/>
      <c r="W33" s="1"/>
      <c r="X33" s="1"/>
      <c r="Y33" s="1"/>
    </row>
    <row r="34" spans="1:25" ht="15.75" x14ac:dyDescent="0.2">
      <c r="A34" s="44" t="s">
        <v>38</v>
      </c>
      <c r="B34" s="96">
        <v>2</v>
      </c>
      <c r="C34" s="73">
        <v>1</v>
      </c>
      <c r="D34" s="20" t="s">
        <v>53</v>
      </c>
      <c r="E34" s="47" t="s">
        <v>55</v>
      </c>
      <c r="F34" s="12">
        <v>0</v>
      </c>
      <c r="G34" s="11">
        <f>+IF(F34="","",VLOOKUP(F34,$H$132:$I$174,2,FALSE))</f>
        <v>0</v>
      </c>
      <c r="H34" s="1"/>
      <c r="I34" s="1"/>
      <c r="J34" s="1"/>
      <c r="K34" s="1"/>
      <c r="L34" s="1"/>
      <c r="M34" s="1"/>
      <c r="N34" s="1"/>
      <c r="O34" s="1"/>
      <c r="P34" s="1"/>
      <c r="Q34" s="1"/>
      <c r="R34" s="1"/>
      <c r="S34" s="1"/>
      <c r="T34" s="1"/>
      <c r="U34" s="1"/>
      <c r="V34" s="1"/>
      <c r="W34" s="1"/>
      <c r="X34" s="1"/>
      <c r="Y34" s="1"/>
    </row>
    <row r="35" spans="1:25" ht="15.75" x14ac:dyDescent="0.25">
      <c r="A35" s="53" t="s">
        <v>39</v>
      </c>
      <c r="B35" s="97">
        <v>2</v>
      </c>
      <c r="C35" s="73">
        <v>1</v>
      </c>
      <c r="D35" s="20" t="s">
        <v>53</v>
      </c>
      <c r="E35" s="47" t="s">
        <v>55</v>
      </c>
      <c r="F35" s="12">
        <v>0</v>
      </c>
      <c r="G35" s="11">
        <f>+IF(F35="","",VLOOKUP(F35,$H$132:$I$174,2,FALSE))</f>
        <v>0</v>
      </c>
      <c r="H35" s="1"/>
      <c r="I35" s="1"/>
      <c r="J35" s="1"/>
      <c r="K35" s="1"/>
      <c r="L35" s="1"/>
      <c r="M35" s="1"/>
      <c r="N35" s="1"/>
      <c r="O35" s="1"/>
      <c r="P35" s="1"/>
      <c r="Q35" s="1"/>
      <c r="R35" s="1"/>
      <c r="S35" s="1"/>
      <c r="T35" s="1"/>
      <c r="U35" s="1"/>
      <c r="V35" s="1"/>
      <c r="W35" s="1"/>
      <c r="X35" s="1"/>
      <c r="Y35" s="1"/>
    </row>
    <row r="36" spans="1:25" ht="15.75" x14ac:dyDescent="0.2">
      <c r="A36" s="32"/>
      <c r="B36" s="66"/>
      <c r="C36" s="66"/>
      <c r="D36" s="28"/>
      <c r="E36" s="72"/>
      <c r="F36" s="72"/>
      <c r="G36" s="67"/>
      <c r="H36" s="1"/>
      <c r="I36" s="1"/>
      <c r="J36" s="1"/>
      <c r="K36" s="1"/>
      <c r="L36" s="1"/>
      <c r="M36" s="1"/>
      <c r="N36" s="1"/>
      <c r="O36" s="1"/>
      <c r="P36" s="1"/>
      <c r="Q36" s="1"/>
      <c r="R36" s="1"/>
      <c r="S36" s="1"/>
      <c r="T36" s="1"/>
      <c r="U36" s="1"/>
      <c r="V36" s="1"/>
      <c r="W36" s="1"/>
      <c r="X36" s="1"/>
      <c r="Y36" s="1"/>
    </row>
    <row r="37" spans="1:25" ht="15.75" x14ac:dyDescent="0.2">
      <c r="A37" s="32"/>
      <c r="B37" s="66"/>
      <c r="C37" s="66"/>
      <c r="D37" s="28"/>
      <c r="E37" s="67"/>
      <c r="F37" s="67"/>
      <c r="G37" s="67"/>
      <c r="H37" s="1"/>
      <c r="I37" s="1"/>
      <c r="J37" s="1"/>
      <c r="K37" s="1"/>
      <c r="L37" s="1"/>
      <c r="M37" s="1"/>
      <c r="N37" s="1"/>
      <c r="O37" s="1"/>
      <c r="P37" s="1"/>
      <c r="Q37" s="1"/>
      <c r="R37" s="1"/>
      <c r="S37" s="1"/>
      <c r="T37" s="1"/>
      <c r="U37" s="1"/>
      <c r="V37" s="1"/>
      <c r="W37" s="1"/>
      <c r="X37" s="1"/>
      <c r="Y37" s="1"/>
    </row>
    <row r="38" spans="1:25" ht="15.75" x14ac:dyDescent="0.2">
      <c r="A38" s="50" t="s">
        <v>29</v>
      </c>
      <c r="B38" s="51">
        <f>SUM(B24:B30)+B32+B33+B27+B35+B36+B37</f>
        <v>16</v>
      </c>
      <c r="C38" s="51">
        <f>SUM(C24:C30)+C32+C33+C34+C35+C36+C37</f>
        <v>7</v>
      </c>
      <c r="D38" s="51"/>
      <c r="E38" s="51"/>
      <c r="F38" s="51"/>
      <c r="G38" s="52">
        <f>SUM(G24:G30)+G32+G33+G34+G35+G36+G37</f>
        <v>0</v>
      </c>
      <c r="H38" s="1"/>
      <c r="I38" s="1"/>
      <c r="J38" s="1"/>
      <c r="K38" s="1"/>
      <c r="L38" s="1"/>
      <c r="M38" s="1"/>
      <c r="N38" s="1"/>
      <c r="O38" s="1"/>
      <c r="P38" s="1"/>
      <c r="Q38" s="1"/>
      <c r="R38" s="1"/>
      <c r="S38" s="1"/>
      <c r="T38" s="1"/>
      <c r="U38" s="1"/>
      <c r="V38" s="1"/>
      <c r="W38" s="1"/>
      <c r="X38" s="1"/>
      <c r="Y38" s="1"/>
    </row>
    <row r="39" spans="1:25" ht="15.75" x14ac:dyDescent="0.2">
      <c r="A39" s="401" t="s">
        <v>40</v>
      </c>
      <c r="B39" s="401"/>
      <c r="C39" s="401"/>
      <c r="D39" s="401"/>
      <c r="E39" s="401"/>
      <c r="F39" s="401"/>
      <c r="G39" s="401"/>
      <c r="H39" s="1"/>
      <c r="I39" s="1"/>
      <c r="J39" s="1"/>
      <c r="K39" s="1"/>
      <c r="L39" s="1"/>
      <c r="M39" s="1"/>
      <c r="N39" s="1"/>
      <c r="O39" s="1"/>
      <c r="P39" s="1"/>
      <c r="Q39" s="1"/>
      <c r="R39" s="1"/>
      <c r="S39" s="1"/>
      <c r="T39" s="1"/>
      <c r="U39" s="1"/>
      <c r="V39" s="1"/>
      <c r="W39" s="1"/>
      <c r="X39" s="1"/>
      <c r="Y39" s="1"/>
    </row>
    <row r="40" spans="1:25" ht="15.75" x14ac:dyDescent="0.2">
      <c r="A40" s="401" t="s">
        <v>1</v>
      </c>
      <c r="B40" s="401"/>
      <c r="C40" s="401"/>
      <c r="D40" s="401"/>
      <c r="E40" s="401"/>
      <c r="F40" s="401"/>
      <c r="G40" s="401"/>
      <c r="H40" s="1"/>
      <c r="I40" s="1"/>
      <c r="J40" s="1"/>
      <c r="K40" s="1"/>
      <c r="L40" s="1"/>
      <c r="M40" s="1"/>
      <c r="N40" s="1"/>
      <c r="O40" s="1"/>
      <c r="P40" s="1"/>
      <c r="Q40" s="1"/>
      <c r="R40" s="1"/>
      <c r="S40" s="1"/>
      <c r="T40" s="1"/>
      <c r="U40" s="1"/>
      <c r="V40" s="1"/>
      <c r="W40" s="1"/>
      <c r="X40" s="1"/>
      <c r="Y40" s="1"/>
    </row>
    <row r="41" spans="1:25" ht="15.75" x14ac:dyDescent="0.2">
      <c r="A41" s="74" t="s">
        <v>4</v>
      </c>
      <c r="B41" s="75" t="s">
        <v>5</v>
      </c>
      <c r="C41" s="75" t="s">
        <v>6</v>
      </c>
      <c r="D41" s="75" t="s">
        <v>7</v>
      </c>
      <c r="E41" s="75" t="s">
        <v>52</v>
      </c>
      <c r="F41" s="75" t="s">
        <v>235</v>
      </c>
      <c r="G41" s="75" t="s">
        <v>8</v>
      </c>
      <c r="H41" s="1"/>
      <c r="I41" s="1"/>
      <c r="J41" s="1"/>
      <c r="K41" s="1"/>
      <c r="L41" s="1"/>
      <c r="M41" s="1"/>
      <c r="N41" s="1"/>
      <c r="O41" s="1"/>
      <c r="P41" s="1"/>
      <c r="Q41" s="1"/>
      <c r="R41" s="1"/>
      <c r="S41" s="1"/>
      <c r="T41" s="1"/>
      <c r="U41" s="1"/>
      <c r="V41" s="1"/>
      <c r="W41" s="1"/>
      <c r="X41" s="1"/>
      <c r="Y41" s="1"/>
    </row>
    <row r="42" spans="1:25" ht="15.75" x14ac:dyDescent="0.2">
      <c r="A42" s="76"/>
      <c r="B42" s="77"/>
      <c r="C42" s="77"/>
      <c r="D42" s="78"/>
      <c r="E42" s="78"/>
      <c r="F42" s="78"/>
      <c r="G42" s="79"/>
      <c r="H42" s="1"/>
      <c r="I42" s="1"/>
      <c r="J42" s="1"/>
      <c r="K42" s="1"/>
      <c r="L42" s="1"/>
      <c r="M42" s="1"/>
      <c r="N42" s="1"/>
      <c r="O42" s="1"/>
      <c r="P42" s="1"/>
      <c r="Q42" s="1"/>
      <c r="R42" s="1"/>
      <c r="S42" s="1"/>
      <c r="T42" s="1"/>
      <c r="U42" s="1"/>
      <c r="V42" s="1"/>
      <c r="W42" s="1"/>
      <c r="X42" s="1"/>
      <c r="Y42" s="1"/>
    </row>
    <row r="43" spans="1:25" ht="1.5" customHeight="1" x14ac:dyDescent="0.2">
      <c r="A43" s="76"/>
      <c r="B43" s="77"/>
      <c r="C43" s="77"/>
      <c r="D43" s="77"/>
      <c r="E43" s="77"/>
      <c r="F43" s="77"/>
      <c r="G43" s="77"/>
      <c r="H43" s="1"/>
      <c r="I43" s="1"/>
      <c r="J43" s="1"/>
      <c r="K43" s="1"/>
      <c r="L43" s="1"/>
      <c r="M43" s="1"/>
      <c r="N43" s="1"/>
      <c r="O43" s="1"/>
      <c r="P43" s="1"/>
      <c r="Q43" s="1"/>
      <c r="R43" s="1"/>
      <c r="S43" s="1"/>
      <c r="T43" s="1"/>
      <c r="U43" s="1"/>
      <c r="V43" s="1"/>
      <c r="W43" s="1"/>
      <c r="X43" s="1"/>
      <c r="Y43" s="1"/>
    </row>
    <row r="44" spans="1:25" ht="15.75" x14ac:dyDescent="0.25">
      <c r="A44" s="69"/>
      <c r="B44" s="70"/>
      <c r="C44" s="70"/>
      <c r="D44" s="20"/>
      <c r="E44" s="67"/>
      <c r="F44" s="67"/>
      <c r="G44" s="67"/>
      <c r="H44" s="1"/>
      <c r="I44" s="1"/>
      <c r="J44" s="402"/>
      <c r="K44" s="402"/>
      <c r="L44" s="402"/>
      <c r="M44" s="402"/>
      <c r="N44" s="402"/>
      <c r="O44" s="402"/>
      <c r="P44" s="402"/>
      <c r="Q44" s="1"/>
      <c r="R44" s="1"/>
      <c r="S44" s="1"/>
      <c r="T44" s="1"/>
      <c r="U44" s="1"/>
      <c r="V44" s="1"/>
      <c r="W44" s="1"/>
      <c r="X44" s="1"/>
      <c r="Y44" s="1"/>
    </row>
    <row r="45" spans="1:25" ht="15.75" x14ac:dyDescent="0.2">
      <c r="A45" s="80"/>
      <c r="B45" s="67"/>
      <c r="C45" s="67"/>
      <c r="D45" s="67"/>
      <c r="E45" s="67"/>
      <c r="F45" s="67"/>
      <c r="G45" s="67"/>
      <c r="H45" s="1"/>
      <c r="I45" s="1"/>
      <c r="J45" s="402"/>
      <c r="K45" s="402"/>
      <c r="L45" s="402"/>
      <c r="M45" s="402"/>
      <c r="N45" s="402"/>
      <c r="O45" s="402"/>
      <c r="P45" s="402"/>
      <c r="Q45" s="1"/>
      <c r="R45" s="1"/>
      <c r="S45" s="1"/>
      <c r="T45" s="1"/>
      <c r="U45" s="1"/>
      <c r="V45" s="1"/>
      <c r="W45" s="1"/>
      <c r="X45" s="1"/>
      <c r="Y45" s="1"/>
    </row>
    <row r="46" spans="1:25" ht="15.75" x14ac:dyDescent="0.2">
      <c r="A46" s="80"/>
      <c r="B46" s="67"/>
      <c r="C46" s="67"/>
      <c r="D46" s="67"/>
      <c r="E46" s="6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67"/>
      <c r="C47" s="67"/>
      <c r="D47" s="67"/>
      <c r="E47" s="6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67"/>
      <c r="C48" s="67"/>
      <c r="D48" s="67"/>
      <c r="E48" s="6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67"/>
      <c r="C49" s="67"/>
      <c r="D49" s="67"/>
      <c r="E49" s="67"/>
      <c r="F49" s="67"/>
      <c r="G49" s="67"/>
      <c r="H49" s="1"/>
      <c r="I49" s="1"/>
      <c r="J49" s="402"/>
      <c r="K49" s="402"/>
      <c r="L49" s="402"/>
      <c r="M49" s="402"/>
      <c r="N49" s="402"/>
      <c r="O49" s="402"/>
      <c r="P49" s="402"/>
      <c r="Q49" s="1"/>
      <c r="R49" s="1"/>
      <c r="S49" s="1"/>
      <c r="T49" s="1"/>
      <c r="U49" s="1"/>
      <c r="V49" s="1"/>
      <c r="W49" s="1"/>
      <c r="X49" s="1"/>
      <c r="Y49" s="1"/>
    </row>
    <row r="50" spans="1:25" ht="15.75" x14ac:dyDescent="0.2">
      <c r="A50" s="403" t="s">
        <v>22</v>
      </c>
      <c r="B50" s="403"/>
      <c r="C50" s="403"/>
      <c r="D50" s="403"/>
      <c r="E50" s="403"/>
      <c r="F50" s="403"/>
      <c r="G50" s="403"/>
      <c r="H50" s="1"/>
      <c r="I50" s="1"/>
      <c r="J50" s="402"/>
      <c r="K50" s="402"/>
      <c r="L50" s="402"/>
      <c r="M50" s="402"/>
      <c r="N50" s="402"/>
      <c r="O50" s="402"/>
      <c r="P50" s="402"/>
      <c r="Q50" s="1"/>
      <c r="R50" s="1"/>
      <c r="S50" s="1"/>
      <c r="T50" s="1"/>
      <c r="U50" s="1"/>
      <c r="V50" s="1"/>
      <c r="W50" s="1"/>
      <c r="X50" s="1"/>
      <c r="Y50" s="1"/>
    </row>
    <row r="51" spans="1:25" ht="15.75" x14ac:dyDescent="0.2">
      <c r="A51" s="74" t="s">
        <v>4</v>
      </c>
      <c r="B51" s="75" t="s">
        <v>5</v>
      </c>
      <c r="C51" s="75" t="s">
        <v>6</v>
      </c>
      <c r="D51" s="75" t="s">
        <v>7</v>
      </c>
      <c r="E51" s="75" t="s">
        <v>52</v>
      </c>
      <c r="F51" s="75" t="s">
        <v>235</v>
      </c>
      <c r="G51" s="75" t="s">
        <v>8</v>
      </c>
      <c r="H51" s="1"/>
      <c r="I51" s="1"/>
      <c r="J51" s="402"/>
      <c r="K51" s="402"/>
      <c r="L51" s="402"/>
      <c r="M51" s="402"/>
      <c r="N51" s="402"/>
      <c r="O51" s="402"/>
      <c r="P51" s="402"/>
      <c r="Q51" s="1"/>
      <c r="R51" s="1"/>
      <c r="S51" s="1"/>
      <c r="T51" s="1"/>
      <c r="U51" s="1"/>
      <c r="V51" s="1"/>
      <c r="W51" s="1"/>
      <c r="X51" s="1"/>
      <c r="Y51" s="1"/>
    </row>
    <row r="52" spans="1:25" ht="15.75" x14ac:dyDescent="0.25">
      <c r="A52" s="69" t="s">
        <v>41</v>
      </c>
      <c r="B52" s="70">
        <v>2</v>
      </c>
      <c r="C52" s="70">
        <v>1</v>
      </c>
      <c r="D52" s="20" t="s">
        <v>53</v>
      </c>
      <c r="E52" s="47" t="s">
        <v>55</v>
      </c>
      <c r="F52" s="12">
        <v>0</v>
      </c>
      <c r="G52" s="11">
        <f>+IF(F52="","",VLOOKUP(F52,$H$132:$I$174,2,FALSE))</f>
        <v>0</v>
      </c>
      <c r="H52" s="1"/>
      <c r="I52" s="1"/>
      <c r="J52" s="402"/>
      <c r="K52" s="402"/>
      <c r="L52" s="402"/>
      <c r="M52" s="402"/>
      <c r="N52" s="402"/>
      <c r="O52" s="402"/>
      <c r="P52" s="402"/>
      <c r="Q52" s="1"/>
      <c r="R52" s="1"/>
      <c r="S52" s="1"/>
      <c r="T52" s="1"/>
      <c r="U52" s="1"/>
      <c r="V52" s="1"/>
      <c r="W52" s="1"/>
      <c r="X52" s="1"/>
      <c r="Y52" s="1"/>
    </row>
    <row r="53" spans="1:25" ht="15.75" x14ac:dyDescent="0.25">
      <c r="A53" s="69" t="s">
        <v>42</v>
      </c>
      <c r="B53" s="70">
        <v>2</v>
      </c>
      <c r="C53" s="70">
        <v>1</v>
      </c>
      <c r="D53" s="20" t="s">
        <v>53</v>
      </c>
      <c r="E53" s="47" t="s">
        <v>55</v>
      </c>
      <c r="F53" s="12">
        <v>0</v>
      </c>
      <c r="G53" s="11">
        <f>+IF(F53="","",VLOOKUP(F53,$H$132:$I$174,2,FALSE))</f>
        <v>0</v>
      </c>
      <c r="H53" s="1"/>
      <c r="I53" s="1"/>
      <c r="J53" s="402"/>
      <c r="K53" s="402"/>
      <c r="L53" s="402"/>
      <c r="M53" s="402"/>
      <c r="N53" s="402"/>
      <c r="O53" s="402"/>
      <c r="P53" s="402"/>
      <c r="Q53" s="1"/>
      <c r="R53" s="1"/>
      <c r="S53" s="1"/>
      <c r="T53" s="1"/>
      <c r="U53" s="1"/>
      <c r="V53" s="1"/>
      <c r="W53" s="1"/>
      <c r="X53" s="1"/>
      <c r="Y53" s="1"/>
    </row>
    <row r="54" spans="1:25" ht="15.75" x14ac:dyDescent="0.25">
      <c r="A54" s="69" t="s">
        <v>43</v>
      </c>
      <c r="B54" s="70">
        <v>4</v>
      </c>
      <c r="C54" s="70">
        <v>1</v>
      </c>
      <c r="D54" s="20" t="s">
        <v>53</v>
      </c>
      <c r="E54" s="47" t="s">
        <v>55</v>
      </c>
      <c r="F54" s="12">
        <v>0</v>
      </c>
      <c r="G54" s="11">
        <f>+IF(F54="","",VLOOKUP(F54,$H$132:$I$174,2,FALSE))</f>
        <v>0</v>
      </c>
      <c r="H54" s="1"/>
      <c r="I54" s="1"/>
      <c r="J54" s="402"/>
      <c r="K54" s="402"/>
      <c r="L54" s="402"/>
      <c r="M54" s="402"/>
      <c r="N54" s="402"/>
      <c r="O54" s="402"/>
      <c r="P54" s="402"/>
      <c r="Q54" s="1"/>
      <c r="R54" s="1"/>
      <c r="S54" s="1"/>
      <c r="T54" s="1"/>
      <c r="U54" s="1"/>
      <c r="V54" s="1"/>
      <c r="W54" s="1"/>
      <c r="X54" s="1"/>
      <c r="Y54" s="1"/>
    </row>
    <row r="55" spans="1:25" ht="15.75" x14ac:dyDescent="0.25">
      <c r="A55" s="69" t="s">
        <v>44</v>
      </c>
      <c r="B55" s="70">
        <v>4</v>
      </c>
      <c r="C55" s="70">
        <v>1</v>
      </c>
      <c r="D55" s="20" t="s">
        <v>53</v>
      </c>
      <c r="E55" s="47" t="s">
        <v>55</v>
      </c>
      <c r="F55" s="12">
        <v>0</v>
      </c>
      <c r="G55" s="11">
        <f>+IF(F55="","",VLOOKUP(F55,$H$132:$I$174,2,FALSE))</f>
        <v>0</v>
      </c>
      <c r="H55" s="1"/>
      <c r="I55" s="1"/>
      <c r="J55" s="402"/>
      <c r="K55" s="402"/>
      <c r="L55" s="402"/>
      <c r="M55" s="402"/>
      <c r="N55" s="402"/>
      <c r="O55" s="402"/>
      <c r="P55" s="402"/>
      <c r="Q55" s="1"/>
      <c r="R55" s="1"/>
      <c r="S55" s="1"/>
      <c r="T55" s="1"/>
      <c r="U55" s="1"/>
      <c r="V55" s="1"/>
      <c r="W55" s="1"/>
      <c r="X55" s="1"/>
      <c r="Y55" s="1"/>
    </row>
    <row r="56" spans="1:25" ht="15.75" x14ac:dyDescent="0.25">
      <c r="A56" s="69" t="s">
        <v>45</v>
      </c>
      <c r="B56" s="70">
        <v>3</v>
      </c>
      <c r="C56" s="70">
        <v>1</v>
      </c>
      <c r="D56" s="20" t="s">
        <v>53</v>
      </c>
      <c r="E56" s="47" t="s">
        <v>55</v>
      </c>
      <c r="F56" s="12">
        <v>0</v>
      </c>
      <c r="G56" s="11">
        <f>+IF(F56="","",VLOOKUP(F56,$H$132:$I$174,2,FALSE))</f>
        <v>0</v>
      </c>
      <c r="H56" s="1"/>
      <c r="I56" s="1"/>
      <c r="J56" s="402"/>
      <c r="K56" s="402"/>
      <c r="L56" s="402"/>
      <c r="M56" s="402"/>
      <c r="N56" s="402"/>
      <c r="O56" s="402"/>
      <c r="P56" s="402"/>
      <c r="Q56" s="1"/>
      <c r="R56" s="1"/>
      <c r="S56" s="1"/>
      <c r="T56" s="1"/>
      <c r="U56" s="1"/>
      <c r="V56" s="1"/>
      <c r="W56" s="1"/>
      <c r="X56" s="1"/>
      <c r="Y56" s="1"/>
    </row>
    <row r="57" spans="1:25" ht="15.75" x14ac:dyDescent="0.2">
      <c r="A57" s="80"/>
      <c r="B57" s="67"/>
      <c r="C57" s="67"/>
      <c r="D57" s="67"/>
      <c r="E57" s="67"/>
      <c r="F57" s="67"/>
      <c r="G57" s="67"/>
      <c r="H57" s="1"/>
      <c r="I57" s="1"/>
      <c r="J57" s="402"/>
      <c r="K57" s="402"/>
      <c r="L57" s="402"/>
      <c r="M57" s="402"/>
      <c r="N57" s="402"/>
      <c r="O57" s="402"/>
      <c r="P57" s="402"/>
      <c r="Q57" s="1"/>
      <c r="R57" s="1"/>
      <c r="S57" s="1"/>
      <c r="T57" s="1"/>
      <c r="U57" s="1"/>
      <c r="V57" s="1"/>
      <c r="W57" s="1"/>
      <c r="X57" s="1"/>
      <c r="Y57" s="1"/>
    </row>
    <row r="58" spans="1:25" ht="15.75" x14ac:dyDescent="0.2">
      <c r="A58" s="80" t="s">
        <v>29</v>
      </c>
      <c r="B58" s="51">
        <f>SUM(B44:B50)+B52+B53+B54+B55+B56+B57</f>
        <v>15</v>
      </c>
      <c r="C58" s="51">
        <f>SUM(C44:C50)+C52+C53+C54+C55+C56+C57</f>
        <v>5</v>
      </c>
      <c r="D58" s="51"/>
      <c r="E58" s="51"/>
      <c r="F58" s="51"/>
      <c r="G58" s="52">
        <f>SUM(G44:G50)+G52+G53+G54+G55+G56+G57</f>
        <v>0</v>
      </c>
      <c r="H58" s="1"/>
      <c r="I58" s="1"/>
      <c r="J58" s="402"/>
      <c r="K58" s="402"/>
      <c r="L58" s="402"/>
      <c r="M58" s="402"/>
      <c r="N58" s="402"/>
      <c r="O58" s="402"/>
      <c r="P58" s="402"/>
      <c r="Q58" s="1"/>
      <c r="R58" s="1"/>
      <c r="S58" s="1"/>
      <c r="T58" s="1"/>
      <c r="U58" s="1"/>
      <c r="V58" s="1"/>
      <c r="W58" s="1"/>
      <c r="X58" s="1"/>
      <c r="Y58" s="1"/>
    </row>
    <row r="59" spans="1:25" ht="15"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 x14ac:dyDescent="0.2">
      <c r="A60" s="62" t="s">
        <v>31</v>
      </c>
      <c r="B60" s="62">
        <f>B58+B38+B20</f>
        <v>58</v>
      </c>
      <c r="C60" s="62">
        <f>C58+C38+C20</f>
        <v>20</v>
      </c>
      <c r="D60" s="62">
        <f>D58+D38+D20</f>
        <v>0</v>
      </c>
      <c r="E60" s="1"/>
      <c r="F60" s="1"/>
      <c r="G60" s="52">
        <f>G58+G38+G20</f>
        <v>0</v>
      </c>
      <c r="H60" s="1"/>
      <c r="I60" s="1"/>
      <c r="J60" s="1"/>
      <c r="K60" s="1"/>
      <c r="L60" s="1"/>
      <c r="M60" s="1"/>
      <c r="N60" s="1"/>
      <c r="O60" s="1"/>
      <c r="P60" s="1"/>
      <c r="Q60" s="1"/>
      <c r="R60" s="1"/>
      <c r="S60" s="1"/>
      <c r="T60" s="1"/>
      <c r="U60" s="1"/>
      <c r="V60" s="1"/>
      <c r="W60" s="1"/>
      <c r="X60" s="1"/>
      <c r="Y60" s="1"/>
    </row>
    <row r="61" spans="1:25" ht="15.75" x14ac:dyDescent="0.25">
      <c r="A61" s="1"/>
      <c r="B61" s="1"/>
      <c r="C61" s="1"/>
      <c r="D61" s="1"/>
      <c r="E61" s="1"/>
      <c r="F61" s="1"/>
      <c r="G61" s="1"/>
      <c r="H61" s="1"/>
      <c r="I61" s="1"/>
      <c r="J61" s="81" t="s">
        <v>46</v>
      </c>
      <c r="K61" s="82">
        <f>K23+B60+T23+AB23</f>
        <v>130</v>
      </c>
      <c r="L61" s="82"/>
      <c r="M61" s="83"/>
      <c r="N61" s="83"/>
      <c r="O61" s="83"/>
      <c r="P61" s="83"/>
      <c r="Q61" s="1"/>
      <c r="R61" s="1"/>
      <c r="S61" s="1"/>
      <c r="T61" s="1"/>
      <c r="U61" s="1"/>
      <c r="V61" s="1"/>
      <c r="W61" s="1"/>
      <c r="X61" s="1"/>
      <c r="Y61" s="1"/>
    </row>
    <row r="62" spans="1:25" ht="16.5" thickBot="1" x14ac:dyDescent="0.3">
      <c r="A62" s="1"/>
      <c r="B62" s="1"/>
      <c r="C62" s="1"/>
      <c r="D62" s="1"/>
      <c r="E62" s="1"/>
      <c r="F62" s="1"/>
      <c r="G62" s="1"/>
      <c r="H62" s="1"/>
      <c r="I62" s="1"/>
      <c r="J62" s="81" t="s">
        <v>47</v>
      </c>
      <c r="K62" s="83">
        <f>L23+C60+U23+AC23</f>
        <v>31</v>
      </c>
      <c r="L62" s="1"/>
      <c r="M62" s="84" t="s">
        <v>0</v>
      </c>
      <c r="N62" s="84" t="s">
        <v>30</v>
      </c>
      <c r="O62" s="84" t="s">
        <v>40</v>
      </c>
      <c r="P62" s="85"/>
      <c r="R62" s="107"/>
      <c r="T62" s="1"/>
      <c r="U62" s="1"/>
      <c r="V62" s="1"/>
      <c r="W62" s="1"/>
      <c r="X62" s="1"/>
      <c r="Y62" s="1"/>
    </row>
    <row r="63" spans="1:25" ht="27" customHeight="1" thickBot="1" x14ac:dyDescent="0.3">
      <c r="A63" s="1"/>
      <c r="B63" s="1"/>
      <c r="C63" s="1"/>
      <c r="D63" s="1"/>
      <c r="E63" s="1"/>
      <c r="F63" s="1"/>
      <c r="G63" s="1"/>
      <c r="H63" s="1"/>
      <c r="I63" s="1"/>
      <c r="J63" s="86" t="s">
        <v>48</v>
      </c>
      <c r="K63" s="379">
        <f>G60+P23+Y23</f>
        <v>0</v>
      </c>
      <c r="L63" s="380"/>
      <c r="M63" s="98">
        <f>G20+P16+P4+P5</f>
        <v>0</v>
      </c>
      <c r="N63" s="98">
        <f>G38+Y23+P6+P7</f>
        <v>0</v>
      </c>
      <c r="O63" s="98">
        <f>G58+P8</f>
        <v>0</v>
      </c>
      <c r="P63" s="109">
        <f>SUM(M63:O63)</f>
        <v>0</v>
      </c>
      <c r="R63" s="108"/>
      <c r="S63" s="99"/>
      <c r="T63" s="1"/>
      <c r="U63" s="1"/>
      <c r="V63" s="1"/>
      <c r="W63" s="1"/>
      <c r="X63" s="1"/>
      <c r="Y63" s="1"/>
    </row>
    <row r="64" spans="1:25" ht="13.5" thickBot="1" x14ac:dyDescent="0.25"/>
    <row r="65" spans="1:31" ht="36" customHeight="1" thickBot="1" x14ac:dyDescent="0.25">
      <c r="A65" s="392" t="s">
        <v>49</v>
      </c>
      <c r="B65" s="393"/>
      <c r="C65" s="393"/>
      <c r="D65" s="393"/>
      <c r="E65" s="393"/>
      <c r="F65" s="393"/>
      <c r="G65" s="393"/>
      <c r="H65" s="393"/>
      <c r="I65" s="393"/>
      <c r="J65" s="393"/>
      <c r="K65" s="393"/>
      <c r="L65" s="393"/>
      <c r="M65" s="393"/>
      <c r="N65" s="393"/>
      <c r="O65" s="393"/>
      <c r="P65" s="393"/>
      <c r="Q65" s="393"/>
      <c r="R65" s="393"/>
      <c r="S65" s="393"/>
      <c r="T65" s="393"/>
      <c r="U65" s="393"/>
      <c r="V65" s="393"/>
      <c r="W65" s="393"/>
      <c r="X65" s="393"/>
      <c r="Y65" s="393"/>
      <c r="Z65" s="393"/>
      <c r="AA65" s="393"/>
      <c r="AB65" s="393"/>
      <c r="AC65" s="393"/>
      <c r="AD65" s="393"/>
      <c r="AE65" s="394"/>
    </row>
    <row r="66" spans="1:31" ht="286.5" customHeight="1" x14ac:dyDescent="0.2">
      <c r="A66" s="387" t="s">
        <v>59</v>
      </c>
      <c r="B66" s="388"/>
      <c r="C66" s="388"/>
      <c r="D66" s="388"/>
      <c r="E66" s="388"/>
      <c r="F66" s="388"/>
      <c r="G66" s="388"/>
      <c r="H66" s="388"/>
      <c r="I66" s="388"/>
      <c r="J66" s="388"/>
      <c r="K66" s="388"/>
      <c r="L66" s="388"/>
      <c r="M66" s="388"/>
      <c r="N66" s="388"/>
      <c r="O66" s="388"/>
      <c r="P66" s="388"/>
      <c r="Q66" s="388"/>
      <c r="R66" s="388"/>
      <c r="S66" s="388"/>
      <c r="T66" s="388"/>
      <c r="U66" s="388"/>
      <c r="V66" s="388"/>
      <c r="W66" s="388"/>
      <c r="X66" s="388"/>
      <c r="Y66" s="388"/>
      <c r="Z66" s="388"/>
      <c r="AA66" s="388"/>
      <c r="AB66" s="388"/>
      <c r="AC66" s="388"/>
      <c r="AD66" s="388"/>
      <c r="AE66" s="388"/>
    </row>
    <row r="67" spans="1:31" ht="222.75" customHeight="1" x14ac:dyDescent="0.2">
      <c r="A67" s="387"/>
      <c r="B67" s="388"/>
      <c r="C67" s="388"/>
      <c r="D67" s="388"/>
      <c r="E67" s="388"/>
      <c r="F67" s="388"/>
      <c r="G67" s="388"/>
      <c r="H67" s="388"/>
      <c r="I67" s="388"/>
      <c r="J67" s="388"/>
      <c r="K67" s="388"/>
      <c r="L67" s="388"/>
      <c r="M67" s="388"/>
      <c r="N67" s="388"/>
      <c r="O67" s="388"/>
      <c r="P67" s="388"/>
      <c r="Q67" s="388"/>
      <c r="R67" s="388"/>
      <c r="S67" s="388"/>
      <c r="T67" s="388"/>
      <c r="U67" s="388"/>
      <c r="V67" s="388"/>
      <c r="W67" s="388"/>
      <c r="X67" s="388"/>
      <c r="Y67" s="388"/>
      <c r="Z67" s="388"/>
      <c r="AA67" s="388"/>
      <c r="AB67" s="388"/>
      <c r="AC67" s="388"/>
      <c r="AD67" s="388"/>
      <c r="AE67" s="388"/>
    </row>
    <row r="68" spans="1:31" ht="109.5" customHeight="1" x14ac:dyDescent="0.2">
      <c r="A68" s="387"/>
      <c r="B68" s="388"/>
      <c r="C68" s="388"/>
      <c r="D68" s="388"/>
      <c r="E68" s="388"/>
      <c r="F68" s="388"/>
      <c r="G68" s="388"/>
      <c r="H68" s="388"/>
      <c r="I68" s="388"/>
      <c r="J68" s="388"/>
      <c r="K68" s="388"/>
      <c r="L68" s="388"/>
      <c r="M68" s="388"/>
      <c r="N68" s="388"/>
      <c r="O68" s="388"/>
      <c r="P68" s="388"/>
      <c r="Q68" s="388"/>
      <c r="R68" s="388"/>
      <c r="S68" s="388"/>
      <c r="T68" s="388"/>
      <c r="U68" s="388"/>
      <c r="V68" s="388"/>
      <c r="W68" s="388"/>
      <c r="X68" s="388"/>
      <c r="Y68" s="388"/>
      <c r="Z68" s="388"/>
      <c r="AA68" s="388"/>
      <c r="AB68" s="388"/>
      <c r="AC68" s="388"/>
      <c r="AD68" s="388"/>
      <c r="AE68" s="388"/>
    </row>
    <row r="69" spans="1:31" ht="148.5" customHeight="1" x14ac:dyDescent="0.2">
      <c r="A69" s="387"/>
      <c r="B69" s="388"/>
      <c r="C69" s="388"/>
      <c r="D69" s="388"/>
      <c r="E69" s="388"/>
      <c r="F69" s="388"/>
      <c r="G69" s="388"/>
      <c r="H69" s="388"/>
      <c r="I69" s="388"/>
      <c r="J69" s="388"/>
      <c r="K69" s="388"/>
      <c r="L69" s="388"/>
      <c r="M69" s="388"/>
      <c r="N69" s="388"/>
      <c r="O69" s="388"/>
      <c r="P69" s="388"/>
      <c r="Q69" s="388"/>
      <c r="R69" s="388"/>
      <c r="S69" s="388"/>
      <c r="T69" s="388"/>
      <c r="U69" s="388"/>
      <c r="V69" s="388"/>
      <c r="W69" s="388"/>
      <c r="X69" s="388"/>
      <c r="Y69" s="388"/>
      <c r="Z69" s="388"/>
      <c r="AA69" s="388"/>
      <c r="AB69" s="388"/>
      <c r="AC69" s="388"/>
      <c r="AD69" s="388"/>
      <c r="AE69" s="388"/>
    </row>
    <row r="70" spans="1:31" ht="90" customHeight="1" x14ac:dyDescent="0.2">
      <c r="A70" s="387"/>
      <c r="B70" s="388"/>
      <c r="C70" s="388"/>
      <c r="D70" s="388"/>
      <c r="E70" s="388"/>
      <c r="F70" s="388"/>
      <c r="G70" s="388"/>
      <c r="H70" s="388"/>
      <c r="I70" s="388"/>
      <c r="J70" s="388"/>
      <c r="K70" s="388"/>
      <c r="L70" s="388"/>
      <c r="M70" s="388"/>
      <c r="N70" s="388"/>
      <c r="O70" s="388"/>
      <c r="P70" s="388"/>
      <c r="Q70" s="388"/>
      <c r="R70" s="388"/>
      <c r="S70" s="388"/>
      <c r="T70" s="388"/>
      <c r="U70" s="388"/>
      <c r="V70" s="388"/>
      <c r="W70" s="388"/>
      <c r="X70" s="388"/>
      <c r="Y70" s="388"/>
      <c r="Z70" s="388"/>
      <c r="AA70" s="388"/>
      <c r="AB70" s="388"/>
      <c r="AC70" s="388"/>
      <c r="AD70" s="388"/>
      <c r="AE70" s="388"/>
    </row>
    <row r="71" spans="1:31" ht="156" customHeight="1" x14ac:dyDescent="0.2">
      <c r="A71" s="387"/>
      <c r="B71" s="388"/>
      <c r="C71" s="388"/>
      <c r="D71" s="388"/>
      <c r="E71" s="388"/>
      <c r="F71" s="388"/>
      <c r="G71" s="388"/>
      <c r="H71" s="388"/>
      <c r="I71" s="388"/>
      <c r="J71" s="388"/>
      <c r="K71" s="388"/>
      <c r="L71" s="388"/>
      <c r="M71" s="388"/>
      <c r="N71" s="388"/>
      <c r="O71" s="388"/>
      <c r="P71" s="388"/>
      <c r="Q71" s="388"/>
      <c r="R71" s="388"/>
      <c r="S71" s="388"/>
      <c r="T71" s="388"/>
      <c r="U71" s="388"/>
      <c r="V71" s="388"/>
      <c r="W71" s="388"/>
      <c r="X71" s="388"/>
      <c r="Y71" s="388"/>
      <c r="Z71" s="388"/>
      <c r="AA71" s="388"/>
      <c r="AB71" s="388"/>
      <c r="AC71" s="388"/>
      <c r="AD71" s="388"/>
      <c r="AE71" s="388"/>
    </row>
    <row r="72" spans="1:31" ht="258" customHeight="1" x14ac:dyDescent="0.2">
      <c r="A72" s="387"/>
      <c r="B72" s="388"/>
      <c r="C72" s="388"/>
      <c r="D72" s="388"/>
      <c r="E72" s="388"/>
      <c r="F72" s="388"/>
      <c r="G72" s="388"/>
      <c r="H72" s="388"/>
      <c r="I72" s="388"/>
      <c r="J72" s="388"/>
      <c r="K72" s="388"/>
      <c r="L72" s="388"/>
      <c r="M72" s="388"/>
      <c r="N72" s="388"/>
      <c r="O72" s="388"/>
      <c r="P72" s="388"/>
      <c r="Q72" s="388"/>
      <c r="R72" s="388"/>
      <c r="S72" s="388"/>
      <c r="T72" s="388"/>
      <c r="U72" s="388"/>
      <c r="V72" s="388"/>
      <c r="W72" s="388"/>
      <c r="X72" s="388"/>
      <c r="Y72" s="388"/>
      <c r="Z72" s="388"/>
      <c r="AA72" s="388"/>
      <c r="AB72" s="388"/>
      <c r="AC72" s="388"/>
      <c r="AD72" s="388"/>
      <c r="AE72" s="388"/>
    </row>
    <row r="73" spans="1:31" ht="18.75" x14ac:dyDescent="0.2">
      <c r="S73" s="87"/>
      <c r="T73" s="88"/>
      <c r="U73" s="87"/>
    </row>
    <row r="74" spans="1:31" ht="18.75" x14ac:dyDescent="0.2">
      <c r="S74" s="87"/>
      <c r="T74" s="88"/>
      <c r="U74" s="87"/>
    </row>
    <row r="75" spans="1:31" ht="18.75" x14ac:dyDescent="0.2">
      <c r="A75" s="389"/>
      <c r="S75" s="87"/>
      <c r="T75" s="88"/>
      <c r="U75" s="87"/>
    </row>
    <row r="76" spans="1:31" ht="18.75" x14ac:dyDescent="0.2">
      <c r="A76" s="389"/>
      <c r="S76" s="87"/>
      <c r="T76" s="88"/>
      <c r="U76" s="87"/>
    </row>
    <row r="77" spans="1:31" ht="18.75" x14ac:dyDescent="0.2">
      <c r="A77" s="389"/>
      <c r="S77" s="87"/>
      <c r="T77" s="88"/>
      <c r="U77" s="87"/>
    </row>
    <row r="78" spans="1:31" ht="18.75" x14ac:dyDescent="0.25">
      <c r="A78" s="89"/>
      <c r="S78" s="87"/>
      <c r="T78" s="88"/>
      <c r="U78" s="87"/>
    </row>
    <row r="79" spans="1:31" ht="18.75" x14ac:dyDescent="0.25">
      <c r="A79" s="89"/>
      <c r="S79" s="87"/>
      <c r="T79" s="88"/>
      <c r="U79" s="87"/>
    </row>
    <row r="80" spans="1:31" ht="18.75" x14ac:dyDescent="0.25">
      <c r="A80" s="90"/>
      <c r="S80" s="87"/>
      <c r="T80" s="88"/>
      <c r="U80" s="87"/>
    </row>
    <row r="81" spans="1:21" ht="18.75" x14ac:dyDescent="0.2">
      <c r="A81" s="389" t="s">
        <v>50</v>
      </c>
      <c r="B81" s="391"/>
      <c r="S81" s="87"/>
      <c r="T81" s="88"/>
      <c r="U81" s="87"/>
    </row>
    <row r="82" spans="1:21" ht="18.75" x14ac:dyDescent="0.2">
      <c r="A82" s="390"/>
      <c r="B82" s="391"/>
      <c r="S82" s="87"/>
      <c r="T82" s="88"/>
      <c r="U82" s="87"/>
    </row>
    <row r="83" spans="1:21" ht="18.75" x14ac:dyDescent="0.2">
      <c r="A83" s="390"/>
      <c r="B83" s="391"/>
      <c r="S83" s="87"/>
      <c r="T83" s="88"/>
      <c r="U83" s="87"/>
    </row>
    <row r="84" spans="1:21" ht="18.75" x14ac:dyDescent="0.25">
      <c r="A84" s="89"/>
      <c r="B84" s="91"/>
      <c r="S84" s="87"/>
      <c r="T84" s="88"/>
      <c r="U84" s="87"/>
    </row>
    <row r="85" spans="1:21" ht="12.75" customHeight="1" x14ac:dyDescent="0.25">
      <c r="A85" s="92"/>
    </row>
    <row r="86" spans="1:21" ht="12.75" customHeight="1" x14ac:dyDescent="0.2">
      <c r="A86" s="385" t="s">
        <v>51</v>
      </c>
    </row>
    <row r="87" spans="1:21" ht="12.75" customHeight="1" x14ac:dyDescent="0.2">
      <c r="A87" s="386"/>
    </row>
    <row r="88" spans="1:21" ht="12.75" customHeight="1" x14ac:dyDescent="0.2">
      <c r="A88" s="386"/>
    </row>
    <row r="89" spans="1:21" ht="249.75" customHeight="1" x14ac:dyDescent="0.2">
      <c r="A89" s="93"/>
    </row>
    <row r="90" spans="1:21" x14ac:dyDescent="0.2">
      <c r="A90" s="94"/>
    </row>
    <row r="91" spans="1:21" x14ac:dyDescent="0.2">
      <c r="A91" s="94"/>
    </row>
    <row r="92" spans="1:21" x14ac:dyDescent="0.2">
      <c r="A92" s="94"/>
    </row>
    <row r="93" spans="1:21" x14ac:dyDescent="0.2">
      <c r="A93" s="94"/>
    </row>
    <row r="94" spans="1:21" x14ac:dyDescent="0.2">
      <c r="A94" s="94"/>
    </row>
    <row r="95" spans="1:21" x14ac:dyDescent="0.2">
      <c r="A95" s="94"/>
    </row>
    <row r="96" spans="1:21" x14ac:dyDescent="0.2">
      <c r="A96" s="94"/>
    </row>
    <row r="131" spans="6:14" x14ac:dyDescent="0.2">
      <c r="J131" s="2" t="s">
        <v>234</v>
      </c>
      <c r="K131" s="2" t="s">
        <v>148</v>
      </c>
    </row>
    <row r="132" spans="6:14" x14ac:dyDescent="0.2">
      <c r="F132" s="2">
        <v>0</v>
      </c>
      <c r="G132" s="2">
        <v>0</v>
      </c>
      <c r="H132" s="2">
        <v>0</v>
      </c>
      <c r="I132" s="2">
        <v>0</v>
      </c>
      <c r="J132" s="2">
        <v>0</v>
      </c>
      <c r="K132" s="2">
        <v>0</v>
      </c>
      <c r="L132" s="2">
        <v>0</v>
      </c>
      <c r="M132" s="2">
        <v>0</v>
      </c>
      <c r="N132" s="2" t="str">
        <f t="shared" ref="N132:N174" si="1">+CONCATENATE(G132,M132)</f>
        <v>00</v>
      </c>
    </row>
    <row r="133" spans="6:14" x14ac:dyDescent="0.2">
      <c r="F133" s="2" t="s">
        <v>60</v>
      </c>
      <c r="G133" s="2" t="s">
        <v>150</v>
      </c>
      <c r="H133" s="2" t="s">
        <v>192</v>
      </c>
      <c r="I133" s="100">
        <v>591271</v>
      </c>
      <c r="J133" s="100" t="s">
        <v>144</v>
      </c>
      <c r="K133" s="101">
        <v>4</v>
      </c>
      <c r="L133" s="2" t="s">
        <v>102</v>
      </c>
      <c r="M133" s="2" t="s">
        <v>149</v>
      </c>
      <c r="N133" s="2" t="str">
        <f t="shared" si="1"/>
        <v>1..</v>
      </c>
    </row>
    <row r="134" spans="6:14" x14ac:dyDescent="0.2">
      <c r="F134" s="2" t="s">
        <v>61</v>
      </c>
      <c r="G134" s="2" t="s">
        <v>151</v>
      </c>
      <c r="H134" s="2" t="s">
        <v>193</v>
      </c>
      <c r="I134" s="100">
        <v>522658</v>
      </c>
      <c r="J134" s="100" t="s">
        <v>144</v>
      </c>
      <c r="K134" s="101">
        <v>3</v>
      </c>
      <c r="L134" s="2" t="s">
        <v>103</v>
      </c>
      <c r="M134" s="2" t="s">
        <v>149</v>
      </c>
      <c r="N134" s="2" t="str">
        <f t="shared" si="1"/>
        <v>2..</v>
      </c>
    </row>
    <row r="135" spans="6:14" x14ac:dyDescent="0.2">
      <c r="F135" s="2" t="s">
        <v>62</v>
      </c>
      <c r="G135" s="2" t="s">
        <v>152</v>
      </c>
      <c r="H135" s="2" t="s">
        <v>194</v>
      </c>
      <c r="I135" s="100">
        <v>453679</v>
      </c>
      <c r="J135" s="100" t="s">
        <v>144</v>
      </c>
      <c r="K135" s="101">
        <v>2</v>
      </c>
      <c r="L135" s="2" t="s">
        <v>104</v>
      </c>
      <c r="M135" s="2" t="s">
        <v>149</v>
      </c>
      <c r="N135" s="2" t="str">
        <f t="shared" si="1"/>
        <v>3..</v>
      </c>
    </row>
    <row r="136" spans="6:14" x14ac:dyDescent="0.2">
      <c r="F136" s="2" t="s">
        <v>63</v>
      </c>
      <c r="G136" s="2" t="s">
        <v>153</v>
      </c>
      <c r="H136" s="2" t="s">
        <v>195</v>
      </c>
      <c r="I136" s="100">
        <v>384145</v>
      </c>
      <c r="J136" s="100" t="s">
        <v>144</v>
      </c>
      <c r="K136" s="101">
        <v>1</v>
      </c>
      <c r="L136" s="2" t="s">
        <v>105</v>
      </c>
      <c r="M136" s="2" t="s">
        <v>149</v>
      </c>
      <c r="N136" s="2" t="str">
        <f t="shared" si="1"/>
        <v>4..</v>
      </c>
    </row>
    <row r="137" spans="6:14" x14ac:dyDescent="0.2">
      <c r="F137" s="2" t="s">
        <v>64</v>
      </c>
      <c r="G137" s="2" t="s">
        <v>154</v>
      </c>
      <c r="H137" s="2" t="s">
        <v>196</v>
      </c>
      <c r="I137" s="100">
        <v>346554</v>
      </c>
      <c r="J137" s="100" t="s">
        <v>144</v>
      </c>
      <c r="K137" s="101">
        <v>0</v>
      </c>
      <c r="L137" s="2" t="s">
        <v>106</v>
      </c>
      <c r="M137" s="2" t="s">
        <v>149</v>
      </c>
      <c r="N137" s="2" t="str">
        <f t="shared" si="1"/>
        <v>5..</v>
      </c>
    </row>
    <row r="138" spans="6:14" x14ac:dyDescent="0.2">
      <c r="F138" s="2" t="s">
        <v>65</v>
      </c>
      <c r="G138" s="2" t="s">
        <v>155</v>
      </c>
      <c r="H138" s="2" t="s">
        <v>197</v>
      </c>
      <c r="I138" s="100">
        <v>698575</v>
      </c>
      <c r="J138" s="100" t="s">
        <v>146</v>
      </c>
      <c r="K138" s="101">
        <v>4</v>
      </c>
      <c r="L138" s="2" t="s">
        <v>107</v>
      </c>
      <c r="M138" s="2" t="s">
        <v>149</v>
      </c>
      <c r="N138" s="2" t="str">
        <f t="shared" si="1"/>
        <v>6..</v>
      </c>
    </row>
    <row r="139" spans="6:14" x14ac:dyDescent="0.2">
      <c r="F139" s="2" t="s">
        <v>66</v>
      </c>
      <c r="G139" s="2" t="s">
        <v>156</v>
      </c>
      <c r="H139" s="2" t="s">
        <v>198</v>
      </c>
      <c r="I139" s="100">
        <v>615599</v>
      </c>
      <c r="J139" s="100" t="s">
        <v>146</v>
      </c>
      <c r="K139" s="101">
        <v>3</v>
      </c>
      <c r="L139" s="2" t="s">
        <v>108</v>
      </c>
      <c r="M139" s="2" t="s">
        <v>149</v>
      </c>
      <c r="N139" s="2" t="str">
        <f t="shared" si="1"/>
        <v>7..</v>
      </c>
    </row>
    <row r="140" spans="6:14" x14ac:dyDescent="0.2">
      <c r="F140" s="2" t="s">
        <v>67</v>
      </c>
      <c r="G140" s="2" t="s">
        <v>157</v>
      </c>
      <c r="H140" s="2" t="s">
        <v>199</v>
      </c>
      <c r="I140" s="100">
        <v>532623</v>
      </c>
      <c r="J140" s="100" t="s">
        <v>146</v>
      </c>
      <c r="K140" s="101">
        <v>2</v>
      </c>
      <c r="L140" s="2" t="s">
        <v>109</v>
      </c>
      <c r="M140" s="2" t="s">
        <v>149</v>
      </c>
      <c r="N140" s="2" t="str">
        <f t="shared" si="1"/>
        <v>8..</v>
      </c>
    </row>
    <row r="141" spans="6:14" x14ac:dyDescent="0.2">
      <c r="F141" s="2" t="s">
        <v>68</v>
      </c>
      <c r="G141" s="2" t="s">
        <v>158</v>
      </c>
      <c r="H141" s="2" t="s">
        <v>200</v>
      </c>
      <c r="I141" s="100">
        <v>449647</v>
      </c>
      <c r="J141" s="100" t="s">
        <v>146</v>
      </c>
      <c r="K141" s="101">
        <v>1</v>
      </c>
      <c r="L141" s="2" t="s">
        <v>110</v>
      </c>
      <c r="M141" s="2" t="s">
        <v>149</v>
      </c>
      <c r="N141" s="2" t="str">
        <f t="shared" si="1"/>
        <v>9..</v>
      </c>
    </row>
    <row r="142" spans="6:14" x14ac:dyDescent="0.2">
      <c r="F142" s="2" t="s">
        <v>69</v>
      </c>
      <c r="G142" s="2" t="s">
        <v>159</v>
      </c>
      <c r="H142" s="2" t="s">
        <v>201</v>
      </c>
      <c r="I142" s="100">
        <v>381076</v>
      </c>
      <c r="J142" s="100" t="s">
        <v>146</v>
      </c>
      <c r="K142" s="101">
        <v>0</v>
      </c>
      <c r="L142" s="2" t="s">
        <v>111</v>
      </c>
      <c r="M142" s="2" t="s">
        <v>149</v>
      </c>
      <c r="N142" s="2" t="str">
        <f t="shared" si="1"/>
        <v>10..</v>
      </c>
    </row>
    <row r="143" spans="6:14" x14ac:dyDescent="0.2">
      <c r="F143" s="2" t="s">
        <v>70</v>
      </c>
      <c r="G143" s="2" t="s">
        <v>160</v>
      </c>
      <c r="H143" s="2" t="s">
        <v>202</v>
      </c>
      <c r="I143" s="100">
        <v>403027</v>
      </c>
      <c r="J143" s="100" t="s">
        <v>145</v>
      </c>
      <c r="K143" s="101">
        <v>4</v>
      </c>
      <c r="L143" s="2" t="s">
        <v>112</v>
      </c>
      <c r="M143" s="2" t="s">
        <v>149</v>
      </c>
      <c r="N143" s="2" t="str">
        <f t="shared" si="1"/>
        <v>11..</v>
      </c>
    </row>
    <row r="144" spans="6:14" x14ac:dyDescent="0.2">
      <c r="F144" s="2" t="s">
        <v>71</v>
      </c>
      <c r="G144" s="2" t="s">
        <v>161</v>
      </c>
      <c r="H144" s="2" t="s">
        <v>203</v>
      </c>
      <c r="I144" s="100">
        <v>354644</v>
      </c>
      <c r="J144" s="100" t="s">
        <v>145</v>
      </c>
      <c r="K144" s="101">
        <v>3</v>
      </c>
      <c r="L144" s="2" t="s">
        <v>113</v>
      </c>
      <c r="M144" s="2" t="s">
        <v>149</v>
      </c>
      <c r="N144" s="2" t="str">
        <f t="shared" si="1"/>
        <v>12..</v>
      </c>
    </row>
    <row r="145" spans="6:14" x14ac:dyDescent="0.2">
      <c r="F145" s="2" t="s">
        <v>72</v>
      </c>
      <c r="G145" s="2" t="s">
        <v>162</v>
      </c>
      <c r="H145" s="2" t="s">
        <v>204</v>
      </c>
      <c r="I145" s="100">
        <v>306110</v>
      </c>
      <c r="J145" s="100" t="s">
        <v>145</v>
      </c>
      <c r="K145" s="101">
        <v>2</v>
      </c>
      <c r="L145" s="2" t="s">
        <v>114</v>
      </c>
      <c r="M145" s="2" t="s">
        <v>149</v>
      </c>
      <c r="N145" s="2" t="str">
        <f t="shared" si="1"/>
        <v>13..</v>
      </c>
    </row>
    <row r="146" spans="6:14" x14ac:dyDescent="0.2">
      <c r="F146" s="2" t="s">
        <v>73</v>
      </c>
      <c r="G146" s="2" t="s">
        <v>163</v>
      </c>
      <c r="H146" s="2" t="s">
        <v>205</v>
      </c>
      <c r="I146" s="100">
        <v>257359</v>
      </c>
      <c r="J146" s="100" t="s">
        <v>145</v>
      </c>
      <c r="K146" s="101">
        <v>1</v>
      </c>
      <c r="L146" s="2" t="s">
        <v>115</v>
      </c>
      <c r="M146" s="2" t="s">
        <v>149</v>
      </c>
      <c r="N146" s="2" t="str">
        <f t="shared" si="1"/>
        <v>14..</v>
      </c>
    </row>
    <row r="147" spans="6:14" x14ac:dyDescent="0.2">
      <c r="F147" s="2" t="s">
        <v>74</v>
      </c>
      <c r="G147" s="2" t="s">
        <v>164</v>
      </c>
      <c r="H147" s="2" t="s">
        <v>206</v>
      </c>
      <c r="I147" s="100">
        <v>207831</v>
      </c>
      <c r="J147" s="100" t="s">
        <v>145</v>
      </c>
      <c r="K147" s="101">
        <v>0</v>
      </c>
      <c r="L147" s="2" t="s">
        <v>116</v>
      </c>
      <c r="M147" s="2" t="s">
        <v>149</v>
      </c>
      <c r="N147" s="2" t="str">
        <f t="shared" si="1"/>
        <v>15..</v>
      </c>
    </row>
    <row r="148" spans="6:14" x14ac:dyDescent="0.2">
      <c r="F148" s="2" t="s">
        <v>75</v>
      </c>
      <c r="G148" s="2" t="s">
        <v>165</v>
      </c>
      <c r="H148" s="2" t="s">
        <v>207</v>
      </c>
      <c r="I148" s="100">
        <v>504881</v>
      </c>
      <c r="J148" s="100" t="s">
        <v>144</v>
      </c>
      <c r="K148" s="101">
        <v>4</v>
      </c>
      <c r="L148" s="2" t="s">
        <v>117</v>
      </c>
      <c r="M148" s="2" t="s">
        <v>149</v>
      </c>
      <c r="N148" s="2" t="str">
        <f t="shared" si="1"/>
        <v>16..</v>
      </c>
    </row>
    <row r="149" spans="6:14" x14ac:dyDescent="0.2">
      <c r="F149" s="2" t="s">
        <v>76</v>
      </c>
      <c r="G149" s="2" t="s">
        <v>166</v>
      </c>
      <c r="H149" s="2" t="s">
        <v>208</v>
      </c>
      <c r="I149" s="100">
        <v>456996</v>
      </c>
      <c r="J149" s="100" t="s">
        <v>144</v>
      </c>
      <c r="K149" s="101">
        <v>3</v>
      </c>
      <c r="L149" s="2" t="s">
        <v>118</v>
      </c>
      <c r="M149" s="2" t="s">
        <v>149</v>
      </c>
      <c r="N149" s="2" t="str">
        <f t="shared" si="1"/>
        <v>17..</v>
      </c>
    </row>
    <row r="150" spans="6:14" x14ac:dyDescent="0.2">
      <c r="F150" s="2" t="s">
        <v>77</v>
      </c>
      <c r="G150" s="2" t="s">
        <v>167</v>
      </c>
      <c r="H150" s="2" t="s">
        <v>209</v>
      </c>
      <c r="I150" s="100">
        <v>460381</v>
      </c>
      <c r="J150" s="100" t="s">
        <v>144</v>
      </c>
      <c r="K150" s="101">
        <v>2</v>
      </c>
      <c r="L150" s="2" t="s">
        <v>119</v>
      </c>
      <c r="M150" s="2" t="s">
        <v>149</v>
      </c>
      <c r="N150" s="2" t="str">
        <f t="shared" si="1"/>
        <v>18..</v>
      </c>
    </row>
    <row r="151" spans="6:14" x14ac:dyDescent="0.2">
      <c r="F151" s="2" t="s">
        <v>78</v>
      </c>
      <c r="G151" s="2" t="s">
        <v>168</v>
      </c>
      <c r="H151" s="2" t="s">
        <v>210</v>
      </c>
      <c r="I151" s="100">
        <v>375536</v>
      </c>
      <c r="J151" s="100" t="s">
        <v>144</v>
      </c>
      <c r="K151" s="101">
        <v>1</v>
      </c>
      <c r="L151" s="2" t="s">
        <v>120</v>
      </c>
      <c r="M151" s="2" t="s">
        <v>149</v>
      </c>
      <c r="N151" s="2" t="str">
        <f t="shared" si="1"/>
        <v>19..</v>
      </c>
    </row>
    <row r="152" spans="6:14" x14ac:dyDescent="0.2">
      <c r="F152" s="2" t="s">
        <v>79</v>
      </c>
      <c r="G152" s="2" t="s">
        <v>169</v>
      </c>
      <c r="H152" s="2" t="s">
        <v>211</v>
      </c>
      <c r="I152" s="100">
        <v>299013</v>
      </c>
      <c r="J152" s="100" t="s">
        <v>144</v>
      </c>
      <c r="K152" s="101">
        <v>0</v>
      </c>
      <c r="L152" s="2" t="s">
        <v>121</v>
      </c>
      <c r="M152" s="2" t="s">
        <v>149</v>
      </c>
      <c r="N152" s="2" t="str">
        <f t="shared" si="1"/>
        <v>20..</v>
      </c>
    </row>
    <row r="153" spans="6:14" x14ac:dyDescent="0.2">
      <c r="F153" s="2" t="s">
        <v>80</v>
      </c>
      <c r="G153" s="2" t="s">
        <v>170</v>
      </c>
      <c r="H153" s="2" t="s">
        <v>212</v>
      </c>
      <c r="I153" s="100">
        <v>643450</v>
      </c>
      <c r="J153" s="100" t="s">
        <v>146</v>
      </c>
      <c r="K153" s="101">
        <v>4</v>
      </c>
      <c r="L153" s="2" t="s">
        <v>122</v>
      </c>
      <c r="M153" s="2" t="s">
        <v>149</v>
      </c>
      <c r="N153" s="2" t="str">
        <f t="shared" si="1"/>
        <v>21..</v>
      </c>
    </row>
    <row r="154" spans="6:14" x14ac:dyDescent="0.2">
      <c r="F154" s="2" t="s">
        <v>81</v>
      </c>
      <c r="G154" s="2" t="s">
        <v>171</v>
      </c>
      <c r="H154" s="2" t="s">
        <v>213</v>
      </c>
      <c r="I154" s="100">
        <v>570077</v>
      </c>
      <c r="J154" s="100" t="s">
        <v>146</v>
      </c>
      <c r="K154" s="101">
        <v>3</v>
      </c>
      <c r="L154" s="2" t="s">
        <v>123</v>
      </c>
      <c r="M154" s="2" t="s">
        <v>149</v>
      </c>
      <c r="N154" s="2" t="str">
        <f t="shared" si="1"/>
        <v>22..</v>
      </c>
    </row>
    <row r="155" spans="6:14" x14ac:dyDescent="0.2">
      <c r="F155" s="2" t="s">
        <v>82</v>
      </c>
      <c r="G155" s="2" t="s">
        <v>172</v>
      </c>
      <c r="H155" s="2" t="s">
        <v>214</v>
      </c>
      <c r="I155" s="100">
        <v>482299</v>
      </c>
      <c r="J155" s="100" t="s">
        <v>146</v>
      </c>
      <c r="K155" s="101">
        <v>2</v>
      </c>
      <c r="L155" s="2" t="s">
        <v>124</v>
      </c>
      <c r="M155" s="2" t="s">
        <v>149</v>
      </c>
      <c r="N155" s="2" t="str">
        <f t="shared" si="1"/>
        <v>23..</v>
      </c>
    </row>
    <row r="156" spans="6:14" x14ac:dyDescent="0.2">
      <c r="F156" s="2" t="s">
        <v>83</v>
      </c>
      <c r="G156" s="2" t="s">
        <v>173</v>
      </c>
      <c r="H156" s="2" t="s">
        <v>215</v>
      </c>
      <c r="I156" s="100">
        <v>408927</v>
      </c>
      <c r="J156" s="100" t="s">
        <v>146</v>
      </c>
      <c r="K156" s="101">
        <v>1</v>
      </c>
      <c r="L156" s="2" t="s">
        <v>125</v>
      </c>
      <c r="M156" s="2" t="s">
        <v>149</v>
      </c>
      <c r="N156" s="2" t="str">
        <f t="shared" si="1"/>
        <v>24..</v>
      </c>
    </row>
    <row r="157" spans="6:14" x14ac:dyDescent="0.2">
      <c r="F157" s="2" t="s">
        <v>84</v>
      </c>
      <c r="G157" s="2" t="s">
        <v>174</v>
      </c>
      <c r="H157" s="2" t="s">
        <v>216</v>
      </c>
      <c r="I157" s="100">
        <v>330752</v>
      </c>
      <c r="J157" s="100" t="s">
        <v>146</v>
      </c>
      <c r="K157" s="101">
        <v>0</v>
      </c>
      <c r="L157" s="2" t="s">
        <v>126</v>
      </c>
      <c r="M157" s="2" t="s">
        <v>149</v>
      </c>
      <c r="N157" s="2" t="str">
        <f t="shared" si="1"/>
        <v>25..</v>
      </c>
    </row>
    <row r="158" spans="6:14" x14ac:dyDescent="0.2">
      <c r="F158" s="2" t="s">
        <v>85</v>
      </c>
      <c r="G158" s="2" t="s">
        <v>175</v>
      </c>
      <c r="H158" s="2" t="s">
        <v>217</v>
      </c>
      <c r="I158" s="100">
        <v>394959</v>
      </c>
      <c r="J158" s="100" t="s">
        <v>145</v>
      </c>
      <c r="K158" s="101">
        <v>4</v>
      </c>
      <c r="L158" s="2" t="s">
        <v>127</v>
      </c>
      <c r="M158" s="2" t="s">
        <v>149</v>
      </c>
      <c r="N158" s="2" t="str">
        <f t="shared" si="1"/>
        <v>26..</v>
      </c>
    </row>
    <row r="159" spans="6:14" x14ac:dyDescent="0.2">
      <c r="F159" s="2" t="s">
        <v>86</v>
      </c>
      <c r="G159" s="2" t="s">
        <v>176</v>
      </c>
      <c r="H159" s="2" t="s">
        <v>218</v>
      </c>
      <c r="I159" s="100">
        <v>350982</v>
      </c>
      <c r="J159" s="100" t="s">
        <v>145</v>
      </c>
      <c r="K159" s="101">
        <v>3</v>
      </c>
      <c r="L159" s="2" t="s">
        <v>128</v>
      </c>
      <c r="M159" s="2" t="s">
        <v>149</v>
      </c>
      <c r="N159" s="2" t="str">
        <f t="shared" si="1"/>
        <v>27..</v>
      </c>
    </row>
    <row r="160" spans="6:14" x14ac:dyDescent="0.2">
      <c r="F160" s="2" t="s">
        <v>87</v>
      </c>
      <c r="G160" s="2" t="s">
        <v>177</v>
      </c>
      <c r="H160" s="2" t="s">
        <v>219</v>
      </c>
      <c r="I160" s="100">
        <v>391635</v>
      </c>
      <c r="J160" s="100" t="s">
        <v>145</v>
      </c>
      <c r="K160" s="101">
        <v>2</v>
      </c>
      <c r="L160" s="2" t="s">
        <v>129</v>
      </c>
      <c r="M160" s="2" t="s">
        <v>149</v>
      </c>
      <c r="N160" s="2" t="str">
        <f t="shared" si="1"/>
        <v>28..</v>
      </c>
    </row>
    <row r="161" spans="6:14" x14ac:dyDescent="0.2">
      <c r="F161" s="2" t="s">
        <v>88</v>
      </c>
      <c r="G161" s="2" t="s">
        <v>178</v>
      </c>
      <c r="H161" s="2" t="s">
        <v>220</v>
      </c>
      <c r="I161" s="100">
        <v>316617</v>
      </c>
      <c r="J161" s="100" t="s">
        <v>145</v>
      </c>
      <c r="K161" s="101">
        <v>1</v>
      </c>
      <c r="L161" s="2" t="s">
        <v>130</v>
      </c>
      <c r="M161" s="2" t="s">
        <v>149</v>
      </c>
      <c r="N161" s="2" t="str">
        <f t="shared" si="1"/>
        <v>29..</v>
      </c>
    </row>
    <row r="162" spans="6:14" x14ac:dyDescent="0.2">
      <c r="F162" s="2" t="s">
        <v>89</v>
      </c>
      <c r="G162" s="2" t="s">
        <v>179</v>
      </c>
      <c r="H162" s="2" t="s">
        <v>221</v>
      </c>
      <c r="I162" s="100">
        <v>246608</v>
      </c>
      <c r="J162" s="100" t="s">
        <v>145</v>
      </c>
      <c r="K162" s="101">
        <v>0</v>
      </c>
      <c r="L162" s="2" t="s">
        <v>131</v>
      </c>
      <c r="M162" s="2" t="s">
        <v>149</v>
      </c>
      <c r="N162" s="2" t="str">
        <f t="shared" si="1"/>
        <v>30..</v>
      </c>
    </row>
    <row r="163" spans="6:14" x14ac:dyDescent="0.2">
      <c r="F163" s="2" t="s">
        <v>90</v>
      </c>
      <c r="G163" s="2" t="s">
        <v>180</v>
      </c>
      <c r="H163" s="2" t="s">
        <v>222</v>
      </c>
      <c r="I163" s="100">
        <v>350536</v>
      </c>
      <c r="J163" s="100" t="s">
        <v>144</v>
      </c>
      <c r="K163" s="101">
        <v>0</v>
      </c>
      <c r="L163" s="2" t="s">
        <v>132</v>
      </c>
      <c r="M163" s="2" t="s">
        <v>149</v>
      </c>
      <c r="N163" s="2" t="str">
        <f t="shared" si="1"/>
        <v>31..</v>
      </c>
    </row>
    <row r="164" spans="6:14" x14ac:dyDescent="0.2">
      <c r="F164" s="2" t="s">
        <v>91</v>
      </c>
      <c r="G164" s="2" t="s">
        <v>181</v>
      </c>
      <c r="H164" s="2" t="s">
        <v>223</v>
      </c>
      <c r="I164" s="100">
        <v>300597</v>
      </c>
      <c r="J164" s="100" t="s">
        <v>146</v>
      </c>
      <c r="K164" s="101">
        <v>0</v>
      </c>
      <c r="L164" s="2" t="s">
        <v>133</v>
      </c>
      <c r="M164" s="2" t="s">
        <v>149</v>
      </c>
      <c r="N164" s="2" t="str">
        <f t="shared" si="1"/>
        <v>32..</v>
      </c>
    </row>
    <row r="165" spans="6:14" x14ac:dyDescent="0.2">
      <c r="F165" s="2" t="s">
        <v>92</v>
      </c>
      <c r="G165" s="2" t="s">
        <v>182</v>
      </c>
      <c r="H165" s="2" t="s">
        <v>224</v>
      </c>
      <c r="I165" s="100">
        <v>220886</v>
      </c>
      <c r="J165" s="100" t="s">
        <v>145</v>
      </c>
      <c r="K165" s="101">
        <v>0</v>
      </c>
      <c r="L165" s="2" t="s">
        <v>134</v>
      </c>
      <c r="M165" s="2" t="s">
        <v>149</v>
      </c>
      <c r="N165" s="2" t="str">
        <f t="shared" si="1"/>
        <v>33..</v>
      </c>
    </row>
    <row r="166" spans="6:14" x14ac:dyDescent="0.2">
      <c r="F166" s="2" t="s">
        <v>93</v>
      </c>
      <c r="G166" s="2" t="s">
        <v>183</v>
      </c>
      <c r="H166" s="2" t="s">
        <v>225</v>
      </c>
      <c r="I166" s="100">
        <v>605035</v>
      </c>
      <c r="J166" s="100" t="s">
        <v>144</v>
      </c>
      <c r="K166" s="101">
        <v>0</v>
      </c>
      <c r="L166" s="2" t="s">
        <v>135</v>
      </c>
      <c r="M166" s="2" t="s">
        <v>149</v>
      </c>
      <c r="N166" s="2" t="str">
        <f t="shared" si="1"/>
        <v>34..</v>
      </c>
    </row>
    <row r="167" spans="6:14" x14ac:dyDescent="0.2">
      <c r="F167" s="2" t="s">
        <v>94</v>
      </c>
      <c r="G167" s="2" t="s">
        <v>184</v>
      </c>
      <c r="H167" s="2" t="s">
        <v>226</v>
      </c>
      <c r="I167" s="100">
        <v>336131</v>
      </c>
      <c r="J167" s="100" t="s">
        <v>146</v>
      </c>
      <c r="K167" s="101">
        <v>0</v>
      </c>
      <c r="L167" s="2" t="s">
        <v>136</v>
      </c>
      <c r="M167" s="2" t="s">
        <v>149</v>
      </c>
      <c r="N167" s="2" t="str">
        <f t="shared" si="1"/>
        <v>35..</v>
      </c>
    </row>
    <row r="168" spans="6:14" x14ac:dyDescent="0.2">
      <c r="F168" s="2" t="s">
        <v>95</v>
      </c>
      <c r="G168" s="2" t="s">
        <v>185</v>
      </c>
      <c r="H168" s="2" t="s">
        <v>227</v>
      </c>
      <c r="I168" s="100">
        <v>235291</v>
      </c>
      <c r="J168" s="100" t="s">
        <v>145</v>
      </c>
      <c r="K168" s="101">
        <v>0</v>
      </c>
      <c r="L168" s="2" t="s">
        <v>137</v>
      </c>
      <c r="M168" s="2" t="s">
        <v>149</v>
      </c>
      <c r="N168" s="2" t="str">
        <f t="shared" si="1"/>
        <v>36..</v>
      </c>
    </row>
    <row r="169" spans="6:14" x14ac:dyDescent="0.2">
      <c r="F169" s="2" t="s">
        <v>96</v>
      </c>
      <c r="G169" s="2" t="s">
        <v>186</v>
      </c>
      <c r="H169" s="2" t="s">
        <v>228</v>
      </c>
      <c r="I169" s="100">
        <v>1248485</v>
      </c>
      <c r="J169" s="100" t="s">
        <v>144</v>
      </c>
      <c r="K169" s="101">
        <v>0</v>
      </c>
      <c r="L169" s="2" t="s">
        <v>138</v>
      </c>
      <c r="M169" s="2" t="s">
        <v>149</v>
      </c>
      <c r="N169" s="2" t="str">
        <f t="shared" si="1"/>
        <v>37..</v>
      </c>
    </row>
    <row r="170" spans="6:14" x14ac:dyDescent="0.2">
      <c r="F170" s="2" t="s">
        <v>97</v>
      </c>
      <c r="G170" s="2" t="s">
        <v>187</v>
      </c>
      <c r="H170" s="2" t="s">
        <v>229</v>
      </c>
      <c r="I170" s="100">
        <v>299636</v>
      </c>
      <c r="J170" s="100" t="s">
        <v>147</v>
      </c>
      <c r="K170" s="101">
        <v>0</v>
      </c>
      <c r="L170" s="2" t="s">
        <v>139</v>
      </c>
      <c r="M170" s="2" t="s">
        <v>149</v>
      </c>
      <c r="N170" s="2" t="str">
        <f t="shared" si="1"/>
        <v>38..</v>
      </c>
    </row>
    <row r="171" spans="6:14" x14ac:dyDescent="0.2">
      <c r="F171" s="2" t="s">
        <v>98</v>
      </c>
      <c r="G171" s="2" t="s">
        <v>188</v>
      </c>
      <c r="H171" s="2" t="s">
        <v>230</v>
      </c>
      <c r="I171" s="100">
        <v>1248485</v>
      </c>
      <c r="J171" s="100" t="s">
        <v>144</v>
      </c>
      <c r="K171" s="101">
        <v>0</v>
      </c>
      <c r="L171" s="2" t="s">
        <v>140</v>
      </c>
      <c r="M171" s="2" t="s">
        <v>149</v>
      </c>
      <c r="N171" s="2" t="str">
        <f t="shared" si="1"/>
        <v>39..</v>
      </c>
    </row>
    <row r="172" spans="6:14" x14ac:dyDescent="0.2">
      <c r="F172" s="2" t="s">
        <v>99</v>
      </c>
      <c r="G172" s="2" t="s">
        <v>189</v>
      </c>
      <c r="H172" s="2" t="s">
        <v>231</v>
      </c>
      <c r="I172" s="100">
        <v>187273</v>
      </c>
      <c r="J172" s="100" t="s">
        <v>147</v>
      </c>
      <c r="K172" s="101">
        <v>0</v>
      </c>
      <c r="L172" s="2" t="s">
        <v>141</v>
      </c>
      <c r="M172" s="2" t="s">
        <v>149</v>
      </c>
      <c r="N172" s="2" t="str">
        <f t="shared" si="1"/>
        <v>40..</v>
      </c>
    </row>
    <row r="173" spans="6:14" x14ac:dyDescent="0.2">
      <c r="F173" s="2" t="s">
        <v>100</v>
      </c>
      <c r="G173" s="2" t="s">
        <v>190</v>
      </c>
      <c r="H173" s="2" t="s">
        <v>232</v>
      </c>
      <c r="I173" s="100">
        <v>53564</v>
      </c>
      <c r="J173" s="100" t="s">
        <v>147</v>
      </c>
      <c r="K173" s="101">
        <v>0</v>
      </c>
      <c r="L173" s="2" t="s">
        <v>142</v>
      </c>
      <c r="M173" s="2" t="s">
        <v>149</v>
      </c>
      <c r="N173" s="2" t="str">
        <f t="shared" si="1"/>
        <v>41..</v>
      </c>
    </row>
    <row r="174" spans="6:14" x14ac:dyDescent="0.2">
      <c r="F174" s="2" t="s">
        <v>101</v>
      </c>
      <c r="G174" s="2" t="s">
        <v>191</v>
      </c>
      <c r="H174" s="2" t="s">
        <v>233</v>
      </c>
      <c r="I174" s="100">
        <v>40173</v>
      </c>
      <c r="J174" s="100" t="s">
        <v>147</v>
      </c>
      <c r="K174" s="101">
        <v>0</v>
      </c>
      <c r="L174" s="2" t="s">
        <v>143</v>
      </c>
      <c r="M174" s="2" t="s">
        <v>149</v>
      </c>
      <c r="N174" s="2" t="str">
        <f t="shared" si="1"/>
        <v>42..</v>
      </c>
    </row>
  </sheetData>
  <sheetProtection selectLockedCells="1" selectUnlockedCells="1"/>
  <mergeCells count="22">
    <mergeCell ref="AA2:AE2"/>
    <mergeCell ref="R11:Y11"/>
    <mergeCell ref="A39:G39"/>
    <mergeCell ref="A1:G1"/>
    <mergeCell ref="A2:G2"/>
    <mergeCell ref="I2:P2"/>
    <mergeCell ref="R2:Y2"/>
    <mergeCell ref="A12:G12"/>
    <mergeCell ref="I14:P14"/>
    <mergeCell ref="A21:G21"/>
    <mergeCell ref="A22:G22"/>
    <mergeCell ref="A30:G30"/>
    <mergeCell ref="J44:P58"/>
    <mergeCell ref="A50:G50"/>
    <mergeCell ref="K63:L63"/>
    <mergeCell ref="A65:AE65"/>
    <mergeCell ref="A66:AE72"/>
    <mergeCell ref="A75:A77"/>
    <mergeCell ref="A81:A83"/>
    <mergeCell ref="B81:B83"/>
    <mergeCell ref="A86:A88"/>
    <mergeCell ref="A40:G40"/>
  </mergeCells>
  <dataValidations count="2">
    <dataValidation type="list" allowBlank="1" showInputMessage="1" showErrorMessage="1" sqref="F8:F11 F27 F18" xr:uid="{00000000-0002-0000-0100-000000000000}">
      <formula1>$H$133:$H$174</formula1>
    </dataValidation>
    <dataValidation type="list" allowBlank="1" showInputMessage="1" showErrorMessage="1" sqref="F4:F7 F14:F17 F24:F26 F32:F35 F52:F56 O4:O8 O16 X4:X8 X13:X14" xr:uid="{00000000-0002-0000-0100-000001000000}">
      <formula1>$H$132:$H$174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AE186"/>
  <sheetViews>
    <sheetView view="pageBreakPreview" topLeftCell="E39" zoomScale="90" zoomScaleNormal="59" zoomScaleSheetLayoutView="90" workbookViewId="0">
      <selection activeCell="Q65" sqref="Q65"/>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85546875" style="2" customWidth="1"/>
    <col min="12" max="12" width="14.28515625" style="2" customWidth="1"/>
    <col min="13" max="13" width="20.85546875" style="2" customWidth="1"/>
    <col min="14" max="14" width="25.7109375" style="2" customWidth="1"/>
    <col min="15" max="15" width="41"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140625" style="2" customWidth="1"/>
    <col min="25" max="25" width="25.7109375"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c r="S4" s="18"/>
      <c r="T4" s="103"/>
      <c r="U4" s="19"/>
      <c r="V4" s="20"/>
      <c r="W4" s="47"/>
      <c r="X4" s="12">
        <v>0</v>
      </c>
      <c r="Y4" s="11">
        <f>+IF(X4="","",VLOOKUP(X4,$H$139:$I$185,2,FALSE))</f>
        <v>0</v>
      </c>
      <c r="AA4" s="21"/>
      <c r="AB4" s="22"/>
      <c r="AC4" s="22"/>
      <c r="AD4" s="23"/>
      <c r="AE4" s="24"/>
    </row>
    <row r="5" spans="1:31" ht="15.75" x14ac:dyDescent="0.25">
      <c r="A5" s="25" t="s">
        <v>14</v>
      </c>
      <c r="B5" s="128" t="str">
        <f t="shared" ref="B5:B10" si="0">+IF(F5=0,0,MID(F5,LEN(F5)-3,1))</f>
        <v>3</v>
      </c>
      <c r="C5" s="15">
        <v>1</v>
      </c>
      <c r="D5" s="15" t="s">
        <v>365</v>
      </c>
      <c r="E5" s="47" t="str">
        <f t="shared" ref="E5:E10" si="1">+IF(F5=0,0,CONCATENATE(MID(F5,FIND("-",F5,1)+1,4),"ORAS"))</f>
        <v>15 HORAS</v>
      </c>
      <c r="F5" s="12" t="s">
        <v>320</v>
      </c>
      <c r="G5" s="11">
        <f>+IF(F5="","",VLOOKUP(F5,$H$139:$I$185,2,FALSE))</f>
        <v>514916</v>
      </c>
      <c r="H5" s="1"/>
      <c r="I5" s="17" t="s">
        <v>12</v>
      </c>
      <c r="J5" s="12" t="s">
        <v>54</v>
      </c>
      <c r="K5" s="103" t="str">
        <f t="shared" ref="K5" si="2">+IF(O5=0,0,MID(O5,LEN(O5)-3,1))</f>
        <v>3</v>
      </c>
      <c r="L5" s="14">
        <v>1</v>
      </c>
      <c r="M5" s="15" t="s">
        <v>365</v>
      </c>
      <c r="N5" s="47" t="str">
        <f>+IF(O5=0,0,CONCATENATE(MID(O5,FIND("-",O5,1)+1,4),"ORAS"))</f>
        <v>15 HORAS</v>
      </c>
      <c r="O5" s="12" t="s">
        <v>335</v>
      </c>
      <c r="P5" s="11">
        <f>+IF(O5="","",VLOOKUP(O5,$H$139:$I$185,2,FALSE))</f>
        <v>443323</v>
      </c>
      <c r="Q5" s="1"/>
      <c r="R5" s="17"/>
      <c r="S5" s="18"/>
      <c r="T5" s="103"/>
      <c r="U5" s="19"/>
      <c r="V5" s="20"/>
      <c r="W5" s="47"/>
      <c r="X5" s="12">
        <v>0</v>
      </c>
      <c r="Y5" s="11">
        <f>+IF(X5="","",VLOOKUP(X5,$H$139:$I$185,2,FALSE))</f>
        <v>0</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4" t="s">
        <v>11</v>
      </c>
      <c r="J6" s="113" t="s">
        <v>388</v>
      </c>
      <c r="K6" s="103">
        <v>3</v>
      </c>
      <c r="L6" s="14">
        <v>1</v>
      </c>
      <c r="M6" s="15" t="s">
        <v>365</v>
      </c>
      <c r="N6" s="47" t="str">
        <f>+IF(O6=0,0,CONCATENATE(MID(O6,FIND("-",O6,1)+1,4),"ORAS"))</f>
        <v>15 HORAS</v>
      </c>
      <c r="O6" s="12" t="s">
        <v>320</v>
      </c>
      <c r="P6" s="11">
        <f>+IF(O6="","",VLOOKUP(O6,$H$139:$I$185,2,FALSE))</f>
        <v>514916</v>
      </c>
      <c r="Q6" s="1"/>
      <c r="R6" s="17"/>
      <c r="S6" s="18"/>
      <c r="T6" s="103"/>
      <c r="U6" s="19"/>
      <c r="V6" s="20"/>
      <c r="W6" s="47"/>
      <c r="X6" s="12">
        <v>0</v>
      </c>
      <c r="Y6" s="11">
        <f>+IF(X6="","",VLOOKUP(X6,$H$139:$I$185,2,FALSE))</f>
        <v>0</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12"/>
      <c r="J7" s="12"/>
      <c r="K7" s="103"/>
      <c r="L7" s="14"/>
      <c r="M7" s="15"/>
      <c r="N7" s="12"/>
      <c r="O7" s="12"/>
      <c r="P7" s="11" t="str">
        <f>+IF(O7="","",VLOOKUP(O7,$H$139:$I$185,2,FALSE))</f>
        <v/>
      </c>
      <c r="Q7" s="1"/>
      <c r="R7" s="29"/>
      <c r="S7" s="30"/>
      <c r="T7" s="103"/>
      <c r="U7" s="31"/>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12"/>
      <c r="J8" s="12"/>
      <c r="K8" s="103"/>
      <c r="L8" s="14"/>
      <c r="M8" s="15"/>
      <c r="N8" s="12"/>
      <c r="O8" s="12"/>
      <c r="P8" s="11"/>
      <c r="Q8" s="1"/>
      <c r="R8" s="17"/>
      <c r="S8" s="18"/>
      <c r="T8" s="19"/>
      <c r="U8" s="19">
        <f>+U4+U5+U6+U7</f>
        <v>0</v>
      </c>
      <c r="V8" s="15"/>
      <c r="W8" s="12"/>
      <c r="X8" s="12">
        <v>0</v>
      </c>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34"/>
      <c r="T9" s="34"/>
      <c r="U9" s="34"/>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34"/>
      <c r="T10" s="34"/>
      <c r="U10" s="34"/>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
      <c r="T11" s="34"/>
      <c r="U11" s="34"/>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
      <c r="T12" s="34"/>
      <c r="U12" s="34"/>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3">+IF(F16=0,0,MID(F16,LEN(F16)-3,1))</f>
        <v>3</v>
      </c>
      <c r="C16" s="31">
        <v>1</v>
      </c>
      <c r="D16" s="10" t="s">
        <v>365</v>
      </c>
      <c r="E16" s="47" t="str">
        <f t="shared" ref="E16" si="4">+IF(F16=0,0,CONCATENATE(MID(F16,FIND("-",F16,1)+1,4),"ORAS"))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9"/>
      <c r="D18" s="15"/>
      <c r="E18" s="12"/>
      <c r="F18" s="12"/>
      <c r="G18" s="11"/>
      <c r="H18" s="1"/>
      <c r="I18" s="4" t="s">
        <v>11</v>
      </c>
      <c r="J18" s="12" t="s">
        <v>374</v>
      </c>
      <c r="K18" s="103" t="str">
        <f t="shared" ref="K18" si="5">+IF(O18=0,0,MID(O18,LEN(O18)-3,1))</f>
        <v>3</v>
      </c>
      <c r="L18" s="27">
        <v>1</v>
      </c>
      <c r="M18" s="15" t="s">
        <v>365</v>
      </c>
      <c r="N18" s="47" t="str">
        <f>+IF(O18=0,0,CONCATENATE(MID(O18,FIND("-",O18,1)+1,4),"ORAS"))</f>
        <v>15 HORAS</v>
      </c>
      <c r="O18" s="12" t="s">
        <v>320</v>
      </c>
      <c r="P18" s="11">
        <f>+IF(O18="","",VLOOKUP(O18,$H$139:$I$185,2,FALSE))</f>
        <v>514916</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+B13+B16</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f>
        <v>9</v>
      </c>
      <c r="L25" s="136">
        <f>SUM(L4:L24)</f>
        <v>4</v>
      </c>
      <c r="M25" s="60"/>
      <c r="N25" s="60"/>
      <c r="O25" s="60"/>
      <c r="P25" s="137">
        <f>SUM(P4:P23)</f>
        <v>1712417</v>
      </c>
      <c r="Q25" s="1"/>
      <c r="R25" s="1"/>
      <c r="S25" s="62" t="s">
        <v>31</v>
      </c>
      <c r="T25" s="140">
        <f>+T15+T16+T4+T5+T6+T7</f>
        <v>5</v>
      </c>
      <c r="U25" s="140">
        <f>SUM(U4:U7)</f>
        <v>0</v>
      </c>
      <c r="V25" s="62"/>
      <c r="W25" s="62"/>
      <c r="X25" s="62"/>
      <c r="Y25" s="63">
        <f>SUM(Y4:Y22)</f>
        <v>1253615</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 si="6">+IF(F27=0,0,MID(F27,LEN(F27)-3,1))</f>
        <v>4</v>
      </c>
      <c r="C27" s="68">
        <v>1</v>
      </c>
      <c r="D27" s="20" t="s">
        <v>365</v>
      </c>
      <c r="E27" s="47" t="str">
        <f t="shared" ref="E27" si="7">+IF(F27=0,0,CONCATENATE(MID(F27,FIND("-",F27,1)+1,4),"ORAS"))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c r="B28" s="102"/>
      <c r="C28" s="68"/>
      <c r="D28" s="20"/>
      <c r="E28" s="47"/>
      <c r="F28" s="12"/>
      <c r="G28" s="11" t="str">
        <f>+IF(F28="","",VLOOKUP(F28,$H$139:$I$185,2,FALSE))</f>
        <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44" t="s">
        <v>38</v>
      </c>
      <c r="B34" s="102" t="str">
        <f t="shared" ref="B34" si="8">+IF(F34=0,0,MID(F34,LEN(F34)-3,1))</f>
        <v>3</v>
      </c>
      <c r="C34" s="70">
        <v>1</v>
      </c>
      <c r="D34" s="20" t="s">
        <v>365</v>
      </c>
      <c r="E34" s="47" t="str">
        <f t="shared" ref="E34" si="9">+IF(F34=0,0,CONCATENATE(MID(F34,FIND("-",F34,1)+1,4),"ORAS"))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c r="B35" s="102"/>
      <c r="C35" s="70"/>
      <c r="D35" s="20"/>
      <c r="E35" s="47"/>
      <c r="F35" s="12"/>
      <c r="G35" s="11" t="str">
        <f>+IF(F35="","",VLOOKUP(F35,$H$139:$I$185,2,FALSE))</f>
        <v/>
      </c>
      <c r="H35" s="1"/>
      <c r="I35" s="1"/>
      <c r="J35" s="1"/>
      <c r="K35" s="1"/>
      <c r="L35" s="1"/>
      <c r="M35" s="1"/>
      <c r="N35" s="1"/>
      <c r="O35" s="1"/>
      <c r="P35" s="1"/>
      <c r="Q35" s="1"/>
      <c r="R35" s="1"/>
      <c r="S35" s="1"/>
      <c r="T35" s="1"/>
      <c r="U35" s="1"/>
      <c r="V35" s="1"/>
      <c r="W35" s="1"/>
      <c r="X35" s="1"/>
      <c r="Y35" s="1"/>
    </row>
    <row r="36" spans="1:25" ht="15.75" x14ac:dyDescent="0.25">
      <c r="A36" s="53"/>
      <c r="B36" s="102"/>
      <c r="C36" s="70"/>
      <c r="D36" s="20"/>
      <c r="E36" s="47"/>
      <c r="F36" s="12"/>
      <c r="G36" s="11" t="str">
        <f>+IF(F36="","",VLOOKUP(F36,$H$139:$I$185,2,FALSE))</f>
        <v/>
      </c>
      <c r="H36" s="1"/>
      <c r="I36" s="1"/>
      <c r="J36" s="1"/>
      <c r="K36" s="1"/>
      <c r="L36" s="1"/>
      <c r="M36" s="1"/>
      <c r="N36" s="1"/>
      <c r="O36" s="1"/>
      <c r="P36" s="1"/>
      <c r="Q36" s="1"/>
      <c r="R36" s="1"/>
      <c r="S36" s="1"/>
      <c r="T36" s="1"/>
      <c r="U36" s="1"/>
      <c r="V36" s="1"/>
      <c r="W36" s="1"/>
      <c r="X36" s="1"/>
      <c r="Y36" s="1"/>
    </row>
    <row r="37" spans="1:25" ht="15.75" x14ac:dyDescent="0.25">
      <c r="A37" s="32"/>
      <c r="B37" s="102"/>
      <c r="C37" s="70"/>
      <c r="D37" s="20"/>
      <c r="E37" s="47"/>
      <c r="F37" s="12"/>
      <c r="G37" s="11" t="str">
        <f>+IF(F37="","",VLOOKUP(F37,$H$139:$I$185,2,FALSE))</f>
        <v/>
      </c>
      <c r="H37" s="1"/>
      <c r="I37" s="1"/>
      <c r="J37" s="1"/>
      <c r="K37" s="1"/>
      <c r="L37" s="1"/>
      <c r="M37" s="1"/>
      <c r="N37" s="1"/>
      <c r="O37" s="1"/>
      <c r="P37" s="1"/>
      <c r="Q37" s="1"/>
      <c r="R37" s="1"/>
      <c r="S37" s="1"/>
      <c r="T37" s="1"/>
      <c r="U37" s="1"/>
      <c r="V37" s="1"/>
      <c r="W37" s="1"/>
      <c r="X37" s="1"/>
      <c r="Y37" s="1"/>
    </row>
    <row r="38" spans="1:25" ht="15.75" x14ac:dyDescent="0.25">
      <c r="A38" s="32"/>
      <c r="B38" s="102"/>
      <c r="C38" s="70"/>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10</v>
      </c>
      <c r="C40" s="51">
        <f>SUM(C26:C31)+C34+C35+C36+C37+C38+C39</f>
        <v>3</v>
      </c>
      <c r="D40" s="51"/>
      <c r="E40" s="47">
        <f t="shared" ref="E40" si="10">+IF(F40=0,0,CONCATENATE(MID(F40,FIND("-",F40,1)+1,3),"ORAS"))</f>
        <v>0</v>
      </c>
      <c r="F40" s="51"/>
      <c r="G40" s="147">
        <f>SUM(G26:G31)+G34</f>
        <v>1541203</v>
      </c>
      <c r="H40" s="1"/>
      <c r="I40" s="1"/>
      <c r="J40" s="1"/>
      <c r="K40" s="1"/>
      <c r="L40" s="1"/>
      <c r="M40" s="1"/>
      <c r="N40" s="1"/>
      <c r="O40" s="1"/>
      <c r="P40" s="1"/>
      <c r="Q40" s="1"/>
      <c r="R40" s="1"/>
      <c r="S40" s="1"/>
      <c r="T40" s="1"/>
      <c r="U40" s="1"/>
      <c r="V40" s="1"/>
      <c r="W40" s="1"/>
      <c r="X40" s="1"/>
      <c r="Y40" s="1"/>
    </row>
    <row r="41" spans="1:25" ht="15.75" x14ac:dyDescent="0.2">
      <c r="A41" s="414" t="s">
        <v>40</v>
      </c>
      <c r="B41" s="415"/>
      <c r="C41" s="415"/>
      <c r="D41" s="415"/>
      <c r="E41" s="415"/>
      <c r="F41" s="415"/>
      <c r="G41" s="416"/>
      <c r="H41" s="1"/>
      <c r="I41" s="1"/>
      <c r="J41" s="1"/>
      <c r="K41" s="1"/>
      <c r="L41" s="1"/>
      <c r="M41" s="1"/>
      <c r="N41" s="1"/>
      <c r="O41" s="1"/>
      <c r="P41" s="1"/>
      <c r="Q41" s="1"/>
      <c r="R41" s="1"/>
      <c r="S41" s="1"/>
      <c r="T41" s="1"/>
      <c r="U41" s="1"/>
      <c r="V41" s="1"/>
      <c r="W41" s="1"/>
      <c r="X41" s="1"/>
      <c r="Y41" s="1"/>
    </row>
    <row r="42" spans="1:25" ht="15.75" x14ac:dyDescent="0.2">
      <c r="A42" s="414" t="s">
        <v>1</v>
      </c>
      <c r="B42" s="415"/>
      <c r="C42" s="415"/>
      <c r="D42" s="415"/>
      <c r="E42" s="415"/>
      <c r="F42" s="415"/>
      <c r="G42" s="416"/>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70"/>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11" t="s">
        <v>22</v>
      </c>
      <c r="B52" s="412"/>
      <c r="C52" s="412"/>
      <c r="D52" s="412"/>
      <c r="E52" s="412"/>
      <c r="F52" s="412"/>
      <c r="G52" s="41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 si="11">+IF(F54=0,0,MID(F54,LEN(F54)-3,1))</f>
        <v>3</v>
      </c>
      <c r="C54" s="70">
        <v>1</v>
      </c>
      <c r="D54" s="20" t="s">
        <v>365</v>
      </c>
      <c r="E54" s="47" t="str">
        <f>+IF(F54=0,0,CONCATENATE(MID(F54,FIND("-",F54,1)+1,4),"ORAS"))</f>
        <v>15 HORAS</v>
      </c>
      <c r="F54" s="12" t="s">
        <v>335</v>
      </c>
      <c r="G54" s="11">
        <f t="shared" ref="G54:G63" si="12">+IF(F54="","",VLOOKUP(F54,$H$139:$I$185,2,FALSE))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ref="B55:B63" si="13">+IF(F55=0,0,MID(F55,LEN(F55)-3,1))</f>
        <v>3</v>
      </c>
      <c r="C55" s="70">
        <v>1</v>
      </c>
      <c r="D55" s="20" t="s">
        <v>365</v>
      </c>
      <c r="E55" s="47" t="str">
        <f t="shared" ref="E55:E63" si="14">+IF(F55=0,0,CONCATENATE(MID(F55,FIND("-",F55,1)+1,4),"ORAS"))</f>
        <v>15 HORAS</v>
      </c>
      <c r="F55" s="12" t="s">
        <v>335</v>
      </c>
      <c r="G55" s="11">
        <f t="shared" si="12"/>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13"/>
        <v>3</v>
      </c>
      <c r="C56" s="70">
        <v>1</v>
      </c>
      <c r="D56" s="20" t="s">
        <v>365</v>
      </c>
      <c r="E56" s="47" t="str">
        <f t="shared" si="14"/>
        <v>15 HORAS</v>
      </c>
      <c r="F56" s="12" t="s">
        <v>335</v>
      </c>
      <c r="G56" s="11">
        <f t="shared" si="12"/>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13"/>
        <v>3</v>
      </c>
      <c r="C57" s="70">
        <v>1</v>
      </c>
      <c r="D57" s="20" t="s">
        <v>365</v>
      </c>
      <c r="E57" s="47" t="str">
        <f t="shared" si="14"/>
        <v>15 HORAS</v>
      </c>
      <c r="F57" s="12" t="s">
        <v>335</v>
      </c>
      <c r="G57" s="11">
        <f t="shared" si="12"/>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13"/>
        <v>3</v>
      </c>
      <c r="C58" s="70">
        <v>1</v>
      </c>
      <c r="D58" s="20" t="s">
        <v>365</v>
      </c>
      <c r="E58" s="47" t="str">
        <f t="shared" si="14"/>
        <v>15 HORAS</v>
      </c>
      <c r="F58" s="12" t="s">
        <v>335</v>
      </c>
      <c r="G58" s="11">
        <f t="shared" si="12"/>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13"/>
        <v>3</v>
      </c>
      <c r="C59" s="70">
        <v>1</v>
      </c>
      <c r="D59" s="20" t="s">
        <v>365</v>
      </c>
      <c r="E59" s="47" t="str">
        <f t="shared" si="14"/>
        <v>15 HORAS</v>
      </c>
      <c r="F59" s="12" t="s">
        <v>335</v>
      </c>
      <c r="G59" s="11">
        <f t="shared" si="12"/>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13"/>
        <v>3</v>
      </c>
      <c r="C60" s="70">
        <v>1</v>
      </c>
      <c r="D60" s="20" t="s">
        <v>365</v>
      </c>
      <c r="E60" s="47" t="str">
        <f t="shared" si="14"/>
        <v>15 HORAS</v>
      </c>
      <c r="F60" s="12" t="s">
        <v>335</v>
      </c>
      <c r="G60" s="11">
        <f t="shared" si="12"/>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13"/>
        <v>3</v>
      </c>
      <c r="C61" s="70">
        <v>1</v>
      </c>
      <c r="D61" s="20" t="s">
        <v>365</v>
      </c>
      <c r="E61" s="47" t="str">
        <f t="shared" si="14"/>
        <v>15 HORAS</v>
      </c>
      <c r="F61" s="12" t="s">
        <v>335</v>
      </c>
      <c r="G61" s="11">
        <f t="shared" si="12"/>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13"/>
        <v>3</v>
      </c>
      <c r="C62" s="70">
        <v>1</v>
      </c>
      <c r="D62" s="20" t="s">
        <v>365</v>
      </c>
      <c r="E62" s="47" t="str">
        <f t="shared" si="14"/>
        <v>15 HORAS</v>
      </c>
      <c r="F62" s="12" t="s">
        <v>335</v>
      </c>
      <c r="G62" s="11">
        <f t="shared" si="12"/>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13"/>
        <v>3</v>
      </c>
      <c r="C63" s="70">
        <v>1</v>
      </c>
      <c r="D63" s="20" t="s">
        <v>365</v>
      </c>
      <c r="E63" s="47" t="str">
        <f t="shared" si="14"/>
        <v>15 HORAS</v>
      </c>
      <c r="F63" s="12" t="s">
        <v>335</v>
      </c>
      <c r="G63" s="11">
        <f t="shared" si="12"/>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70"/>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10158264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378</v>
      </c>
      <c r="K68" s="144">
        <f>K25+B67+T25+AB25</f>
        <v>80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25</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13124296</v>
      </c>
      <c r="L70" s="380"/>
      <c r="M70" s="98">
        <f>G22+P18+Y20+P6</f>
        <v>5586897</v>
      </c>
      <c r="N70" s="98">
        <f>G40+P4+P5+Y4+Y5+Y6+Y7+Y15+Y16+Y21</f>
        <v>2730935</v>
      </c>
      <c r="O70" s="98">
        <f>G65+Y22</f>
        <v>4806464</v>
      </c>
      <c r="P70" s="109">
        <f>SUM(M70:O70)</f>
        <v>13124296</v>
      </c>
      <c r="R70" s="108"/>
      <c r="S70" s="99"/>
      <c r="T70" s="1"/>
      <c r="U70" s="1"/>
      <c r="V70" s="1"/>
      <c r="W70" s="1"/>
      <c r="X70" s="1"/>
      <c r="Y70" s="1"/>
    </row>
    <row r="71" spans="1:31" ht="13.5" thickBot="1" x14ac:dyDescent="0.25"/>
    <row r="72" spans="1:31" ht="36" customHeight="1" thickBot="1" x14ac:dyDescent="0.25">
      <c r="A72" s="408" t="s">
        <v>379</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4" t="s">
        <v>387</v>
      </c>
      <c r="B73" s="405"/>
      <c r="C73" s="405"/>
      <c r="D73" s="405"/>
      <c r="E73" s="405"/>
      <c r="F73" s="405"/>
      <c r="G73" s="405"/>
      <c r="H73" s="405"/>
      <c r="I73" s="405"/>
      <c r="J73" s="405"/>
      <c r="K73" s="405"/>
      <c r="L73" s="405"/>
      <c r="M73" s="405"/>
      <c r="N73" s="405"/>
      <c r="O73" s="405"/>
      <c r="P73" s="405"/>
      <c r="Q73" s="405"/>
      <c r="R73" s="405"/>
      <c r="S73" s="405"/>
      <c r="T73" s="405"/>
      <c r="U73" s="405"/>
      <c r="V73" s="405"/>
      <c r="W73" s="405"/>
      <c r="X73" s="405"/>
      <c r="Y73" s="405"/>
      <c r="Z73" s="405"/>
      <c r="AA73" s="405"/>
      <c r="AB73" s="405"/>
      <c r="AC73" s="405"/>
      <c r="AD73" s="405"/>
      <c r="AE73" s="405"/>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1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1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15"/>
        <v>42.OPERARIO-6-H</v>
      </c>
    </row>
    <row r="182" spans="6:14" s="114" customFormat="1" hidden="1" x14ac:dyDescent="0.2">
      <c r="F182" s="114" t="s">
        <v>310</v>
      </c>
      <c r="G182" s="114" t="s">
        <v>268</v>
      </c>
      <c r="H182" s="114" t="s">
        <v>361</v>
      </c>
      <c r="I182" s="115">
        <v>628232</v>
      </c>
      <c r="N182" s="114" t="str">
        <f t="shared" si="15"/>
        <v>43.BOGOTA-REGION-40m³-</v>
      </c>
    </row>
    <row r="183" spans="6:14" s="114" customFormat="1" hidden="1" x14ac:dyDescent="0.2">
      <c r="F183" s="114" t="s">
        <v>311</v>
      </c>
      <c r="G183" s="114" t="s">
        <v>269</v>
      </c>
      <c r="H183" s="114" t="s">
        <v>362</v>
      </c>
      <c r="I183" s="115">
        <v>562619</v>
      </c>
      <c r="N183" s="114" t="str">
        <f t="shared" si="15"/>
        <v>44.BOGOTA-REGION-25m³-</v>
      </c>
    </row>
    <row r="184" spans="6:14" s="114" customFormat="1" hidden="1" x14ac:dyDescent="0.2">
      <c r="F184" s="114" t="s">
        <v>312</v>
      </c>
      <c r="G184" s="114" t="s">
        <v>270</v>
      </c>
      <c r="H184" s="114" t="s">
        <v>363</v>
      </c>
      <c r="I184" s="115">
        <v>418264</v>
      </c>
      <c r="N184" s="114" t="str">
        <f t="shared" si="15"/>
        <v>45.BOGOTA-REGION-FURGON-</v>
      </c>
    </row>
    <row r="185" spans="6:14" s="114" customFormat="1" hidden="1" x14ac:dyDescent="0.2">
      <c r="F185" s="114" t="s">
        <v>313</v>
      </c>
      <c r="G185" s="114" t="s">
        <v>271</v>
      </c>
      <c r="H185" s="114" t="s">
        <v>364</v>
      </c>
      <c r="I185" s="115">
        <v>288714</v>
      </c>
      <c r="N185" s="114" t="str">
        <f t="shared" si="15"/>
        <v>46.BOGOTA-REGION-4X4</v>
      </c>
    </row>
    <row r="186" spans="6:14" x14ac:dyDescent="0.2">
      <c r="H186" s="2" t="s">
        <v>318</v>
      </c>
      <c r="N186" s="2" t="str">
        <f t="shared" si="15"/>
        <v/>
      </c>
    </row>
  </sheetData>
  <sheetProtection selectLockedCells="1" selectUnlockedCells="1"/>
  <mergeCells count="23">
    <mergeCell ref="AA2:AE2"/>
    <mergeCell ref="R13:Y13"/>
    <mergeCell ref="A1:G1"/>
    <mergeCell ref="A2:G2"/>
    <mergeCell ref="I2:P2"/>
    <mergeCell ref="R2:Y2"/>
    <mergeCell ref="A14:G14"/>
    <mergeCell ref="I16:P16"/>
    <mergeCell ref="A23:G23"/>
    <mergeCell ref="A24:G24"/>
    <mergeCell ref="A32:G32"/>
    <mergeCell ref="A93:A95"/>
    <mergeCell ref="R18:Y18"/>
    <mergeCell ref="J46:P65"/>
    <mergeCell ref="K70:L70"/>
    <mergeCell ref="A82:A84"/>
    <mergeCell ref="A88:A90"/>
    <mergeCell ref="B88:B90"/>
    <mergeCell ref="A73:AE79"/>
    <mergeCell ref="A72:AE72"/>
    <mergeCell ref="A52:G52"/>
    <mergeCell ref="A42:G42"/>
    <mergeCell ref="A41:G41"/>
  </mergeCells>
  <phoneticPr fontId="28" type="noConversion"/>
  <dataValidations count="3">
    <dataValidation type="list" allowBlank="1" showInputMessage="1" showErrorMessage="1" sqref="F29 F8:F13 F20:F21" xr:uid="{00000000-0002-0000-0200-000001000000}">
      <formula1>$H$140:$H$185</formula1>
    </dataValidation>
    <dataValidation type="list" allowBlank="1" showInputMessage="1" showErrorMessage="1" sqref="F4:F7 F16:F19 X15:X16 F30:F31 F26:F28 F46:F51 X20:X22 X4:X8 O18:O24 F34:F38 F54:F64 O4:O15" xr:uid="{65600FCB-AAA1-4736-93DF-1E536ABDE7DB}">
      <formula1>$H$139:$H$185</formula1>
    </dataValidation>
    <dataValidation type="list" allowBlank="1" showInputMessage="1" showErrorMessage="1" sqref="F39" xr:uid="{5FABA9C1-8797-4655-A84D-D322D6ADD3DD}">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F635E-581F-E649-9938-D4C9617E7A54}">
  <sheetPr>
    <tabColor rgb="FFFF0000"/>
  </sheetPr>
  <dimension ref="A1:AE186"/>
  <sheetViews>
    <sheetView view="pageBreakPreview" topLeftCell="H43" zoomScale="90" zoomScaleNormal="59" zoomScaleSheetLayoutView="90" workbookViewId="0">
      <selection activeCell="Q65" sqref="Q65"/>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7.7109375" style="2" customWidth="1"/>
    <col min="12" max="12" width="14.28515625" style="2" customWidth="1"/>
    <col min="13" max="13" width="20.85546875" style="2" customWidth="1"/>
    <col min="14" max="14" width="25.7109375" style="2" customWidth="1"/>
    <col min="15" max="15" width="44.7109375" style="2" customWidth="1"/>
    <col min="16" max="16" width="16.140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855468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 t="shared" ref="N4:N9" si="0">+IF(O4=0,0,CONCATENATE(MID(O4,FIND("-",O4,1)+1,4),"ORAS"))</f>
        <v>15 HORAS</v>
      </c>
      <c r="O4" s="12" t="s">
        <v>349</v>
      </c>
      <c r="P4" s="11">
        <f>+IF(O4="","",VLOOKUP(O4,$H$139:$I$185,2,FALSE))</f>
        <v>239262</v>
      </c>
      <c r="Q4" s="1"/>
      <c r="R4" s="17" t="s">
        <v>12</v>
      </c>
      <c r="S4" s="18" t="s">
        <v>13</v>
      </c>
      <c r="T4" s="103" t="str">
        <f t="shared" ref="T4:T6" si="1">+IF(X4=0,0,MID(X4,LEN(X4)-3,1))</f>
        <v>4</v>
      </c>
      <c r="U4" s="1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7" si="2">+IF(F5=0,0,MID(F5,LEN(F5)-3,1))</f>
        <v>3</v>
      </c>
      <c r="C5" s="15">
        <v>1</v>
      </c>
      <c r="D5" s="15" t="s">
        <v>365</v>
      </c>
      <c r="E5" s="47" t="str">
        <f t="shared" ref="E5:E7" si="3">+IF(F5=0,0,CONCATENATE(MID(F5,FIND("-",F5,1)+1,4),"ORAS"))</f>
        <v>15 HORAS</v>
      </c>
      <c r="F5" s="12" t="s">
        <v>320</v>
      </c>
      <c r="G5" s="11">
        <f>+IF(F5="","",VLOOKUP(F5,$H$139:$I$185,2,FALSE))</f>
        <v>514916</v>
      </c>
      <c r="H5" s="1"/>
      <c r="I5" s="4" t="s">
        <v>11</v>
      </c>
      <c r="J5" s="12" t="s">
        <v>389</v>
      </c>
      <c r="K5" s="103">
        <v>2</v>
      </c>
      <c r="L5" s="14">
        <v>1</v>
      </c>
      <c r="M5" s="15" t="s">
        <v>365</v>
      </c>
      <c r="N5" s="47" t="str">
        <f t="shared" si="0"/>
        <v>15 HORAS</v>
      </c>
      <c r="O5" s="12" t="s">
        <v>336</v>
      </c>
      <c r="P5" s="11">
        <f>+IF(O5="","",VLOOKUP(O5,$H$139:$I$185,2,FALSE))</f>
        <v>388652</v>
      </c>
      <c r="Q5" s="1"/>
      <c r="R5" s="17" t="s">
        <v>12</v>
      </c>
      <c r="S5" s="18" t="s">
        <v>15</v>
      </c>
      <c r="T5" s="103" t="str">
        <f t="shared" si="1"/>
        <v>4</v>
      </c>
      <c r="U5" s="1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2"/>
        <v>3</v>
      </c>
      <c r="C6" s="15">
        <v>1</v>
      </c>
      <c r="D6" s="15" t="s">
        <v>365</v>
      </c>
      <c r="E6" s="47" t="str">
        <f t="shared" si="3"/>
        <v>15 HORAS</v>
      </c>
      <c r="F6" s="12" t="s">
        <v>320</v>
      </c>
      <c r="G6" s="11">
        <f>+IF(F6="","",VLOOKUP(F6,$H$139:$I$185,2,FALSE))</f>
        <v>514916</v>
      </c>
      <c r="H6" s="1"/>
      <c r="I6" s="4" t="s">
        <v>11</v>
      </c>
      <c r="J6" s="12" t="s">
        <v>392</v>
      </c>
      <c r="K6" s="103">
        <v>1</v>
      </c>
      <c r="L6" s="14">
        <v>1</v>
      </c>
      <c r="M6" s="15" t="s">
        <v>365</v>
      </c>
      <c r="N6" s="47" t="str">
        <f t="shared" si="0"/>
        <v>04 HORAS</v>
      </c>
      <c r="O6" s="12" t="s">
        <v>347</v>
      </c>
      <c r="P6" s="11">
        <f>+IF(O6="","",VLOOKUP(O6,$H$139:$I$185,2,FALSE))</f>
        <v>236854</v>
      </c>
      <c r="Q6" s="1"/>
      <c r="R6" s="17" t="s">
        <v>12</v>
      </c>
      <c r="S6" s="18" t="s">
        <v>17</v>
      </c>
      <c r="T6" s="103" t="str">
        <f t="shared" si="1"/>
        <v>4</v>
      </c>
      <c r="U6" s="1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2"/>
        <v>3</v>
      </c>
      <c r="C7" s="15">
        <v>1</v>
      </c>
      <c r="D7" s="15" t="s">
        <v>365</v>
      </c>
      <c r="E7" s="47" t="str">
        <f t="shared" si="3"/>
        <v>15 HORAS</v>
      </c>
      <c r="F7" s="12" t="s">
        <v>320</v>
      </c>
      <c r="G7" s="11">
        <f>+IF(F7="","",VLOOKUP(F7,$H$139:$I$185,2,FALSE))</f>
        <v>514916</v>
      </c>
      <c r="H7" s="1"/>
      <c r="I7" s="17" t="s">
        <v>12</v>
      </c>
      <c r="J7" s="12" t="s">
        <v>392</v>
      </c>
      <c r="K7" s="103">
        <v>1</v>
      </c>
      <c r="L7" s="14">
        <v>1</v>
      </c>
      <c r="M7" s="15" t="s">
        <v>365</v>
      </c>
      <c r="N7" s="47" t="str">
        <f t="shared" si="0"/>
        <v>04 HORAS</v>
      </c>
      <c r="O7" s="12" t="s">
        <v>347</v>
      </c>
      <c r="P7" s="11">
        <f>+IF(O7="","",VLOOKUP(O7,$H$139:$I$185,2,FALSE))</f>
        <v>236854</v>
      </c>
      <c r="Q7" s="1"/>
      <c r="R7" s="29"/>
      <c r="S7" s="30"/>
      <c r="T7" s="103"/>
      <c r="U7" s="31"/>
      <c r="V7" s="10"/>
      <c r="W7" s="47"/>
      <c r="X7" s="12"/>
      <c r="Y7" s="11" t="str">
        <f>+IF(X7="","",VLOOKUP(X7,$H$139:$I$185,2,FALSE))</f>
        <v/>
      </c>
      <c r="AA7" s="21"/>
      <c r="AB7" s="21"/>
      <c r="AC7" s="21"/>
      <c r="AD7" s="21"/>
      <c r="AE7" s="21"/>
    </row>
    <row r="8" spans="1:31" ht="15.75" x14ac:dyDescent="0.25">
      <c r="A8" s="127" t="s">
        <v>366</v>
      </c>
      <c r="B8" s="128" t="str">
        <f t="shared" ref="B8:B9" si="4">+IF(F8=0,0,MID(F8,LEN(F8)-3,1))</f>
        <v>4</v>
      </c>
      <c r="C8" s="15">
        <v>1</v>
      </c>
      <c r="D8" s="15" t="s">
        <v>365</v>
      </c>
      <c r="E8" s="47" t="str">
        <f t="shared" ref="E8:E9" si="5">+IF(F8=0,0,CONCATENATE(MID(F8,FIND("-",F8,1)+1,4),"ORAS"))</f>
        <v>15 HORAS</v>
      </c>
      <c r="F8" s="12" t="s">
        <v>319</v>
      </c>
      <c r="G8" s="11">
        <f>+IF(C8=0,0,IF(F8="","",VLOOKUP(F8,$H$139:$I$185,2,FALSE))*C8)</f>
        <v>582964</v>
      </c>
      <c r="H8" s="1"/>
      <c r="I8" s="138" t="s">
        <v>57</v>
      </c>
      <c r="J8" s="12" t="s">
        <v>392</v>
      </c>
      <c r="K8" s="103">
        <v>1</v>
      </c>
      <c r="L8" s="14">
        <v>1</v>
      </c>
      <c r="M8" s="15" t="s">
        <v>365</v>
      </c>
      <c r="N8" s="47" t="str">
        <f t="shared" si="0"/>
        <v>04 HORAS</v>
      </c>
      <c r="O8" s="12" t="s">
        <v>347</v>
      </c>
      <c r="P8" s="11">
        <f>+IF(O8="","",VLOOKUP(O8,$H$139:$I$185,2,FALSE))</f>
        <v>236854</v>
      </c>
      <c r="Q8" s="1"/>
      <c r="R8" s="17"/>
      <c r="S8" s="18"/>
      <c r="T8" s="19"/>
      <c r="U8" s="19">
        <f>+U4+U5+U6+U7</f>
        <v>3</v>
      </c>
      <c r="V8" s="15"/>
      <c r="W8" s="12"/>
      <c r="X8" s="12"/>
      <c r="Y8" s="139"/>
      <c r="AA8" s="21"/>
      <c r="AB8" s="21"/>
      <c r="AC8" s="21"/>
      <c r="AD8" s="21"/>
      <c r="AE8" s="21"/>
    </row>
    <row r="9" spans="1:31" ht="15.75" x14ac:dyDescent="0.25">
      <c r="A9" s="127" t="s">
        <v>248</v>
      </c>
      <c r="B9" s="128" t="str">
        <f t="shared" si="4"/>
        <v>4</v>
      </c>
      <c r="C9" s="15">
        <v>1</v>
      </c>
      <c r="D9" s="15" t="s">
        <v>365</v>
      </c>
      <c r="E9" s="47" t="str">
        <f t="shared" si="5"/>
        <v>15 HORAS</v>
      </c>
      <c r="F9" s="12" t="s">
        <v>319</v>
      </c>
      <c r="G9" s="11">
        <f>+IF(F9="","",VLOOKUP(F9,$H$139:$I$185,2,FALSE))</f>
        <v>582964</v>
      </c>
      <c r="H9" s="1"/>
      <c r="I9" s="17" t="s">
        <v>12</v>
      </c>
      <c r="J9" s="113" t="s">
        <v>396</v>
      </c>
      <c r="K9" s="103">
        <v>2</v>
      </c>
      <c r="L9" s="14">
        <v>1</v>
      </c>
      <c r="M9" s="15" t="s">
        <v>365</v>
      </c>
      <c r="N9" s="47" t="str">
        <f t="shared" si="0"/>
        <v>15 HORAS</v>
      </c>
      <c r="O9" s="12" t="s">
        <v>349</v>
      </c>
      <c r="P9" s="110"/>
      <c r="Q9" s="1"/>
      <c r="R9" s="33"/>
      <c r="S9" s="34"/>
      <c r="T9" s="34"/>
      <c r="U9" s="34"/>
      <c r="V9" s="35"/>
      <c r="W9" s="35"/>
      <c r="X9" s="35"/>
      <c r="Y9" s="1"/>
      <c r="AA9" s="21"/>
      <c r="AB9" s="21"/>
      <c r="AC9" s="21"/>
      <c r="AD9" s="21"/>
      <c r="AE9" s="21"/>
    </row>
    <row r="10" spans="1:31" ht="15.75" x14ac:dyDescent="0.25">
      <c r="A10" s="127"/>
      <c r="B10" s="128"/>
      <c r="C10" s="15"/>
      <c r="D10" s="15"/>
      <c r="E10" s="47"/>
      <c r="F10" s="12"/>
      <c r="G10" s="11" t="str">
        <f>+IF(F10="","",VLOOKUP(F10,$H$139:$I$185,2,FALSE))</f>
        <v/>
      </c>
      <c r="H10" s="1"/>
      <c r="I10" s="26"/>
      <c r="J10" s="12"/>
      <c r="K10" s="103"/>
      <c r="L10" s="56"/>
      <c r="M10" s="56"/>
      <c r="N10" s="12"/>
      <c r="O10" s="12"/>
      <c r="P10" s="110"/>
      <c r="Q10" s="1"/>
      <c r="R10" s="33"/>
      <c r="S10" s="34"/>
      <c r="T10" s="34"/>
      <c r="U10" s="34"/>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
      <c r="T11" s="34"/>
      <c r="U11" s="34"/>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
      <c r="T12" s="34"/>
      <c r="U12" s="34"/>
      <c r="V12" s="35"/>
      <c r="W12" s="35"/>
      <c r="X12" s="35"/>
      <c r="Y12" s="1"/>
      <c r="AA12" s="21"/>
      <c r="AB12" s="21"/>
      <c r="AC12" s="21"/>
      <c r="AD12" s="21"/>
      <c r="AE12" s="21"/>
    </row>
    <row r="13" spans="1:31" ht="15.75" x14ac:dyDescent="0.25">
      <c r="A13" s="37"/>
      <c r="B13" s="128">
        <f>+B10+B9+B8+B7+B6+B5+B4</f>
        <v>20</v>
      </c>
      <c r="C13" s="128">
        <f>+C10+C9+C8+C7+C6+C5+C4</f>
        <v>6</v>
      </c>
      <c r="D13" s="28"/>
      <c r="E13" s="28"/>
      <c r="F13" s="12"/>
      <c r="G13" s="52" t="e">
        <f>+G4+G5+G6+G7+G8+G9+G10</f>
        <v>#VALUE!</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c r="B16" s="102"/>
      <c r="C16" s="31"/>
      <c r="D16" s="10"/>
      <c r="E16" s="47"/>
      <c r="F16" s="47"/>
      <c r="G16" s="11">
        <f>+IF(C16=0,0,IF(F16="","",VLOOKUP(F16,$H$139:$I$185,2,FALSE))*C16)</f>
        <v>0</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9"/>
      <c r="D18" s="15"/>
      <c r="E18" s="12"/>
      <c r="F18" s="12"/>
      <c r="G18" s="11"/>
      <c r="H18" s="1"/>
      <c r="I18" s="4" t="s">
        <v>11</v>
      </c>
      <c r="J18" s="12" t="s">
        <v>390</v>
      </c>
      <c r="K18" s="103" t="str">
        <f t="shared" ref="K18" si="6">+IF(O18=0,0,MID(O18,LEN(O18)-3,1))</f>
        <v>3</v>
      </c>
      <c r="L18" s="27">
        <v>1</v>
      </c>
      <c r="M18" s="15" t="s">
        <v>365</v>
      </c>
      <c r="N18" s="47" t="str">
        <f>+IF(O18=0,0,CONCATENATE(MID(O18,FIND("-",O18,1)+1,4),"ORAS"))</f>
        <v>15 HORAS</v>
      </c>
      <c r="O18" s="12" t="s">
        <v>320</v>
      </c>
      <c r="P18" s="11">
        <f>+IF(O18="","",VLOOKUP(O18,$H$139:$I$185,2,FALSE))</f>
        <v>514916</v>
      </c>
      <c r="Q18" s="1"/>
      <c r="R18" s="382" t="s">
        <v>376</v>
      </c>
      <c r="S18" s="383"/>
      <c r="T18" s="383"/>
      <c r="U18" s="383"/>
      <c r="V18" s="383"/>
      <c r="W18" s="383"/>
      <c r="X18" s="383"/>
      <c r="Y18" s="384"/>
    </row>
    <row r="19" spans="1:31" ht="15.75" x14ac:dyDescent="0.2">
      <c r="A19" s="69"/>
      <c r="B19" s="103"/>
      <c r="C19" s="15"/>
      <c r="D19" s="15"/>
      <c r="E19" s="12"/>
      <c r="F19" s="12"/>
      <c r="G19" s="11"/>
      <c r="H19" s="1"/>
      <c r="I19" s="4" t="s">
        <v>11</v>
      </c>
      <c r="J19" s="12" t="s">
        <v>391</v>
      </c>
      <c r="K19" s="103" t="str">
        <f t="shared" ref="K19:K20" si="7">+IF(O19=0,0,MID(O19,LEN(O19)-3,1))</f>
        <v>2</v>
      </c>
      <c r="L19" s="27">
        <v>1</v>
      </c>
      <c r="M19" s="15" t="s">
        <v>365</v>
      </c>
      <c r="N19" s="47" t="str">
        <f>+IF(O19=0,0,CONCATENATE(MID(O19,FIND("-",O19,1)+1,4),"ORAS"))</f>
        <v>15 HORAS</v>
      </c>
      <c r="O19" s="12" t="s">
        <v>321</v>
      </c>
      <c r="P19" s="11">
        <f>+IF(O19="","",VLOOKUP(O19,$H$139:$I$185,2,FALSE))</f>
        <v>448638</v>
      </c>
      <c r="Q19" s="1"/>
      <c r="R19" s="5" t="s">
        <v>9</v>
      </c>
      <c r="S19" s="5" t="s">
        <v>4</v>
      </c>
      <c r="T19" s="6" t="s">
        <v>5</v>
      </c>
      <c r="U19" s="6" t="s">
        <v>6</v>
      </c>
      <c r="V19" s="6" t="s">
        <v>7</v>
      </c>
      <c r="W19" s="6" t="s">
        <v>52</v>
      </c>
      <c r="X19" s="6" t="s">
        <v>235</v>
      </c>
      <c r="Y19" s="6" t="s">
        <v>8</v>
      </c>
      <c r="AA19" s="21"/>
      <c r="AB19" s="21"/>
      <c r="AC19" s="21"/>
      <c r="AD19" s="21"/>
      <c r="AE19" s="21"/>
    </row>
    <row r="20" spans="1:31" ht="15.75" x14ac:dyDescent="0.2">
      <c r="A20" s="130"/>
      <c r="B20" s="103"/>
      <c r="C20" s="67"/>
      <c r="D20" s="67"/>
      <c r="E20" s="12"/>
      <c r="F20" s="12"/>
      <c r="G20" s="11"/>
      <c r="H20" s="1"/>
      <c r="I20" s="4" t="s">
        <v>11</v>
      </c>
      <c r="J20" s="12" t="s">
        <v>395</v>
      </c>
      <c r="K20" s="103" t="str">
        <f t="shared" si="7"/>
        <v>2</v>
      </c>
      <c r="L20" s="27">
        <v>1</v>
      </c>
      <c r="M20" s="15" t="s">
        <v>365</v>
      </c>
      <c r="N20" s="47" t="str">
        <f>+IF(O20=0,0,CONCATENATE(MID(O20,FIND("-",O20,1)+1,4),"ORAS"))</f>
        <v>15 HORAS</v>
      </c>
      <c r="O20" s="12" t="s">
        <v>321</v>
      </c>
      <c r="P20" s="11">
        <f>+IF(O20="","",VLOOKUP(O20,$H$139:$I$185,2,FALSE))</f>
        <v>448638</v>
      </c>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+B13+B16</f>
        <v>20</v>
      </c>
      <c r="C22" s="133">
        <f>+C4+C5+C6+C7+C8+C9+C10+C16</f>
        <v>6</v>
      </c>
      <c r="D22" s="51"/>
      <c r="E22" s="131"/>
      <c r="F22" s="51"/>
      <c r="G22" s="52" t="e">
        <f>+G13+G16+G17</f>
        <v>#VALUE!</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+K4+K5+K18+K19+K20+K6+K7+K8+K9</f>
        <v>14</v>
      </c>
      <c r="L25" s="136">
        <f>SUM(L4:L24)</f>
        <v>9</v>
      </c>
      <c r="M25" s="60"/>
      <c r="N25" s="60"/>
      <c r="O25" s="60"/>
      <c r="P25" s="137">
        <f>SUM(P4:P23)</f>
        <v>2750668</v>
      </c>
      <c r="Q25" s="1"/>
      <c r="R25" s="1"/>
      <c r="S25" s="62" t="s">
        <v>31</v>
      </c>
      <c r="T25" s="140">
        <f>+T15+T16+T4+T5+T6+T7</f>
        <v>17</v>
      </c>
      <c r="U25" s="140">
        <f>SUM(U4:U7)</f>
        <v>3</v>
      </c>
      <c r="V25" s="62"/>
      <c r="W25" s="62"/>
      <c r="X25" s="62"/>
      <c r="Y25" s="63">
        <f>SUM(Y4:Y22)</f>
        <v>2758832</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8">+IF(F27=0,0,MID(F27,LEN(F27)-3,1))</f>
        <v>4</v>
      </c>
      <c r="C27" s="68">
        <v>1</v>
      </c>
      <c r="D27" s="20" t="s">
        <v>365</v>
      </c>
      <c r="E27" s="47" t="str">
        <f t="shared" ref="E27:E28" si="9">+IF(F27=0,0,CONCATENATE(MID(F27,FIND("-",F27,1)+1,4),"ORAS"))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8"/>
        <v>3</v>
      </c>
      <c r="C28" s="68">
        <v>1</v>
      </c>
      <c r="D28" s="20" t="s">
        <v>365</v>
      </c>
      <c r="E28" s="47" t="str">
        <f t="shared" si="9"/>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6" si="10">+IF(F34=0,0,MID(F34,LEN(F34)-3,1))</f>
        <v>3</v>
      </c>
      <c r="C34" s="70">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10"/>
        <v>3</v>
      </c>
      <c r="C35" s="70">
        <v>1</v>
      </c>
      <c r="D35" s="20" t="s">
        <v>365</v>
      </c>
      <c r="E35" s="47" t="str">
        <f t="shared" ref="E35:E36" si="11">+IF(F35=0,0,CONCATENATE(MID(F35,FIND("-",F35,1)+1,4),"ORAS"))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10"/>
        <v>3</v>
      </c>
      <c r="C36" s="70">
        <v>1</v>
      </c>
      <c r="D36" s="20" t="s">
        <v>365</v>
      </c>
      <c r="E36" s="47" t="str">
        <f t="shared" si="11"/>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44"/>
      <c r="B37" s="102"/>
      <c r="C37" s="70"/>
      <c r="D37" s="20"/>
      <c r="E37" s="47"/>
      <c r="F37" s="12"/>
      <c r="G37" s="11" t="str">
        <f>+IF(F37="","",VLOOKUP(F37,$H$139:$I$185,2,FALSE))</f>
        <v/>
      </c>
      <c r="H37" s="1"/>
      <c r="I37" s="1"/>
      <c r="J37" s="1"/>
      <c r="K37" s="1"/>
      <c r="L37" s="1"/>
      <c r="M37" s="1"/>
      <c r="N37" s="1"/>
      <c r="O37" s="1"/>
      <c r="P37" s="1"/>
      <c r="Q37" s="1"/>
      <c r="R37" s="1"/>
      <c r="S37" s="1"/>
      <c r="T37" s="1"/>
      <c r="U37" s="1"/>
      <c r="V37" s="1"/>
      <c r="W37" s="1"/>
      <c r="X37" s="1"/>
      <c r="Y37" s="1"/>
    </row>
    <row r="38" spans="1:25" ht="15.75" x14ac:dyDescent="0.25">
      <c r="A38" s="32"/>
      <c r="B38" s="102"/>
      <c r="C38" s="70"/>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19</v>
      </c>
      <c r="C40" s="51">
        <f>SUM(C26:C31)+C34+C35+C36+C37+C38+C39</f>
        <v>6</v>
      </c>
      <c r="D40" s="51"/>
      <c r="E40" s="47">
        <f t="shared" ref="E40" si="12">+IF(F40=0,0,CONCATENATE(MID(F40,FIND("-",F40,1)+1,3),"ORAS"))</f>
        <v>0</v>
      </c>
      <c r="F40" s="51"/>
      <c r="G40" s="52" t="e">
        <f>+G26+G27+G28+G29+G30+G31+G34+G35+G36+G37+G38</f>
        <v>#VALUE!</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70"/>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25" t="s">
        <v>372</v>
      </c>
      <c r="B54" s="103" t="str">
        <f t="shared" ref="B54:B55" si="13">+IF(F54=0,0,MID(F54,LEN(F54)-3,1))</f>
        <v>3</v>
      </c>
      <c r="C54" s="70">
        <v>1</v>
      </c>
      <c r="D54" s="20" t="s">
        <v>365</v>
      </c>
      <c r="E54" s="47" t="str">
        <f t="shared" ref="E54:E55" si="14">+IF(F54=0,0,CONCATENATE(MID(F54,FIND("-",F54,1)+1,4),"ORAS"))</f>
        <v>15 HORAS</v>
      </c>
      <c r="F54" s="12" t="s">
        <v>335</v>
      </c>
      <c r="G54" s="11">
        <f t="shared" ref="G54:G63" si="15">+IF(F54="","",VLOOKUP(F54,$H$139:$I$185,2,FALSE))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25" t="s">
        <v>373</v>
      </c>
      <c r="B55" s="103" t="str">
        <f t="shared" si="13"/>
        <v>3</v>
      </c>
      <c r="C55" s="70">
        <v>1</v>
      </c>
      <c r="D55" s="20" t="s">
        <v>365</v>
      </c>
      <c r="E55" s="47" t="str">
        <f t="shared" si="14"/>
        <v>15 HORAS</v>
      </c>
      <c r="F55" s="12" t="s">
        <v>335</v>
      </c>
      <c r="G55" s="11">
        <f t="shared" si="15"/>
        <v>443323</v>
      </c>
      <c r="H55" s="1"/>
      <c r="I55" s="1"/>
      <c r="J55" s="402"/>
      <c r="K55" s="402"/>
      <c r="L55" s="402"/>
      <c r="M55" s="402"/>
      <c r="N55" s="402"/>
      <c r="O55" s="402"/>
      <c r="P55" s="402"/>
      <c r="Q55" s="1"/>
      <c r="R55" s="1"/>
      <c r="S55" s="1"/>
      <c r="T55" s="1"/>
      <c r="U55" s="1"/>
      <c r="V55" s="1"/>
      <c r="W55" s="1"/>
      <c r="X55" s="1"/>
      <c r="Y55" s="1"/>
    </row>
    <row r="56" spans="1:25" ht="15.75" x14ac:dyDescent="0.25">
      <c r="A56" s="69"/>
      <c r="B56" s="103"/>
      <c r="C56" s="70"/>
      <c r="D56" s="20"/>
      <c r="E56" s="47"/>
      <c r="F56" s="12"/>
      <c r="G56" s="11" t="str">
        <f t="shared" si="15"/>
        <v/>
      </c>
      <c r="H56" s="1"/>
      <c r="I56" s="1"/>
      <c r="J56" s="402"/>
      <c r="K56" s="402"/>
      <c r="L56" s="402"/>
      <c r="M56" s="402"/>
      <c r="N56" s="402"/>
      <c r="O56" s="402"/>
      <c r="P56" s="402"/>
      <c r="Q56" s="1"/>
      <c r="R56" s="1"/>
      <c r="S56" s="1"/>
      <c r="T56" s="1"/>
      <c r="U56" s="1"/>
      <c r="V56" s="1"/>
      <c r="W56" s="1"/>
      <c r="X56" s="1"/>
      <c r="Y56" s="1"/>
    </row>
    <row r="57" spans="1:25" ht="15.75" x14ac:dyDescent="0.25">
      <c r="A57" s="69"/>
      <c r="B57" s="103"/>
      <c r="C57" s="70"/>
      <c r="D57" s="20"/>
      <c r="E57" s="47"/>
      <c r="F57" s="12"/>
      <c r="G57" s="11" t="str">
        <f t="shared" si="15"/>
        <v/>
      </c>
      <c r="H57" s="1"/>
      <c r="I57" s="1"/>
      <c r="J57" s="402"/>
      <c r="K57" s="402"/>
      <c r="L57" s="402"/>
      <c r="M57" s="402"/>
      <c r="N57" s="402"/>
      <c r="O57" s="402"/>
      <c r="P57" s="402"/>
      <c r="Q57" s="1"/>
      <c r="R57" s="1"/>
      <c r="S57" s="1"/>
      <c r="T57" s="1"/>
      <c r="U57" s="1"/>
      <c r="V57" s="1"/>
      <c r="W57" s="1"/>
      <c r="X57" s="1"/>
      <c r="Y57" s="1"/>
    </row>
    <row r="58" spans="1:25" ht="15.75" x14ac:dyDescent="0.25">
      <c r="A58" s="134"/>
      <c r="B58" s="103"/>
      <c r="C58" s="70"/>
      <c r="D58" s="20"/>
      <c r="E58" s="47"/>
      <c r="F58" s="12"/>
      <c r="G58" s="11" t="str">
        <f t="shared" si="15"/>
        <v/>
      </c>
      <c r="H58" s="1"/>
      <c r="I58" s="1"/>
      <c r="J58" s="402"/>
      <c r="K58" s="402"/>
      <c r="L58" s="402"/>
      <c r="M58" s="402"/>
      <c r="N58" s="402"/>
      <c r="O58" s="402"/>
      <c r="P58" s="402"/>
      <c r="Q58" s="1"/>
      <c r="R58" s="1"/>
      <c r="S58" s="1"/>
      <c r="T58" s="1"/>
      <c r="U58" s="1"/>
      <c r="V58" s="1"/>
      <c r="W58" s="1"/>
      <c r="X58" s="1"/>
      <c r="Y58" s="1"/>
    </row>
    <row r="59" spans="1:25" ht="15.75" x14ac:dyDescent="0.25">
      <c r="A59" s="134"/>
      <c r="B59" s="103"/>
      <c r="C59" s="70"/>
      <c r="D59" s="20"/>
      <c r="E59" s="47"/>
      <c r="F59" s="12"/>
      <c r="G59" s="11" t="str">
        <f t="shared" si="15"/>
        <v/>
      </c>
      <c r="H59" s="1"/>
      <c r="I59" s="1"/>
      <c r="J59" s="402"/>
      <c r="K59" s="402"/>
      <c r="L59" s="402"/>
      <c r="M59" s="402"/>
      <c r="N59" s="402"/>
      <c r="O59" s="402"/>
      <c r="P59" s="402"/>
      <c r="Q59" s="1"/>
      <c r="R59" s="1"/>
      <c r="S59" s="1"/>
      <c r="T59" s="1"/>
      <c r="U59" s="1"/>
      <c r="V59" s="1"/>
      <c r="W59" s="1"/>
      <c r="X59" s="1"/>
      <c r="Y59" s="1"/>
    </row>
    <row r="60" spans="1:25" ht="15.75" x14ac:dyDescent="0.25">
      <c r="A60" s="134"/>
      <c r="B60" s="103"/>
      <c r="C60" s="70"/>
      <c r="D60" s="20"/>
      <c r="E60" s="47"/>
      <c r="F60" s="12"/>
      <c r="G60" s="11" t="str">
        <f t="shared" si="15"/>
        <v/>
      </c>
      <c r="H60" s="1"/>
      <c r="I60" s="1"/>
      <c r="J60" s="402"/>
      <c r="K60" s="402"/>
      <c r="L60" s="402"/>
      <c r="M60" s="402"/>
      <c r="N60" s="402"/>
      <c r="O60" s="402"/>
      <c r="P60" s="402"/>
      <c r="Q60" s="1"/>
      <c r="R60" s="1"/>
      <c r="S60" s="1"/>
      <c r="T60" s="1"/>
      <c r="U60" s="1"/>
      <c r="V60" s="1"/>
      <c r="W60" s="1"/>
      <c r="X60" s="1"/>
      <c r="Y60" s="1"/>
    </row>
    <row r="61" spans="1:25" ht="15.75" x14ac:dyDescent="0.25">
      <c r="A61" s="134"/>
      <c r="B61" s="103"/>
      <c r="C61" s="70"/>
      <c r="D61" s="20"/>
      <c r="E61" s="47"/>
      <c r="F61" s="12"/>
      <c r="G61" s="11" t="str">
        <f t="shared" si="15"/>
        <v/>
      </c>
      <c r="H61" s="1"/>
      <c r="I61" s="1"/>
      <c r="J61" s="402"/>
      <c r="K61" s="402"/>
      <c r="L61" s="402"/>
      <c r="M61" s="402"/>
      <c r="N61" s="402"/>
      <c r="O61" s="402"/>
      <c r="P61" s="402"/>
      <c r="Q61" s="1"/>
      <c r="R61" s="1"/>
      <c r="S61" s="1"/>
      <c r="T61" s="1"/>
      <c r="U61" s="1"/>
      <c r="V61" s="1"/>
      <c r="W61" s="1"/>
      <c r="X61" s="1"/>
      <c r="Y61" s="1"/>
    </row>
    <row r="62" spans="1:25" ht="15.75" x14ac:dyDescent="0.25">
      <c r="A62" s="25"/>
      <c r="B62" s="103"/>
      <c r="C62" s="70"/>
      <c r="D62" s="20"/>
      <c r="E62" s="47"/>
      <c r="F62" s="12"/>
      <c r="G62" s="11" t="str">
        <f t="shared" si="15"/>
        <v/>
      </c>
      <c r="H62" s="1"/>
      <c r="I62" s="1"/>
      <c r="J62" s="402"/>
      <c r="K62" s="402"/>
      <c r="L62" s="402"/>
      <c r="M62" s="402"/>
      <c r="N62" s="402"/>
      <c r="O62" s="402"/>
      <c r="P62" s="402"/>
      <c r="Q62" s="1"/>
      <c r="R62" s="1"/>
      <c r="S62" s="1"/>
      <c r="T62" s="1"/>
      <c r="U62" s="1"/>
      <c r="V62" s="1"/>
      <c r="W62" s="1"/>
      <c r="X62" s="1"/>
      <c r="Y62" s="1"/>
    </row>
    <row r="63" spans="1:25" ht="15.75" x14ac:dyDescent="0.25">
      <c r="A63" s="25"/>
      <c r="B63" s="103"/>
      <c r="C63" s="70"/>
      <c r="D63" s="20"/>
      <c r="E63" s="47"/>
      <c r="F63" s="12"/>
      <c r="G63" s="11" t="str">
        <f t="shared" si="15"/>
        <v/>
      </c>
      <c r="H63" s="1"/>
      <c r="I63" s="1"/>
      <c r="J63" s="402"/>
      <c r="K63" s="402"/>
      <c r="L63" s="402"/>
      <c r="M63" s="402"/>
      <c r="N63" s="402"/>
      <c r="O63" s="402"/>
      <c r="P63" s="402"/>
      <c r="Q63" s="1"/>
      <c r="R63" s="1"/>
      <c r="S63" s="1"/>
      <c r="T63" s="1"/>
      <c r="U63" s="1"/>
      <c r="V63" s="1"/>
      <c r="W63" s="1"/>
      <c r="X63" s="1"/>
      <c r="Y63" s="1"/>
    </row>
    <row r="64" spans="1:25" ht="15.75" x14ac:dyDescent="0.25">
      <c r="A64" s="80"/>
      <c r="B64" s="103"/>
      <c r="C64" s="70"/>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6</v>
      </c>
      <c r="C65" s="51">
        <f>C59+C60+C61+C62+C63+C46+C47+C48+C49+C50+C54+C55+C56+C57+C58+C64</f>
        <v>2</v>
      </c>
      <c r="D65" s="51"/>
      <c r="E65" s="125"/>
      <c r="F65" s="51"/>
      <c r="G65" s="52" t="e">
        <f>+G54+G55+G56+G57+G58+G59+G60+G61+G62+G63</f>
        <v>#VALUE!</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45</v>
      </c>
      <c r="C67" s="143">
        <f>C65+C40+C22</f>
        <v>14</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378</v>
      </c>
      <c r="K68" s="144">
        <f>K25+B67+T25+AB25</f>
        <v>76</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26</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t="e">
        <f>G67+P25+Y25</f>
        <v>#VALUE!</v>
      </c>
      <c r="L70" s="380"/>
      <c r="M70" s="98" t="e">
        <f>G22+P18+Y20</f>
        <v>#VALUE!</v>
      </c>
      <c r="N70" s="142" t="e">
        <f>G40+P4+P5+Y4+Y5+Y6+Y7+Y15+Y16+Y21</f>
        <v>#VALUE!</v>
      </c>
      <c r="O70" s="98" t="e">
        <f>G65+Y22</f>
        <v>#VALUE!</v>
      </c>
      <c r="P70" s="109" t="e">
        <f>SUM(M70:O70)</f>
        <v>#VALUE!</v>
      </c>
      <c r="R70" s="108"/>
      <c r="S70" s="99"/>
      <c r="T70" s="1"/>
      <c r="U70" s="1"/>
      <c r="V70" s="1"/>
      <c r="W70" s="1"/>
      <c r="X70" s="1"/>
      <c r="Y70" s="1"/>
    </row>
    <row r="71" spans="1:31" ht="13.5" thickBot="1" x14ac:dyDescent="0.25"/>
    <row r="72" spans="1:31" ht="36" customHeight="1" thickBot="1" x14ac:dyDescent="0.25">
      <c r="A72" s="408" t="s">
        <v>379</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397</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6">+CONCATENATE(G140,F140)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6"/>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6"/>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6"/>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6"/>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6"/>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6"/>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6"/>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6"/>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6"/>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6"/>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6"/>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6"/>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6"/>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6"/>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6"/>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6"/>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6"/>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6"/>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6"/>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6"/>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6"/>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6"/>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6"/>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6"/>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6"/>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6"/>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6"/>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6"/>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6"/>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6"/>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6"/>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6"/>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6"/>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6"/>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6"/>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6"/>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6"/>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6"/>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6"/>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7">+CONCATENATE(G182,F182)</f>
        <v>43.BOGOTA-REGION-40m³-</v>
      </c>
    </row>
    <row r="183" spans="6:14" s="114" customFormat="1" hidden="1" x14ac:dyDescent="0.2">
      <c r="F183" s="114" t="s">
        <v>311</v>
      </c>
      <c r="G183" s="114" t="s">
        <v>269</v>
      </c>
      <c r="H183" s="114" t="s">
        <v>362</v>
      </c>
      <c r="I183" s="115">
        <v>562619</v>
      </c>
      <c r="N183" s="114" t="str">
        <f t="shared" si="17"/>
        <v>44.BOGOTA-REGION-25m³-</v>
      </c>
    </row>
    <row r="184" spans="6:14" s="114" customFormat="1" hidden="1" x14ac:dyDescent="0.2">
      <c r="F184" s="114" t="s">
        <v>312</v>
      </c>
      <c r="G184" s="114" t="s">
        <v>270</v>
      </c>
      <c r="H184" s="114" t="s">
        <v>363</v>
      </c>
      <c r="I184" s="115">
        <v>418264</v>
      </c>
      <c r="N184" s="114" t="str">
        <f t="shared" si="17"/>
        <v>45.BOGOTA-REGION-FURGON-</v>
      </c>
    </row>
    <row r="185" spans="6:14" s="114" customFormat="1" hidden="1" x14ac:dyDescent="0.2">
      <c r="F185" s="114" t="s">
        <v>313</v>
      </c>
      <c r="G185" s="114" t="s">
        <v>271</v>
      </c>
      <c r="H185" s="114" t="s">
        <v>364</v>
      </c>
      <c r="I185" s="115">
        <v>288714</v>
      </c>
      <c r="N185" s="114" t="str">
        <f t="shared" si="17"/>
        <v>46.BOGOTA-REGION-4X4</v>
      </c>
    </row>
    <row r="186" spans="6:14" x14ac:dyDescent="0.2">
      <c r="H186" s="2" t="s">
        <v>318</v>
      </c>
      <c r="N186" s="2" t="str">
        <f t="shared" si="17"/>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35E29A2D-6499-9442-83F9-169F05C10AAA}">
      <formula1>$H$139:$H$184</formula1>
    </dataValidation>
    <dataValidation type="list" allowBlank="1" showInputMessage="1" showErrorMessage="1" sqref="F4:F7 F16:F19 X15:X16 F30:F31 F26:F28 F46:F51 O18:O24 F34:F38 F54:F64 X4:X8 X20:X22 O4:O15" xr:uid="{566BF8A8-17A8-3345-9DA5-23E94E36E1B4}">
      <formula1>$H$139:$H$185</formula1>
    </dataValidation>
    <dataValidation type="list" allowBlank="1" showInputMessage="1" showErrorMessage="1" sqref="F29 F20:F21 F8:F13" xr:uid="{BAF3C939-9458-2849-9F5D-24F825BDC1B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C455D-F401-D64A-AAF8-574EDEFE04F4}">
  <sheetPr>
    <tabColor rgb="FFFF0000"/>
  </sheetPr>
  <dimension ref="A1:AE186"/>
  <sheetViews>
    <sheetView view="pageBreakPreview" topLeftCell="I1" zoomScaleNormal="59" zoomScaleSheetLayoutView="10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48" t="s">
        <v>13</v>
      </c>
      <c r="T4" s="103" t="str">
        <f t="shared" ref="T4:T7" si="0">+IF(X4=0,0,MID(X4,LEN(X4)-3,1))</f>
        <v>4</v>
      </c>
      <c r="U4" s="14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10" si="1">+IF(F5=0,0,MID(F5,LEN(F5)-3,1))</f>
        <v>3</v>
      </c>
      <c r="C5" s="15">
        <v>1</v>
      </c>
      <c r="D5" s="15" t="s">
        <v>365</v>
      </c>
      <c r="E5" s="47" t="str">
        <f t="shared" ref="E5:E10" si="2">+IF(F5=0,0,CONCATENATE(MID(F5,FIND("-",F5,1)+1,4),"ORAS"))</f>
        <v>15 HORAS</v>
      </c>
      <c r="F5" s="12" t="s">
        <v>320</v>
      </c>
      <c r="G5" s="11">
        <f>+IF(F5="","",VLOOKUP(F5,$H$139:$I$185,2,FALSE))</f>
        <v>514916</v>
      </c>
      <c r="H5" s="1"/>
      <c r="I5" s="17" t="s">
        <v>12</v>
      </c>
      <c r="J5" s="12" t="s">
        <v>54</v>
      </c>
      <c r="K5" s="103" t="str">
        <f t="shared" ref="K5" si="3">+IF(O5=0,0,MID(O5,LEN(O5)-3,1))</f>
        <v>3</v>
      </c>
      <c r="L5" s="14">
        <v>1</v>
      </c>
      <c r="M5" s="15" t="s">
        <v>365</v>
      </c>
      <c r="N5" s="47" t="str">
        <f>+IF(O5=0,0,CONCATENATE(MID(O5,FIND("-",O5,1)+1,4),"ORAS"))</f>
        <v>15 HORAS</v>
      </c>
      <c r="O5" s="12" t="s">
        <v>335</v>
      </c>
      <c r="P5" s="11">
        <f>+IF(O5="","",VLOOKUP(O5,$H$139:$I$185,2,FALSE))</f>
        <v>443323</v>
      </c>
      <c r="Q5" s="1"/>
      <c r="R5" s="17" t="s">
        <v>12</v>
      </c>
      <c r="S5" s="148" t="s">
        <v>15</v>
      </c>
      <c r="T5" s="103" t="str">
        <f t="shared" si="0"/>
        <v>4</v>
      </c>
      <c r="U5" s="14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1"/>
        <v>3</v>
      </c>
      <c r="C6" s="15">
        <v>1</v>
      </c>
      <c r="D6" s="15" t="s">
        <v>365</v>
      </c>
      <c r="E6" s="47" t="str">
        <f t="shared" si="2"/>
        <v>15 HORAS</v>
      </c>
      <c r="F6" s="12" t="s">
        <v>320</v>
      </c>
      <c r="G6" s="11">
        <f>+IF(F6="","",VLOOKUP(F6,$H$139:$I$185,2,FALSE))</f>
        <v>514916</v>
      </c>
      <c r="H6" s="1"/>
      <c r="I6" s="26"/>
      <c r="J6" s="12"/>
      <c r="K6" s="103"/>
      <c r="L6" s="14"/>
      <c r="M6" s="15"/>
      <c r="N6" s="47"/>
      <c r="O6" s="12"/>
      <c r="P6" s="11"/>
      <c r="Q6" s="1"/>
      <c r="R6" s="17" t="s">
        <v>12</v>
      </c>
      <c r="S6" s="148" t="s">
        <v>17</v>
      </c>
      <c r="T6" s="103" t="str">
        <f t="shared" si="0"/>
        <v>4</v>
      </c>
      <c r="U6" s="14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1"/>
        <v>3</v>
      </c>
      <c r="C7" s="15">
        <v>1</v>
      </c>
      <c r="D7" s="15" t="s">
        <v>365</v>
      </c>
      <c r="E7" s="47" t="str">
        <f t="shared" si="2"/>
        <v>15 HORAS</v>
      </c>
      <c r="F7" s="12" t="s">
        <v>320</v>
      </c>
      <c r="G7" s="11">
        <f>+IF(F7="","",VLOOKUP(F7,$H$139:$I$185,2,FALSE))</f>
        <v>514916</v>
      </c>
      <c r="H7" s="1"/>
      <c r="I7" s="112"/>
      <c r="J7" s="12"/>
      <c r="K7" s="103"/>
      <c r="L7" s="14"/>
      <c r="M7" s="15"/>
      <c r="N7" s="12"/>
      <c r="O7" s="12"/>
      <c r="P7" s="11"/>
      <c r="Q7" s="1"/>
      <c r="R7" s="29" t="s">
        <v>12</v>
      </c>
      <c r="S7" s="150" t="s">
        <v>19</v>
      </c>
      <c r="T7" s="103" t="str">
        <f t="shared" si="0"/>
        <v>4</v>
      </c>
      <c r="U7" s="151">
        <v>1</v>
      </c>
      <c r="V7" s="10" t="s">
        <v>365</v>
      </c>
      <c r="W7" s="47" t="str">
        <f>+IF(X7=0,0,CONCATENATE(MID(X7,FIND("-",X7,1)+1,4),"ORAS"))</f>
        <v>15 HORAS</v>
      </c>
      <c r="X7" s="12" t="s">
        <v>334</v>
      </c>
      <c r="Y7" s="11">
        <f>+IF(X7="","",VLOOKUP(X7,$H$139:$I$185,2,FALSE))</f>
        <v>501739</v>
      </c>
      <c r="AA7" s="21"/>
      <c r="AB7" s="21"/>
      <c r="AC7" s="21"/>
      <c r="AD7" s="21"/>
      <c r="AE7" s="21"/>
    </row>
    <row r="8" spans="1:31" ht="15.75" x14ac:dyDescent="0.25">
      <c r="A8" s="25" t="s">
        <v>243</v>
      </c>
      <c r="B8" s="128" t="str">
        <f t="shared" si="1"/>
        <v>3</v>
      </c>
      <c r="C8" s="15">
        <v>1</v>
      </c>
      <c r="D8" s="15" t="s">
        <v>365</v>
      </c>
      <c r="E8" s="47" t="str">
        <f t="shared" si="2"/>
        <v>15 HORAS</v>
      </c>
      <c r="F8" s="12" t="s">
        <v>320</v>
      </c>
      <c r="G8" s="11">
        <f>+IF(C8=0,0,IF(F8="","",VLOOKUP(F8,$H$139:$I$185,2,FALSE))*C8)</f>
        <v>514916</v>
      </c>
      <c r="H8" s="1"/>
      <c r="I8" s="112"/>
      <c r="J8" s="12"/>
      <c r="K8" s="103"/>
      <c r="L8" s="14"/>
      <c r="M8" s="15"/>
      <c r="N8" s="12"/>
      <c r="O8" s="12"/>
      <c r="P8" s="11"/>
      <c r="Q8" s="1"/>
      <c r="R8" s="17"/>
      <c r="S8" s="148"/>
      <c r="T8" s="149"/>
      <c r="U8" s="149">
        <f>+U4+U5+U6+U7</f>
        <v>4</v>
      </c>
      <c r="V8" s="15"/>
      <c r="W8" s="12"/>
      <c r="X8" s="12"/>
      <c r="Y8" s="139"/>
      <c r="AA8" s="21"/>
      <c r="AB8" s="21"/>
      <c r="AC8" s="21"/>
      <c r="AD8" s="21"/>
      <c r="AE8" s="21"/>
    </row>
    <row r="9" spans="1:31" ht="15.75" x14ac:dyDescent="0.25">
      <c r="A9" s="127" t="s">
        <v>366</v>
      </c>
      <c r="B9" s="128" t="str">
        <f t="shared" si="1"/>
        <v>4</v>
      </c>
      <c r="C9" s="15">
        <v>1</v>
      </c>
      <c r="D9" s="15" t="s">
        <v>365</v>
      </c>
      <c r="E9" s="47" t="str">
        <f t="shared" si="2"/>
        <v>15 HORAS</v>
      </c>
      <c r="F9" s="12" t="s">
        <v>319</v>
      </c>
      <c r="G9" s="11">
        <f>+IF(F9="","",VLOOKUP(F9,$H$139:$I$185,2,FALSE))</f>
        <v>582964</v>
      </c>
      <c r="H9" s="1"/>
      <c r="I9" s="26"/>
      <c r="J9" s="12"/>
      <c r="K9" s="103"/>
      <c r="L9" s="56"/>
      <c r="M9" s="56"/>
      <c r="N9" s="12"/>
      <c r="O9" s="12"/>
      <c r="P9" s="110"/>
      <c r="Q9" s="1"/>
      <c r="R9" s="33"/>
      <c r="S9" s="152"/>
      <c r="T9" s="152"/>
      <c r="U9" s="152"/>
      <c r="V9" s="35"/>
      <c r="W9" s="35"/>
      <c r="X9" s="35"/>
      <c r="Y9" s="1"/>
      <c r="AA9" s="21"/>
      <c r="AB9" s="21"/>
      <c r="AC9" s="21"/>
      <c r="AD9" s="21"/>
      <c r="AE9" s="21"/>
    </row>
    <row r="10" spans="1:31" ht="15.75" x14ac:dyDescent="0.25">
      <c r="A10" s="127" t="s">
        <v>248</v>
      </c>
      <c r="B10" s="128" t="str">
        <f t="shared" si="1"/>
        <v>4</v>
      </c>
      <c r="C10" s="15">
        <v>1</v>
      </c>
      <c r="D10" s="15" t="s">
        <v>365</v>
      </c>
      <c r="E10" s="47" t="str">
        <f t="shared" si="2"/>
        <v>15 HORAS</v>
      </c>
      <c r="F10" s="12" t="s">
        <v>319</v>
      </c>
      <c r="G10" s="11">
        <f>+IF(F10="","",VLOOKUP(F10,$H$139:$I$185,2,FALSE))</f>
        <v>582964</v>
      </c>
      <c r="H10" s="1"/>
      <c r="I10" s="26"/>
      <c r="J10" s="12"/>
      <c r="K10" s="103"/>
      <c r="L10" s="56"/>
      <c r="M10" s="56"/>
      <c r="N10" s="12"/>
      <c r="O10" s="12"/>
      <c r="P10" s="110"/>
      <c r="Q10" s="1"/>
      <c r="R10" s="33"/>
      <c r="S10" s="152"/>
      <c r="T10" s="152"/>
      <c r="U10" s="152"/>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2"/>
      <c r="T11" s="152"/>
      <c r="U11" s="152"/>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2"/>
      <c r="T12" s="152"/>
      <c r="U12" s="152"/>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4">+IF(F16=0,0,MID(F16,LEN(F16)-3,1))</f>
        <v>3</v>
      </c>
      <c r="C16" s="151">
        <v>1</v>
      </c>
      <c r="D16" s="10" t="s">
        <v>365</v>
      </c>
      <c r="E16" s="47" t="str">
        <f t="shared" ref="E16" si="5">+IF(F16=0,0,CONCATENATE(MID(F16,FIND("-",F16,1)+1,4),"ORAS"))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4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49"/>
      <c r="D18" s="15"/>
      <c r="E18" s="12"/>
      <c r="F18" s="12"/>
      <c r="G18" s="11"/>
      <c r="H18" s="1"/>
      <c r="I18" s="112"/>
      <c r="J18" s="12"/>
      <c r="K18" s="103">
        <f t="shared" ref="K18" si="6">+IF(O18=0,0,MID(O18,LEN(O18)-3,1))</f>
        <v>0</v>
      </c>
      <c r="L18" s="27">
        <v>0</v>
      </c>
      <c r="M18" s="15" t="s">
        <v>365</v>
      </c>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21</v>
      </c>
      <c r="U25" s="140">
        <f>SUM(U4:U7)</f>
        <v>4</v>
      </c>
      <c r="V25" s="62"/>
      <c r="W25" s="62"/>
      <c r="X25" s="62"/>
      <c r="Y25" s="63">
        <f>SUM(Y4:Y22)</f>
        <v>3260571</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7">+IF(F27=0,0,MID(F27,LEN(F27)-3,1))</f>
        <v>4</v>
      </c>
      <c r="C27" s="68">
        <v>1</v>
      </c>
      <c r="D27" s="20" t="s">
        <v>365</v>
      </c>
      <c r="E27" s="47" t="str">
        <f t="shared" ref="E27:E28" si="8">+IF(F27=0,0,CONCATENATE(MID(F27,FIND("-",F27,1)+1,4),"ORAS"))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7"/>
        <v>3</v>
      </c>
      <c r="C28" s="68">
        <v>1</v>
      </c>
      <c r="D28" s="20" t="s">
        <v>365</v>
      </c>
      <c r="E28" s="47" t="str">
        <f t="shared" si="8"/>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6" si="9">+IF(F34=0,0,MID(F34,LEN(F34)-3,1))</f>
        <v>3</v>
      </c>
      <c r="C34" s="153">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9"/>
        <v>3</v>
      </c>
      <c r="C35" s="153">
        <v>1</v>
      </c>
      <c r="D35" s="20" t="s">
        <v>365</v>
      </c>
      <c r="E35" s="47" t="str">
        <f t="shared" ref="E35:E36" si="10">+IF(F35=0,0,CONCATENATE(MID(F35,FIND("-",F35,1)+1,4),"ORAS"))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9"/>
        <v>3</v>
      </c>
      <c r="C36" s="153">
        <v>1</v>
      </c>
      <c r="D36" s="20" t="s">
        <v>365</v>
      </c>
      <c r="E36" s="47" t="str">
        <f t="shared" si="10"/>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32" t="s">
        <v>241</v>
      </c>
      <c r="B37" s="102" t="str">
        <f>+IF(F37=0,0,MID(F37,LEN(F37)-3,1))</f>
        <v>3</v>
      </c>
      <c r="C37" s="153">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c r="B38" s="102"/>
      <c r="C38" s="153"/>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22</v>
      </c>
      <c r="C40" s="51">
        <f>SUM(C26:C32)+C34+C35+C36+C37+C38+C39</f>
        <v>7</v>
      </c>
      <c r="D40" s="51"/>
      <c r="E40" s="47">
        <f t="shared" ref="E40" si="11">+IF(F40=0,0,CONCATENATE(MID(F40,FIND("-",F40,1)+1,3),"ORAS"))</f>
        <v>0</v>
      </c>
      <c r="F40" s="51"/>
      <c r="G40" s="52" t="e">
        <f>+G26+G27+G28+G29+G30+G31+G34+G35+G36+G37+G38</f>
        <v>#VALUE!</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3"/>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12">+IF(F54=0,0,MID(F54,LEN(F54)-3,1))</f>
        <v>3</v>
      </c>
      <c r="C54" s="153">
        <v>1</v>
      </c>
      <c r="D54" s="20" t="s">
        <v>365</v>
      </c>
      <c r="E54" s="47" t="str">
        <f>+IF(F54=0,0,CONCATENATE(MID(F54,FIND("-",F54,1)+1,4),"ORAS"))</f>
        <v>15 HORAS</v>
      </c>
      <c r="F54" s="12" t="s">
        <v>335</v>
      </c>
      <c r="G54" s="11">
        <f t="shared" ref="G54:G63" si="13">+IF(F54="","",VLOOKUP(F54,$H$139:$I$185,2,FALSE))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12"/>
        <v>3</v>
      </c>
      <c r="C55" s="153">
        <v>1</v>
      </c>
      <c r="D55" s="20" t="s">
        <v>365</v>
      </c>
      <c r="E55" s="47" t="str">
        <f t="shared" ref="E55:E63" si="14">+IF(F55=0,0,CONCATENATE(MID(F55,FIND("-",F55,1)+1,4),"ORAS"))</f>
        <v>15 HORAS</v>
      </c>
      <c r="F55" s="12" t="s">
        <v>335</v>
      </c>
      <c r="G55" s="11">
        <f t="shared" si="13"/>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12"/>
        <v>3</v>
      </c>
      <c r="C56" s="153">
        <v>1</v>
      </c>
      <c r="D56" s="20" t="s">
        <v>365</v>
      </c>
      <c r="E56" s="47" t="str">
        <f t="shared" si="14"/>
        <v>15 HORAS</v>
      </c>
      <c r="F56" s="12" t="s">
        <v>335</v>
      </c>
      <c r="G56" s="11">
        <f t="shared" si="13"/>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12"/>
        <v>3</v>
      </c>
      <c r="C57" s="153">
        <v>1</v>
      </c>
      <c r="D57" s="20" t="s">
        <v>365</v>
      </c>
      <c r="E57" s="47" t="str">
        <f t="shared" si="14"/>
        <v>15 HORAS</v>
      </c>
      <c r="F57" s="12" t="s">
        <v>335</v>
      </c>
      <c r="G57" s="11">
        <f t="shared" si="13"/>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12"/>
        <v>3</v>
      </c>
      <c r="C58" s="153">
        <v>1</v>
      </c>
      <c r="D58" s="20" t="s">
        <v>365</v>
      </c>
      <c r="E58" s="47" t="str">
        <f t="shared" si="14"/>
        <v>15 HORAS</v>
      </c>
      <c r="F58" s="12" t="s">
        <v>335</v>
      </c>
      <c r="G58" s="11">
        <f t="shared" si="13"/>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12"/>
        <v>3</v>
      </c>
      <c r="C59" s="153">
        <v>1</v>
      </c>
      <c r="D59" s="20" t="s">
        <v>365</v>
      </c>
      <c r="E59" s="47" t="str">
        <f t="shared" si="14"/>
        <v>15 HORAS</v>
      </c>
      <c r="F59" s="12" t="s">
        <v>335</v>
      </c>
      <c r="G59" s="11">
        <f t="shared" si="13"/>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12"/>
        <v>3</v>
      </c>
      <c r="C60" s="153">
        <v>1</v>
      </c>
      <c r="D60" s="20" t="s">
        <v>365</v>
      </c>
      <c r="E60" s="47" t="str">
        <f t="shared" si="14"/>
        <v>15 HORAS</v>
      </c>
      <c r="F60" s="12" t="s">
        <v>335</v>
      </c>
      <c r="G60" s="11">
        <f t="shared" si="13"/>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12"/>
        <v>3</v>
      </c>
      <c r="C61" s="153">
        <v>1</v>
      </c>
      <c r="D61" s="20" t="s">
        <v>365</v>
      </c>
      <c r="E61" s="47" t="str">
        <f t="shared" si="14"/>
        <v>15 HORAS</v>
      </c>
      <c r="F61" s="12" t="s">
        <v>335</v>
      </c>
      <c r="G61" s="11">
        <f t="shared" si="13"/>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12"/>
        <v>3</v>
      </c>
      <c r="C62" s="153">
        <v>1</v>
      </c>
      <c r="D62" s="20" t="s">
        <v>365</v>
      </c>
      <c r="E62" s="47" t="str">
        <f t="shared" si="14"/>
        <v>15 HORAS</v>
      </c>
      <c r="F62" s="12" t="s">
        <v>335</v>
      </c>
      <c r="G62" s="11">
        <f t="shared" si="13"/>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12"/>
        <v>3</v>
      </c>
      <c r="C63" s="153">
        <v>1</v>
      </c>
      <c r="D63" s="20" t="s">
        <v>365</v>
      </c>
      <c r="E63" s="47" t="str">
        <f t="shared" si="14"/>
        <v>15 HORAS</v>
      </c>
      <c r="F63" s="12" t="s">
        <v>335</v>
      </c>
      <c r="G63" s="11">
        <f t="shared" si="13"/>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3"/>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78</v>
      </c>
      <c r="C67" s="143">
        <f>C65+C40+C22</f>
        <v>25</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102</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t="e">
        <f>G67+P25+Y25</f>
        <v>#VALUE!</v>
      </c>
      <c r="L70" s="380"/>
      <c r="M70" s="98">
        <f>G22+P18+Y20</f>
        <v>4557065</v>
      </c>
      <c r="N70" s="142" t="e">
        <f>G40+P4+P5+Y4+Y5+Y6+Y7+Y15+Y16+Y21</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399</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6">+CONCATENATE(G182,F182)</f>
        <v>43.BOGOTA-REGION-40m³-</v>
      </c>
    </row>
    <row r="183" spans="6:14" s="114" customFormat="1" hidden="1" x14ac:dyDescent="0.2">
      <c r="F183" s="114" t="s">
        <v>311</v>
      </c>
      <c r="G183" s="114" t="s">
        <v>269</v>
      </c>
      <c r="H183" s="114" t="s">
        <v>362</v>
      </c>
      <c r="I183" s="115">
        <v>562619</v>
      </c>
      <c r="N183" s="114" t="str">
        <f t="shared" si="16"/>
        <v>44.BOGOTA-REGION-25m³-</v>
      </c>
    </row>
    <row r="184" spans="6:14" s="114" customFormat="1" hidden="1" x14ac:dyDescent="0.2">
      <c r="F184" s="114" t="s">
        <v>312</v>
      </c>
      <c r="G184" s="114" t="s">
        <v>270</v>
      </c>
      <c r="H184" s="114" t="s">
        <v>363</v>
      </c>
      <c r="I184" s="115">
        <v>418264</v>
      </c>
      <c r="N184" s="114" t="str">
        <f t="shared" si="16"/>
        <v>45.BOGOTA-REGION-FURGON-</v>
      </c>
    </row>
    <row r="185" spans="6:14" s="114" customFormat="1" hidden="1" x14ac:dyDescent="0.2">
      <c r="F185" s="114" t="s">
        <v>313</v>
      </c>
      <c r="G185" s="114" t="s">
        <v>271</v>
      </c>
      <c r="H185" s="114" t="s">
        <v>364</v>
      </c>
      <c r="I185" s="115">
        <v>288714</v>
      </c>
      <c r="N185" s="114" t="str">
        <f t="shared" si="16"/>
        <v>46.BOGOTA-REGION-4X4</v>
      </c>
    </row>
    <row r="186" spans="6:14" x14ac:dyDescent="0.2">
      <c r="H186" s="2" t="s">
        <v>318</v>
      </c>
      <c r="N186" s="2" t="str">
        <f t="shared" si="16"/>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981BEEBF-FE27-4243-A058-5077E87DE99E}">
      <formula1>$H$139:$H$184</formula1>
    </dataValidation>
    <dataValidation type="list" allowBlank="1" showInputMessage="1" showErrorMessage="1" sqref="F4:F7 F16:F19 X15:X16 F30:F31 F26:F28 F46:F51 X20:X22 O4:O15 O18:O24 X4:X8 F54:F64 F34:F38" xr:uid="{B990251B-2C6E-CB4F-8474-5B26C0F307BD}">
      <formula1>$H$139:$H$185</formula1>
    </dataValidation>
    <dataValidation type="list" allowBlank="1" showInputMessage="1" showErrorMessage="1" sqref="F29 F8:F13 F20:F21" xr:uid="{9344E178-035B-3448-B441-6B9C2582211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FCFB1-E542-B847-B520-F7A8C469CABF}">
  <sheetPr>
    <tabColor rgb="FFFF0000"/>
  </sheetPr>
  <dimension ref="A1:AE186"/>
  <sheetViews>
    <sheetView view="pageBreakPreview" topLeftCell="F56" zoomScale="110" zoomScaleNormal="59" zoomScaleSheetLayoutView="11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48" t="s">
        <v>13</v>
      </c>
      <c r="T4" s="103" t="str">
        <f t="shared" ref="T4:T7" si="0">+IF(X4=0,0,MID(X4,LEN(X4)-3,1))</f>
        <v>4</v>
      </c>
      <c r="U4" s="14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10" si="1">+IF(F5=0,0,MID(F5,LEN(F5)-3,1))</f>
        <v>3</v>
      </c>
      <c r="C5" s="15">
        <v>1</v>
      </c>
      <c r="D5" s="15" t="s">
        <v>365</v>
      </c>
      <c r="E5" s="47" t="str">
        <f t="shared" ref="E5:E10" si="2">+IF(F5=0,0,CONCATENATE(MID(F5,FIND("-",F5,1)+1,4),"ORAS"))</f>
        <v>15 HORAS</v>
      </c>
      <c r="F5" s="12" t="s">
        <v>320</v>
      </c>
      <c r="G5" s="11">
        <f>+IF(F5="","",VLOOKUP(F5,$H$139:$I$185,2,FALSE))</f>
        <v>514916</v>
      </c>
      <c r="H5" s="1"/>
      <c r="I5" s="17" t="s">
        <v>12</v>
      </c>
      <c r="J5" s="12" t="s">
        <v>54</v>
      </c>
      <c r="K5" s="103" t="str">
        <f t="shared" ref="K5" si="3">+IF(O5=0,0,MID(O5,LEN(O5)-3,1))</f>
        <v>3</v>
      </c>
      <c r="L5" s="14">
        <v>1</v>
      </c>
      <c r="M5" s="15" t="s">
        <v>365</v>
      </c>
      <c r="N5" s="47" t="str">
        <f>+IF(O5=0,0,CONCATENATE(MID(O5,FIND("-",O5,1)+1,4),"ORAS"))</f>
        <v>15 HORAS</v>
      </c>
      <c r="O5" s="12" t="s">
        <v>335</v>
      </c>
      <c r="P5" s="11">
        <f>+IF(O5="","",VLOOKUP(O5,$H$139:$I$185,2,FALSE))</f>
        <v>443323</v>
      </c>
      <c r="Q5" s="1"/>
      <c r="R5" s="17" t="s">
        <v>12</v>
      </c>
      <c r="S5" s="148" t="s">
        <v>15</v>
      </c>
      <c r="T5" s="103" t="str">
        <f t="shared" si="0"/>
        <v>4</v>
      </c>
      <c r="U5" s="14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1"/>
        <v>3</v>
      </c>
      <c r="C6" s="15">
        <v>1</v>
      </c>
      <c r="D6" s="15" t="s">
        <v>365</v>
      </c>
      <c r="E6" s="47" t="str">
        <f t="shared" si="2"/>
        <v>15 HORAS</v>
      </c>
      <c r="F6" s="12" t="s">
        <v>320</v>
      </c>
      <c r="G6" s="11">
        <f>+IF(F6="","",VLOOKUP(F6,$H$139:$I$185,2,FALSE))</f>
        <v>514916</v>
      </c>
      <c r="H6" s="1"/>
      <c r="I6" s="26"/>
      <c r="J6" s="12"/>
      <c r="K6" s="103"/>
      <c r="L6" s="14"/>
      <c r="M6" s="15"/>
      <c r="N6" s="47"/>
      <c r="O6" s="12"/>
      <c r="P6" s="11"/>
      <c r="Q6" s="1"/>
      <c r="R6" s="17" t="s">
        <v>12</v>
      </c>
      <c r="S6" s="148" t="s">
        <v>17</v>
      </c>
      <c r="T6" s="103" t="str">
        <f t="shared" si="0"/>
        <v>4</v>
      </c>
      <c r="U6" s="14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1"/>
        <v>3</v>
      </c>
      <c r="C7" s="15">
        <v>1</v>
      </c>
      <c r="D7" s="15" t="s">
        <v>365</v>
      </c>
      <c r="E7" s="47" t="str">
        <f t="shared" si="2"/>
        <v>15 HORAS</v>
      </c>
      <c r="F7" s="12" t="s">
        <v>320</v>
      </c>
      <c r="G7" s="11">
        <f>+IF(F7="","",VLOOKUP(F7,$H$139:$I$185,2,FALSE))</f>
        <v>514916</v>
      </c>
      <c r="H7" s="1"/>
      <c r="I7" s="112"/>
      <c r="J7" s="12"/>
      <c r="K7" s="103"/>
      <c r="L7" s="14"/>
      <c r="M7" s="15"/>
      <c r="N7" s="12"/>
      <c r="O7" s="12"/>
      <c r="P7" s="11"/>
      <c r="Q7" s="1"/>
      <c r="R7" s="29" t="s">
        <v>12</v>
      </c>
      <c r="S7" s="150" t="s">
        <v>19</v>
      </c>
      <c r="T7" s="103" t="str">
        <f t="shared" si="0"/>
        <v>4</v>
      </c>
      <c r="U7" s="151">
        <v>1</v>
      </c>
      <c r="V7" s="10" t="s">
        <v>365</v>
      </c>
      <c r="W7" s="47" t="str">
        <f>+IF(X7=0,0,CONCATENATE(MID(X7,FIND("-",X7,1)+1,4),"ORAS"))</f>
        <v>15 HORAS</v>
      </c>
      <c r="X7" s="12" t="s">
        <v>334</v>
      </c>
      <c r="Y7" s="11">
        <f>+IF(X7="","",VLOOKUP(X7,$H$139:$I$185,2,FALSE))</f>
        <v>501739</v>
      </c>
      <c r="AA7" s="21"/>
      <c r="AB7" s="21"/>
      <c r="AC7" s="21"/>
      <c r="AD7" s="21"/>
      <c r="AE7" s="21"/>
    </row>
    <row r="8" spans="1:31" ht="15.75" x14ac:dyDescent="0.25">
      <c r="A8" s="25" t="s">
        <v>243</v>
      </c>
      <c r="B8" s="128" t="str">
        <f t="shared" si="1"/>
        <v>3</v>
      </c>
      <c r="C8" s="15">
        <v>1</v>
      </c>
      <c r="D8" s="15" t="s">
        <v>365</v>
      </c>
      <c r="E8" s="47" t="str">
        <f t="shared" si="2"/>
        <v>15 HORAS</v>
      </c>
      <c r="F8" s="12" t="s">
        <v>320</v>
      </c>
      <c r="G8" s="11">
        <f>+IF(C8=0,0,IF(F8="","",VLOOKUP(F8,$H$139:$I$185,2,FALSE))*C8)</f>
        <v>514916</v>
      </c>
      <c r="H8" s="1"/>
      <c r="I8" s="112"/>
      <c r="J8" s="12"/>
      <c r="K8" s="103"/>
      <c r="L8" s="14"/>
      <c r="M8" s="15"/>
      <c r="N8" s="12"/>
      <c r="O8" s="12"/>
      <c r="P8" s="11"/>
      <c r="Q8" s="1"/>
      <c r="R8" s="17"/>
      <c r="S8" s="148"/>
      <c r="T8" s="149"/>
      <c r="U8" s="149">
        <f>+U4+U5+U6+U7</f>
        <v>4</v>
      </c>
      <c r="V8" s="15"/>
      <c r="W8" s="12"/>
      <c r="X8" s="12"/>
      <c r="Y8" s="139"/>
      <c r="AA8" s="21"/>
      <c r="AB8" s="21"/>
      <c r="AC8" s="21"/>
      <c r="AD8" s="21"/>
      <c r="AE8" s="21"/>
    </row>
    <row r="9" spans="1:31" ht="15.75" x14ac:dyDescent="0.25">
      <c r="A9" s="127" t="s">
        <v>366</v>
      </c>
      <c r="B9" s="128" t="str">
        <f t="shared" si="1"/>
        <v>4</v>
      </c>
      <c r="C9" s="15">
        <v>1</v>
      </c>
      <c r="D9" s="15" t="s">
        <v>365</v>
      </c>
      <c r="E9" s="47" t="str">
        <f t="shared" si="2"/>
        <v>15 HORAS</v>
      </c>
      <c r="F9" s="12" t="s">
        <v>319</v>
      </c>
      <c r="G9" s="11">
        <f>+IF(F9="","",VLOOKUP(F9,$H$139:$I$185,2,FALSE))</f>
        <v>582964</v>
      </c>
      <c r="H9" s="1"/>
      <c r="I9" s="26"/>
      <c r="J9" s="12"/>
      <c r="K9" s="103"/>
      <c r="L9" s="56"/>
      <c r="M9" s="56"/>
      <c r="N9" s="12"/>
      <c r="O9" s="12"/>
      <c r="P9" s="110"/>
      <c r="Q9" s="1"/>
      <c r="R9" s="33"/>
      <c r="S9" s="152"/>
      <c r="T9" s="152"/>
      <c r="U9" s="152"/>
      <c r="V9" s="35"/>
      <c r="W9" s="35"/>
      <c r="X9" s="35"/>
      <c r="Y9" s="1"/>
      <c r="AA9" s="21"/>
      <c r="AB9" s="21"/>
      <c r="AC9" s="21"/>
      <c r="AD9" s="21"/>
      <c r="AE9" s="21"/>
    </row>
    <row r="10" spans="1:31" ht="15.75" x14ac:dyDescent="0.25">
      <c r="A10" s="127" t="s">
        <v>248</v>
      </c>
      <c r="B10" s="128" t="str">
        <f t="shared" si="1"/>
        <v>4</v>
      </c>
      <c r="C10" s="15">
        <v>1</v>
      </c>
      <c r="D10" s="15" t="s">
        <v>365</v>
      </c>
      <c r="E10" s="47" t="str">
        <f t="shared" si="2"/>
        <v>15 HORAS</v>
      </c>
      <c r="F10" s="12" t="s">
        <v>319</v>
      </c>
      <c r="G10" s="11">
        <f>+IF(F10="","",VLOOKUP(F10,$H$139:$I$185,2,FALSE))</f>
        <v>582964</v>
      </c>
      <c r="H10" s="1"/>
      <c r="I10" s="26"/>
      <c r="J10" s="12"/>
      <c r="K10" s="103"/>
      <c r="L10" s="56"/>
      <c r="M10" s="56"/>
      <c r="N10" s="12"/>
      <c r="O10" s="12"/>
      <c r="P10" s="110"/>
      <c r="Q10" s="1"/>
      <c r="R10" s="33"/>
      <c r="S10" s="152"/>
      <c r="T10" s="152"/>
      <c r="U10" s="152"/>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2"/>
      <c r="T11" s="152"/>
      <c r="U11" s="152"/>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2"/>
      <c r="T12" s="152"/>
      <c r="U12" s="152"/>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4">+IF(F16=0,0,MID(F16,LEN(F16)-3,1))</f>
        <v>3</v>
      </c>
      <c r="C16" s="151">
        <v>1</v>
      </c>
      <c r="D16" s="10" t="s">
        <v>365</v>
      </c>
      <c r="E16" s="47" t="str">
        <f t="shared" ref="E16" si="5">+IF(F16=0,0,CONCATENATE(MID(F16,FIND("-",F16,1)+1,4),"ORAS"))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4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49"/>
      <c r="D18" s="15"/>
      <c r="E18" s="12"/>
      <c r="F18" s="12"/>
      <c r="G18" s="11"/>
      <c r="H18" s="1"/>
      <c r="I18" s="112"/>
      <c r="J18" s="12"/>
      <c r="K18" s="103">
        <f t="shared" ref="K18" si="6">+IF(O18=0,0,MID(O18,LEN(O18)-3,1))</f>
        <v>0</v>
      </c>
      <c r="L18" s="27">
        <v>0</v>
      </c>
      <c r="M18" s="15" t="s">
        <v>365</v>
      </c>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21</v>
      </c>
      <c r="U25" s="140">
        <f>SUM(U4:U7)</f>
        <v>4</v>
      </c>
      <c r="V25" s="62"/>
      <c r="W25" s="62"/>
      <c r="X25" s="62"/>
      <c r="Y25" s="63">
        <f>SUM(Y4:Y22)</f>
        <v>3260571</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7">+IF(F27=0,0,MID(F27,LEN(F27)-3,1))</f>
        <v>4</v>
      </c>
      <c r="C27" s="68">
        <v>1</v>
      </c>
      <c r="D27" s="20" t="s">
        <v>365</v>
      </c>
      <c r="E27" s="47" t="str">
        <f t="shared" ref="E27:E28" si="8">+IF(F27=0,0,CONCATENATE(MID(F27,FIND("-",F27,1)+1,4),"ORAS"))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7"/>
        <v>3</v>
      </c>
      <c r="C28" s="68">
        <v>1</v>
      </c>
      <c r="D28" s="20" t="s">
        <v>365</v>
      </c>
      <c r="E28" s="47" t="str">
        <f t="shared" si="8"/>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8" si="9">+IF(F34=0,0,MID(F34,LEN(F34)-3,1))</f>
        <v>3</v>
      </c>
      <c r="C34" s="153">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9"/>
        <v>3</v>
      </c>
      <c r="C35" s="153">
        <v>1</v>
      </c>
      <c r="D35" s="20" t="s">
        <v>365</v>
      </c>
      <c r="E35" s="47" t="str">
        <f t="shared" ref="E35:E38" si="10">+IF(F35=0,0,CONCATENATE(MID(F35,FIND("-",F35,1)+1,4),"ORAS"))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9"/>
        <v>3</v>
      </c>
      <c r="C36" s="153">
        <v>1</v>
      </c>
      <c r="D36" s="20" t="s">
        <v>365</v>
      </c>
      <c r="E36" s="47" t="str">
        <f t="shared" si="10"/>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 t="shared" si="9"/>
        <v>3</v>
      </c>
      <c r="C37" s="153">
        <v>1</v>
      </c>
      <c r="D37" s="20" t="s">
        <v>365</v>
      </c>
      <c r="E37" s="47" t="str">
        <f t="shared" si="10"/>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 t="shared" si="9"/>
        <v>3</v>
      </c>
      <c r="C38" s="153">
        <v>1</v>
      </c>
      <c r="D38" s="20" t="s">
        <v>365</v>
      </c>
      <c r="E38" s="47" t="str">
        <f t="shared" si="10"/>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 t="shared" ref="E40" si="11">+IF(F40=0,0,CONCATENATE(MID(F40,FIND("-",F40,1)+1,3),"ORAS"))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3"/>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56" si="12">+IF(F54=0,0,MID(F54,LEN(F54)-3,1))</f>
        <v>3</v>
      </c>
      <c r="C54" s="153">
        <v>1</v>
      </c>
      <c r="D54" s="20" t="s">
        <v>365</v>
      </c>
      <c r="E54" s="47" t="str">
        <f>+IF(F54=0,0,CONCATENATE(MID(F54,FIND("-",F54,1)+1,4),"ORAS"))</f>
        <v>15 HORAS</v>
      </c>
      <c r="F54" s="12" t="s">
        <v>335</v>
      </c>
      <c r="G54" s="11">
        <f t="shared" ref="G54:G63" si="13">+IF(F54="","",VLOOKUP(F54,$H$139:$I$185,2,FALSE))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12"/>
        <v>3</v>
      </c>
      <c r="C55" s="153">
        <v>1</v>
      </c>
      <c r="D55" s="20" t="s">
        <v>365</v>
      </c>
      <c r="E55" s="47" t="str">
        <f t="shared" ref="E55:E56" si="14">+IF(F55=0,0,CONCATENATE(MID(F55,FIND("-",F55,1)+1,4),"ORAS"))</f>
        <v>15 HORAS</v>
      </c>
      <c r="F55" s="12" t="s">
        <v>335</v>
      </c>
      <c r="G55" s="11">
        <f t="shared" si="13"/>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12"/>
        <v>3</v>
      </c>
      <c r="C56" s="153">
        <v>1</v>
      </c>
      <c r="D56" s="20" t="s">
        <v>365</v>
      </c>
      <c r="E56" s="47" t="str">
        <f t="shared" si="14"/>
        <v>15 HORAS</v>
      </c>
      <c r="F56" s="12" t="s">
        <v>335</v>
      </c>
      <c r="G56" s="11">
        <f t="shared" si="13"/>
        <v>443323</v>
      </c>
      <c r="H56" s="1"/>
      <c r="I56" s="1"/>
      <c r="J56" s="402"/>
      <c r="K56" s="402"/>
      <c r="L56" s="402"/>
      <c r="M56" s="402"/>
      <c r="N56" s="402"/>
      <c r="O56" s="402"/>
      <c r="P56" s="402"/>
      <c r="Q56" s="1"/>
      <c r="R56" s="1"/>
      <c r="S56" s="1"/>
      <c r="T56" s="1"/>
      <c r="U56" s="1"/>
      <c r="V56" s="1"/>
      <c r="W56" s="1"/>
      <c r="X56" s="1"/>
      <c r="Y56" s="1"/>
    </row>
    <row r="57" spans="1:25" ht="15.75" x14ac:dyDescent="0.25">
      <c r="A57" s="25" t="s">
        <v>372</v>
      </c>
      <c r="B57" s="103" t="str">
        <f t="shared" ref="B57:B58" si="15">+IF(F57=0,0,MID(F57,LEN(F57)-3,1))</f>
        <v>3</v>
      </c>
      <c r="C57" s="153">
        <v>1</v>
      </c>
      <c r="D57" s="20" t="s">
        <v>365</v>
      </c>
      <c r="E57" s="47" t="str">
        <f t="shared" ref="E57:E58" si="16">+IF(F57=0,0,CONCATENATE(MID(F57,FIND("-",F57,1)+1,4),"ORAS"))</f>
        <v>15 HORAS</v>
      </c>
      <c r="F57" s="12" t="s">
        <v>335</v>
      </c>
      <c r="G57" s="11">
        <f t="shared" si="13"/>
        <v>443323</v>
      </c>
      <c r="H57" s="1"/>
      <c r="I57" s="1"/>
      <c r="J57" s="402"/>
      <c r="K57" s="402"/>
      <c r="L57" s="402"/>
      <c r="M57" s="402"/>
      <c r="N57" s="402"/>
      <c r="O57" s="402"/>
      <c r="P57" s="402"/>
      <c r="Q57" s="1"/>
      <c r="R57" s="1"/>
      <c r="S57" s="1"/>
      <c r="T57" s="1"/>
      <c r="U57" s="1"/>
      <c r="V57" s="1"/>
      <c r="W57" s="1"/>
      <c r="X57" s="1"/>
      <c r="Y57" s="1"/>
    </row>
    <row r="58" spans="1:25" ht="15.75" x14ac:dyDescent="0.25">
      <c r="A58" s="25" t="s">
        <v>373</v>
      </c>
      <c r="B58" s="103" t="str">
        <f t="shared" si="15"/>
        <v>3</v>
      </c>
      <c r="C58" s="153">
        <v>1</v>
      </c>
      <c r="D58" s="20" t="s">
        <v>365</v>
      </c>
      <c r="E58" s="47" t="str">
        <f t="shared" si="16"/>
        <v>15 HORAS</v>
      </c>
      <c r="F58" s="12" t="s">
        <v>335</v>
      </c>
      <c r="G58" s="11">
        <f t="shared" si="13"/>
        <v>443323</v>
      </c>
      <c r="H58" s="1"/>
      <c r="I58" s="1"/>
      <c r="J58" s="402"/>
      <c r="K58" s="402"/>
      <c r="L58" s="402"/>
      <c r="M58" s="402"/>
      <c r="N58" s="402"/>
      <c r="O58" s="402"/>
      <c r="P58" s="402"/>
      <c r="Q58" s="1"/>
      <c r="R58" s="1"/>
      <c r="S58" s="1"/>
      <c r="T58" s="1"/>
      <c r="U58" s="1"/>
      <c r="V58" s="1"/>
      <c r="W58" s="1"/>
      <c r="X58" s="1"/>
      <c r="Y58" s="1"/>
    </row>
    <row r="59" spans="1:25" ht="15.75" x14ac:dyDescent="0.25">
      <c r="A59" s="134"/>
      <c r="B59" s="103"/>
      <c r="C59" s="153"/>
      <c r="D59" s="20"/>
      <c r="E59" s="47"/>
      <c r="F59" s="12"/>
      <c r="G59" s="11" t="str">
        <f t="shared" si="13"/>
        <v/>
      </c>
      <c r="H59" s="1"/>
      <c r="I59" s="1"/>
      <c r="J59" s="402"/>
      <c r="K59" s="402"/>
      <c r="L59" s="402"/>
      <c r="M59" s="402"/>
      <c r="N59" s="402"/>
      <c r="O59" s="402"/>
      <c r="P59" s="402"/>
      <c r="Q59" s="1"/>
      <c r="R59" s="1"/>
      <c r="S59" s="1"/>
      <c r="T59" s="1"/>
      <c r="U59" s="1"/>
      <c r="V59" s="1"/>
      <c r="W59" s="1"/>
      <c r="X59" s="1"/>
      <c r="Y59" s="1"/>
    </row>
    <row r="60" spans="1:25" ht="15.75" x14ac:dyDescent="0.25">
      <c r="A60" s="134"/>
      <c r="B60" s="103"/>
      <c r="C60" s="153"/>
      <c r="D60" s="20"/>
      <c r="E60" s="47"/>
      <c r="F60" s="12"/>
      <c r="G60" s="11" t="str">
        <f t="shared" si="13"/>
        <v/>
      </c>
      <c r="H60" s="1"/>
      <c r="I60" s="1"/>
      <c r="J60" s="402"/>
      <c r="K60" s="402"/>
      <c r="L60" s="402"/>
      <c r="M60" s="402"/>
      <c r="N60" s="402"/>
      <c r="O60" s="402"/>
      <c r="P60" s="402"/>
      <c r="Q60" s="1"/>
      <c r="R60" s="1"/>
      <c r="S60" s="1"/>
      <c r="T60" s="1"/>
      <c r="U60" s="1"/>
      <c r="V60" s="1"/>
      <c r="W60" s="1"/>
      <c r="X60" s="1"/>
      <c r="Y60" s="1"/>
    </row>
    <row r="61" spans="1:25" ht="15.75" x14ac:dyDescent="0.25">
      <c r="A61" s="134"/>
      <c r="B61" s="103"/>
      <c r="C61" s="153"/>
      <c r="D61" s="20"/>
      <c r="E61" s="47"/>
      <c r="F61" s="12"/>
      <c r="G61" s="11" t="str">
        <f t="shared" si="13"/>
        <v/>
      </c>
      <c r="H61" s="1"/>
      <c r="I61" s="1"/>
      <c r="J61" s="402"/>
      <c r="K61" s="402"/>
      <c r="L61" s="402"/>
      <c r="M61" s="402"/>
      <c r="N61" s="402"/>
      <c r="O61" s="402"/>
      <c r="P61" s="402"/>
      <c r="Q61" s="1"/>
      <c r="R61" s="1"/>
      <c r="S61" s="1"/>
      <c r="T61" s="1"/>
      <c r="U61" s="1"/>
      <c r="V61" s="1"/>
      <c r="W61" s="1"/>
      <c r="X61" s="1"/>
      <c r="Y61" s="1"/>
    </row>
    <row r="62" spans="1:25" ht="15.75" x14ac:dyDescent="0.25">
      <c r="A62" s="25"/>
      <c r="B62" s="103"/>
      <c r="C62" s="153"/>
      <c r="D62" s="20"/>
      <c r="E62" s="47"/>
      <c r="F62" s="12"/>
      <c r="G62" s="11" t="str">
        <f t="shared" si="13"/>
        <v/>
      </c>
      <c r="H62" s="1"/>
      <c r="I62" s="1"/>
      <c r="J62" s="402"/>
      <c r="K62" s="402"/>
      <c r="L62" s="402"/>
      <c r="M62" s="402"/>
      <c r="N62" s="402"/>
      <c r="O62" s="402"/>
      <c r="P62" s="402"/>
      <c r="Q62" s="1"/>
      <c r="R62" s="1"/>
      <c r="S62" s="1"/>
      <c r="T62" s="1"/>
      <c r="U62" s="1"/>
      <c r="V62" s="1"/>
      <c r="W62" s="1"/>
      <c r="X62" s="1"/>
      <c r="Y62" s="1"/>
    </row>
    <row r="63" spans="1:25" ht="15.75" x14ac:dyDescent="0.25">
      <c r="A63" s="25"/>
      <c r="B63" s="103"/>
      <c r="C63" s="153"/>
      <c r="D63" s="20"/>
      <c r="E63" s="47"/>
      <c r="F63" s="12"/>
      <c r="G63" s="11" t="str">
        <f t="shared" si="13"/>
        <v/>
      </c>
      <c r="H63" s="1"/>
      <c r="I63" s="1"/>
      <c r="J63" s="402"/>
      <c r="K63" s="402"/>
      <c r="L63" s="402"/>
      <c r="M63" s="402"/>
      <c r="N63" s="402"/>
      <c r="O63" s="402"/>
      <c r="P63" s="402"/>
      <c r="Q63" s="1"/>
      <c r="R63" s="1"/>
      <c r="S63" s="1"/>
      <c r="T63" s="1"/>
      <c r="U63" s="1"/>
      <c r="V63" s="1"/>
      <c r="W63" s="1"/>
      <c r="X63" s="1"/>
      <c r="Y63" s="1"/>
    </row>
    <row r="64" spans="1:25" ht="15.75" x14ac:dyDescent="0.25">
      <c r="A64" s="80"/>
      <c r="B64" s="103"/>
      <c r="C64" s="153"/>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t="e">
        <f>+G54+G55+G56+G57+G58+G59+G60+G61+G62+G63</f>
        <v>#VALUE!</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t="e">
        <f>G67+P25+Y25</f>
        <v>#VALUE!</v>
      </c>
      <c r="L70" s="380"/>
      <c r="M70" s="98">
        <f>G22+P18+Y20</f>
        <v>4557065</v>
      </c>
      <c r="N70" s="142">
        <f>G40+P4+P5+Y4+Y5+Y6+Y7+Y15+Y16+Y21</f>
        <v>7026099</v>
      </c>
      <c r="O70" s="98" t="e">
        <f>G65+Y22</f>
        <v>#VALUE!</v>
      </c>
      <c r="P70" s="109" t="e">
        <f>SUM(M70:O70)</f>
        <v>#VALUE!</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398</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8">+CONCATENATE(G182,F182)</f>
        <v>43.BOGOTA-REGION-40m³-</v>
      </c>
    </row>
    <row r="183" spans="6:14" s="114" customFormat="1" hidden="1" x14ac:dyDescent="0.2">
      <c r="F183" s="114" t="s">
        <v>311</v>
      </c>
      <c r="G183" s="114" t="s">
        <v>269</v>
      </c>
      <c r="H183" s="114" t="s">
        <v>362</v>
      </c>
      <c r="I183" s="115">
        <v>562619</v>
      </c>
      <c r="N183" s="114" t="str">
        <f t="shared" si="18"/>
        <v>44.BOGOTA-REGION-25m³-</v>
      </c>
    </row>
    <row r="184" spans="6:14" s="114" customFormat="1" hidden="1" x14ac:dyDescent="0.2">
      <c r="F184" s="114" t="s">
        <v>312</v>
      </c>
      <c r="G184" s="114" t="s">
        <v>270</v>
      </c>
      <c r="H184" s="114" t="s">
        <v>363</v>
      </c>
      <c r="I184" s="115">
        <v>418264</v>
      </c>
      <c r="N184" s="114" t="str">
        <f t="shared" si="18"/>
        <v>45.BOGOTA-REGION-FURGON-</v>
      </c>
    </row>
    <row r="185" spans="6:14" s="114" customFormat="1" hidden="1" x14ac:dyDescent="0.2">
      <c r="F185" s="114" t="s">
        <v>313</v>
      </c>
      <c r="G185" s="114" t="s">
        <v>271</v>
      </c>
      <c r="H185" s="114" t="s">
        <v>364</v>
      </c>
      <c r="I185" s="115">
        <v>288714</v>
      </c>
      <c r="N185" s="114" t="str">
        <f t="shared" si="18"/>
        <v>46.BOGOTA-REGION-4X4</v>
      </c>
    </row>
    <row r="186" spans="6:14" x14ac:dyDescent="0.2">
      <c r="H186" s="2" t="s">
        <v>318</v>
      </c>
      <c r="N186" s="2" t="str">
        <f t="shared" si="18"/>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51FD5393-99D4-E744-BD37-E150CFCEE6E5}">
      <formula1>$H$140:$H$185</formula1>
    </dataValidation>
    <dataValidation type="list" allowBlank="1" showInputMessage="1" showErrorMessage="1" sqref="F4:F7 F16:F19 X15:X16 F30:F31 F26:F28 F46:F51 F34:F38 O4:O15 O18:O24 X4:X8 X20:X22 F54:F64" xr:uid="{006F4F65-93EF-1544-9849-EF10E1624953}">
      <formula1>$H$139:$H$185</formula1>
    </dataValidation>
    <dataValidation type="list" allowBlank="1" showInputMessage="1" showErrorMessage="1" sqref="F39" xr:uid="{958CC120-AB1B-6840-B579-1766EE9ED530}">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9545C-AF9C-DB4B-BA53-5FCDE9F84509}">
  <sheetPr>
    <tabColor rgb="FFFF0000"/>
  </sheetPr>
  <dimension ref="A1:AE186"/>
  <sheetViews>
    <sheetView view="pageBreakPreview" topLeftCell="H62" zoomScaleNormal="59" zoomScaleSheetLayoutView="10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26"/>
      <c r="J6" s="12"/>
      <c r="K6" s="103"/>
      <c r="L6" s="14"/>
      <c r="M6" s="15"/>
      <c r="N6" s="47"/>
      <c r="O6" s="12"/>
      <c r="P6" s="11"/>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12"/>
      <c r="J7" s="12"/>
      <c r="K7" s="103"/>
      <c r="L7" s="14"/>
      <c r="M7" s="15"/>
      <c r="N7" s="12"/>
      <c r="O7" s="12"/>
      <c r="P7" s="11"/>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12"/>
      <c r="J8" s="12"/>
      <c r="K8" s="103"/>
      <c r="L8" s="14"/>
      <c r="M8" s="15"/>
      <c r="N8" s="12"/>
      <c r="O8" s="12"/>
      <c r="P8" s="11"/>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15963445</v>
      </c>
      <c r="L70" s="380"/>
      <c r="M70" s="98">
        <f>G22+P18+Y20</f>
        <v>4557065</v>
      </c>
      <c r="N70" s="142">
        <f>G40+P4+P5+Y4+Y5+Y6+Y7+Y15+Y16+Y21</f>
        <v>6599916</v>
      </c>
      <c r="O70" s="98">
        <f>G65+Y22</f>
        <v>4806464</v>
      </c>
      <c r="P70" s="109">
        <f>SUM(M70:O70)</f>
        <v>15963445</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400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A24:G24"/>
    <mergeCell ref="A32:G32"/>
    <mergeCell ref="R18:Y18"/>
    <mergeCell ref="J46:P65"/>
    <mergeCell ref="A52:G52"/>
    <mergeCell ref="K70:L70"/>
    <mergeCell ref="A42:G42"/>
    <mergeCell ref="A72:AE72"/>
    <mergeCell ref="A73:AE79"/>
    <mergeCell ref="A82:A84"/>
    <mergeCell ref="A88:A90"/>
    <mergeCell ref="B88:B90"/>
    <mergeCell ref="AA2:AE2"/>
    <mergeCell ref="R13:Y13"/>
    <mergeCell ref="A41:G41"/>
    <mergeCell ref="A1:G1"/>
    <mergeCell ref="A2:G2"/>
    <mergeCell ref="I2:P2"/>
    <mergeCell ref="R2:Y2"/>
    <mergeCell ref="A14:G14"/>
    <mergeCell ref="I16:P16"/>
    <mergeCell ref="A23:G23"/>
  </mergeCells>
  <dataValidations count="3">
    <dataValidation type="list" allowBlank="1" showInputMessage="1" showErrorMessage="1" sqref="F39" xr:uid="{5FABA9C1-8797-4655-A84D-D322D6ADD3DD}">
      <formula1>$H$139:$H$184</formula1>
    </dataValidation>
    <dataValidation type="list" allowBlank="1" showInputMessage="1" showErrorMessage="1" sqref="F4:F7 F16:F19 X15:X16 F30:F31 F26:F28 F46:F51 F34:F38 O4:O15 O18:O24 X4:X8 F54:F64 X20:X22" xr:uid="{65600FCB-AAA1-4736-93DF-1E536ABDE7DB}">
      <formula1>$H$139:$H$185</formula1>
    </dataValidation>
    <dataValidation type="list" allowBlank="1" showInputMessage="1" showErrorMessage="1" sqref="F29 F8:F13 F20:F21" xr:uid="{00000000-0002-0000-0200-000001000000}">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3189B-2DEC-DD4E-B625-94AB934694AA}">
  <sheetPr>
    <tabColor rgb="FFFF0000"/>
  </sheetPr>
  <dimension ref="A1:AE186"/>
  <sheetViews>
    <sheetView view="pageBreakPreview" topLeftCell="A52" zoomScale="80" zoomScaleNormal="59" zoomScaleSheetLayoutView="8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9.710937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402</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t="s">
        <v>12</v>
      </c>
      <c r="J8" s="12" t="s">
        <v>403</v>
      </c>
      <c r="K8" s="103">
        <v>2</v>
      </c>
      <c r="L8" s="14">
        <v>1</v>
      </c>
      <c r="M8" s="15" t="s">
        <v>365</v>
      </c>
      <c r="N8" s="47" t="str">
        <f>+IF(O8=0,0,CONCATENATE(MID(O8,FIND("-",O8,1)+1,4),"ORAS"))</f>
        <v>09 HORAS</v>
      </c>
      <c r="O8" s="12" t="s">
        <v>341</v>
      </c>
      <c r="P8" s="11">
        <f>+IF(O8="","",VLOOKUP(O8,$H$139:$I$185,2,FALSE))</f>
        <v>345928</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10</v>
      </c>
      <c r="L25" s="136">
        <f>SUM(L4:L24)</f>
        <v>5</v>
      </c>
      <c r="M25" s="60"/>
      <c r="N25" s="60"/>
      <c r="O25" s="60"/>
      <c r="P25" s="137">
        <f>SUM(P4:P23)</f>
        <v>1698317</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107</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16979177</v>
      </c>
      <c r="L70" s="380"/>
      <c r="M70" s="98">
        <f>G22+P18+Y20</f>
        <v>4557065</v>
      </c>
      <c r="N70" s="142">
        <f>G40+P4+P5+Y4+Y5+Y6+Y7+Y15+Y16+Y21+P6+P7+P8</f>
        <v>7615648</v>
      </c>
      <c r="O70" s="98">
        <f>G65+Y22</f>
        <v>4806464</v>
      </c>
      <c r="P70" s="109">
        <f>SUM(M70:O70)</f>
        <v>16979177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404</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5B3DE1E5-97AF-3446-AF98-258DC8F29500}">
      <formula1>$H$140:$H$185</formula1>
    </dataValidation>
    <dataValidation type="list" allowBlank="1" showInputMessage="1" showErrorMessage="1" sqref="F4:F7 F16:F19 X15:X16 F30:F31 F26:F28 F46:F51 F34:F38 O4:O15 O18:O24 X4:X8 F54:F64 X20:X22" xr:uid="{5D854393-9EB1-2845-A212-E213D3F2AB44}">
      <formula1>$H$139:$H$185</formula1>
    </dataValidation>
    <dataValidation type="list" allowBlank="1" showInputMessage="1" showErrorMessage="1" sqref="F39" xr:uid="{457679F5-9E8A-E940-AEA8-D905A1A3870C}">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28650-75CD-4688-AB23-B45BCC6F9931}">
  <sheetPr>
    <tabColor rgb="FFFF0000"/>
  </sheetPr>
  <dimension ref="A1:AE186"/>
  <sheetViews>
    <sheetView view="pageBreakPreview"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16633249</v>
      </c>
      <c r="L70" s="380"/>
      <c r="M70" s="98">
        <f>G22+P18+Y20</f>
        <v>4557065</v>
      </c>
      <c r="N70" s="142">
        <f>G40+P4+P5+Y4+Y5+Y6+Y7+Y15+Y16+Y21+P6+P7+P8</f>
        <v>7269720</v>
      </c>
      <c r="O70" s="98">
        <f>G65+Y22</f>
        <v>4806464</v>
      </c>
      <c r="P70" s="109">
        <f>SUM(M70:O70)</f>
        <v>16633249</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406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C9EB9156-8216-483C-AA65-778F3E521DCF}">
      <formula1>$H$139:$H$184</formula1>
    </dataValidation>
    <dataValidation type="list" allowBlank="1" showInputMessage="1" showErrorMessage="1" sqref="F4:F7 F16:F19 X15:X16 F30:F31 F26:F28 F46:F51 F34:F38 O4:O15 O18:O24 X4:X8 F54:F64 X20:X22" xr:uid="{749F618B-B19F-4B67-8D00-5FD1A1C3B4BF}">
      <formula1>$H$139:$H$185</formula1>
    </dataValidation>
    <dataValidation type="list" allowBlank="1" showInputMessage="1" showErrorMessage="1" sqref="F29 F8:F13 F20:F21" xr:uid="{888F5D21-CD6C-4812-98A6-9F02D3DB4353}">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978CD-3FC6-A747-83F2-B0DBD3B02041}">
  <sheetPr>
    <tabColor rgb="FFFF0000"/>
  </sheetPr>
  <dimension ref="A1:AE186"/>
  <sheetViews>
    <sheetView view="pageBreakPreview" topLeftCell="C40"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16633249</v>
      </c>
      <c r="L70" s="380"/>
      <c r="M70" s="98">
        <f>G22+P18+Y20</f>
        <v>4557065</v>
      </c>
      <c r="N70" s="142">
        <f>G40+P4+P5+Y4+Y5+Y6+Y7+Y15+Y16+Y21+P6+P7+P8</f>
        <v>7269720</v>
      </c>
      <c r="O70" s="98">
        <f>G65+Y22</f>
        <v>4806464</v>
      </c>
      <c r="P70" s="109">
        <f>SUM(M70:O70)</f>
        <v>16633249</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407</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2D08F572-4922-2249-A2CA-ED1ADAC858E6}">
      <formula1>$H$140:$H$185</formula1>
    </dataValidation>
    <dataValidation type="list" allowBlank="1" showInputMessage="1" showErrorMessage="1" sqref="F4:F7 F16:F19 X15:X16 F30:F31 F26:F28 F46:F51 F34:F38 O4:O15 O18:O24 X4:X8 F54:F64 X20:X22" xr:uid="{E48E39F5-7F46-4A45-9741-EB65EDE0C990}">
      <formula1>$H$139:$H$185</formula1>
    </dataValidation>
    <dataValidation type="list" allowBlank="1" showInputMessage="1" showErrorMessage="1" sqref="F39" xr:uid="{81163BFA-AAAF-DB4F-AF87-B8A6E3A9C34B}">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78A99-3098-E542-B016-C9BFC104AF85}">
  <sheetPr>
    <tabColor rgb="FFFF0000"/>
  </sheetPr>
  <dimension ref="A1:AE186"/>
  <sheetViews>
    <sheetView view="pageBreakPreview" topLeftCell="F1"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16499277</v>
      </c>
      <c r="L70" s="380"/>
      <c r="M70" s="98">
        <f>G22+P18+Y20</f>
        <v>4557065</v>
      </c>
      <c r="N70" s="142">
        <f>G40+P4+P5+Y4+Y5+Y6+Y7+Y15+Y16+Y21+P6+P7+P8</f>
        <v>7135748</v>
      </c>
      <c r="O70" s="98">
        <f>G65+Y22</f>
        <v>4806464</v>
      </c>
      <c r="P70" s="109">
        <f>SUM(M70:O70)</f>
        <v>16499277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415</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781FEF1C-0A9D-3045-805B-7AEC48ABB8FF}">
      <formula1>$H$139:$H$184</formula1>
    </dataValidation>
    <dataValidation type="list" allowBlank="1" showInputMessage="1" showErrorMessage="1" sqref="F4:F7 F16:F19 X15:X16 F30:F31 F26:F28 F46:F51 F34:F38 O4:O15 O18:O24 X4:X8 F54:F64 X20:X22" xr:uid="{27F2F159-8202-2F4E-8876-B5D5E4F56218}">
      <formula1>$H$139:$H$185</formula1>
    </dataValidation>
    <dataValidation type="list" allowBlank="1" showInputMessage="1" showErrorMessage="1" sqref="F29 F8:F13 F20:F21" xr:uid="{0024534B-1432-4C47-8C2F-43BD644CC628}">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D2B9D-0A75-A342-B469-A2A69FEA693A}">
  <sheetPr>
    <tabColor rgb="FFFF0000"/>
  </sheetPr>
  <dimension ref="A1:AE186"/>
  <sheetViews>
    <sheetView view="pageBreakPreview" topLeftCell="A72" zoomScale="60" zoomScaleNormal="59"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14</v>
      </c>
      <c r="B4" s="128">
        <v>3</v>
      </c>
      <c r="C4" s="10">
        <v>1</v>
      </c>
      <c r="D4" s="10" t="s">
        <v>365</v>
      </c>
      <c r="E4" s="47" t="str">
        <f t="shared" ref="E4" si="0">+IF(F4=0,0,CONCATENATE(MID(F4,FIND("-",F4,1)+1,4),"ORAS"))</f>
        <v>04 HORAS</v>
      </c>
      <c r="F4" s="12" t="s">
        <v>330</v>
      </c>
      <c r="G4" s="164">
        <f>+IF(F4="","",VLOOKUP(F4,$H$139:$I$185,2,FALSE))</f>
        <v>369327</v>
      </c>
      <c r="H4" s="1"/>
      <c r="I4" s="17" t="s">
        <v>12</v>
      </c>
      <c r="J4" s="113" t="s">
        <v>413</v>
      </c>
      <c r="K4" s="103">
        <v>0</v>
      </c>
      <c r="L4" s="14">
        <v>0</v>
      </c>
      <c r="M4" s="15" t="s">
        <v>365</v>
      </c>
      <c r="N4" s="47" t="str">
        <f>+IF(O4=0,0,CONCATENATE(MID(O4,FIND("-",O4,1)+1,4),"ORAS"))</f>
        <v>09 HORAS</v>
      </c>
      <c r="O4" s="12" t="s">
        <v>341</v>
      </c>
      <c r="P4" s="11">
        <f>+IF(O4="","",VLOOKUP(O4,$H$139:$I$185,2,FALSE))</f>
        <v>345928</v>
      </c>
      <c r="Q4" s="1"/>
      <c r="R4" s="17" t="s">
        <v>12</v>
      </c>
      <c r="S4" s="165" t="s">
        <v>15</v>
      </c>
      <c r="T4" s="103" t="str">
        <f>+IF(X4=0,0,MID(X4,LEN(X4)-3,1))</f>
        <v>3</v>
      </c>
      <c r="U4" s="155">
        <v>1</v>
      </c>
      <c r="V4" s="20" t="s">
        <v>365</v>
      </c>
      <c r="W4" s="47" t="str">
        <f>+IF(X4=0,0,CONCATENATE(MID(X4,FIND("-",X4,1)+1,4),"ORAS"))</f>
        <v>04 HORAS</v>
      </c>
      <c r="X4" s="12" t="s">
        <v>345</v>
      </c>
      <c r="Y4" s="164">
        <f>+IF(X4="","",VLOOKUP(X4,$H$139:$I$185,2,FALSE))</f>
        <v>323876</v>
      </c>
      <c r="AA4" s="21"/>
      <c r="AB4" s="22"/>
      <c r="AC4" s="22"/>
      <c r="AD4" s="23"/>
      <c r="AE4" s="24"/>
    </row>
    <row r="5" spans="1:31" ht="15.75" x14ac:dyDescent="0.25">
      <c r="A5" s="25" t="s">
        <v>16</v>
      </c>
      <c r="B5" s="128">
        <v>3</v>
      </c>
      <c r="C5" s="15">
        <v>1</v>
      </c>
      <c r="D5" s="15" t="s">
        <v>365</v>
      </c>
      <c r="E5" s="47" t="str">
        <f t="shared" ref="E5:E6" si="1">+IF(F5=0,0,CONCATENATE(MID(F5,FIND("-",F5,1)+1,4),"ORAS"))</f>
        <v>04 HORAS</v>
      </c>
      <c r="F5" s="12" t="s">
        <v>330</v>
      </c>
      <c r="G5" s="164">
        <f>+IF(F5="","",VLOOKUP(F5,$H$139:$I$185,2,FALSE))</f>
        <v>369327</v>
      </c>
      <c r="H5" s="1"/>
      <c r="I5" s="17" t="s">
        <v>12</v>
      </c>
      <c r="J5" s="12" t="s">
        <v>54</v>
      </c>
      <c r="K5" s="103" t="str">
        <f>+IF(O5=0,0,MID(O5,LEN(O5)-3,1))</f>
        <v>4</v>
      </c>
      <c r="L5" s="14">
        <v>1</v>
      </c>
      <c r="M5" s="15" t="s">
        <v>365</v>
      </c>
      <c r="N5" s="47" t="str">
        <f>+IF(O5=0,0,CONCATENATE(MID(O5,FIND("-",O5,1)+1,4),"ORAS"))</f>
        <v>15 HORAS</v>
      </c>
      <c r="O5" s="12" t="s">
        <v>319</v>
      </c>
      <c r="P5" s="11">
        <f>+IF(O5="","",VLOOKUP(O5,$H$139:$I$185,2,FALSE))</f>
        <v>582964</v>
      </c>
      <c r="Q5" s="1"/>
      <c r="R5" s="17"/>
      <c r="S5" s="158"/>
      <c r="T5" s="103">
        <f>+IF(X5=0,0,MID(X5,LEN(X5)-3,1))</f>
        <v>0</v>
      </c>
      <c r="U5" s="155">
        <v>0</v>
      </c>
      <c r="V5" s="20" t="s">
        <v>365</v>
      </c>
      <c r="W5" s="47">
        <f>+IF(X5=0,0,CONCATENATE(MID(X5,FIND("-",X5,1)+1,4),"ORAS"))</f>
        <v>0</v>
      </c>
      <c r="X5" s="12">
        <v>0</v>
      </c>
      <c r="Y5" s="164">
        <f>+IF(X5="","",VLOOKUP(X5,$H$139:$I$185,2,FALSE))</f>
        <v>0</v>
      </c>
      <c r="AA5" s="21"/>
      <c r="AB5" s="22"/>
      <c r="AC5" s="22"/>
      <c r="AD5" s="23"/>
      <c r="AE5" s="24"/>
    </row>
    <row r="6" spans="1:31" ht="15.75" x14ac:dyDescent="0.25">
      <c r="A6" s="9" t="s">
        <v>408</v>
      </c>
      <c r="B6" s="128">
        <v>4</v>
      </c>
      <c r="C6" s="15">
        <v>1</v>
      </c>
      <c r="D6" s="15" t="s">
        <v>365</v>
      </c>
      <c r="E6" s="47" t="str">
        <f t="shared" si="1"/>
        <v>04 HORAS</v>
      </c>
      <c r="F6" s="12" t="s">
        <v>329</v>
      </c>
      <c r="G6" s="164">
        <f>+IF(F6="","",VLOOKUP(F6,$H$139:$I$185,2,FALSE))</f>
        <v>420585</v>
      </c>
      <c r="H6" s="1"/>
      <c r="I6" s="17" t="s">
        <v>12</v>
      </c>
      <c r="J6" s="12" t="s">
        <v>401</v>
      </c>
      <c r="K6" s="103">
        <v>3</v>
      </c>
      <c r="L6" s="14">
        <v>1</v>
      </c>
      <c r="M6" s="15" t="s">
        <v>365</v>
      </c>
      <c r="N6" s="47" t="str">
        <f>+IF(O6=0,0,CONCATENATE(MID(O6,FIND("-",O6,1)+1,4),"ORAS"))</f>
        <v>04 HORAS</v>
      </c>
      <c r="O6" s="12" t="s">
        <v>345</v>
      </c>
      <c r="P6" s="11">
        <f>+IF(O6="","",VLOOKUP(O6,$H$139:$I$185,2,FALSE))</f>
        <v>323876</v>
      </c>
      <c r="Q6" s="1"/>
      <c r="R6" s="17"/>
      <c r="S6" s="158"/>
      <c r="T6" s="103">
        <f>+IF(X6=0,0,MID(X6,LEN(X6)-3,1))</f>
        <v>0</v>
      </c>
      <c r="U6" s="155">
        <v>0</v>
      </c>
      <c r="V6" s="20" t="s">
        <v>365</v>
      </c>
      <c r="W6" s="47">
        <f>+IF(X6=0,0,CONCATENATE(MID(X6,FIND("-",X6,1)+1,4),"ORAS"))</f>
        <v>0</v>
      </c>
      <c r="X6" s="12">
        <v>0</v>
      </c>
      <c r="Y6" s="164">
        <f>+IF(X6="","",VLOOKUP(X6,$H$139:$I$185,2,FALSE))</f>
        <v>0</v>
      </c>
      <c r="AA6" s="21"/>
      <c r="AB6" s="22"/>
      <c r="AC6" s="22"/>
      <c r="AD6" s="23"/>
      <c r="AE6" s="24"/>
    </row>
    <row r="7" spans="1:31" ht="15.75" x14ac:dyDescent="0.25">
      <c r="A7" s="25" t="s">
        <v>28</v>
      </c>
      <c r="B7" s="128">
        <v>3</v>
      </c>
      <c r="C7" s="10">
        <v>1</v>
      </c>
      <c r="D7" s="10" t="s">
        <v>365</v>
      </c>
      <c r="E7" s="47" t="str">
        <f t="shared" ref="E7" si="2">+IF(F7=0,0,CONCATENATE(MID(F7,FIND("-",F7,1)+1,4),"ORAS"))</f>
        <v>04 HORAS</v>
      </c>
      <c r="F7" s="12" t="s">
        <v>330</v>
      </c>
      <c r="G7" s="164">
        <f>+IF(F7="","",VLOOKUP(F7,$H$139:$I$185,2,FALSE))</f>
        <v>369327</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64">
        <f>+IF(X7="","",VLOOKUP(X7,$H$139:$I$185,2,FALSE))</f>
        <v>0</v>
      </c>
      <c r="AA7" s="21"/>
      <c r="AB7" s="21"/>
      <c r="AC7" s="21"/>
      <c r="AD7" s="21"/>
      <c r="AE7" s="21"/>
    </row>
    <row r="8" spans="1:31" ht="15.75" x14ac:dyDescent="0.25">
      <c r="A8" s="25"/>
      <c r="B8" s="128">
        <v>0</v>
      </c>
      <c r="C8" s="15">
        <v>0</v>
      </c>
      <c r="D8" s="15"/>
      <c r="E8" s="47">
        <f>+IF(F8=0,0,CONCATENATE(MID(F8,FIND("-",F8,1)+1,4),"ORAS"))</f>
        <v>0</v>
      </c>
      <c r="F8" s="12">
        <v>0</v>
      </c>
      <c r="G8" s="11">
        <f>+IF(C8=0,0,IF(F8="","",VLOOKUP(F8,$H$139:$I$185,2,FALSE))*C8)</f>
        <v>0</v>
      </c>
      <c r="H8" s="1"/>
      <c r="I8" s="17"/>
      <c r="J8" s="12"/>
      <c r="K8" s="103"/>
      <c r="L8" s="14"/>
      <c r="M8" s="15"/>
      <c r="N8" s="47">
        <f>+IF(O8=0,0,CONCATENATE(MID(O8,FIND("-",O8,1)+1,4),"ORAS"))</f>
        <v>0</v>
      </c>
      <c r="O8" s="12">
        <v>0</v>
      </c>
      <c r="P8" s="11">
        <f>+IF(O8="","",VLOOKUP(O8,$H$139:$I$185,2,FALSE))</f>
        <v>0</v>
      </c>
      <c r="Q8" s="1"/>
      <c r="R8" s="17"/>
      <c r="S8" s="158"/>
      <c r="T8" s="155"/>
      <c r="U8" s="155">
        <f>+U4+U5+U6+U7</f>
        <v>1</v>
      </c>
      <c r="V8" s="15"/>
      <c r="W8" s="12"/>
      <c r="X8" s="12"/>
      <c r="Y8" s="139"/>
      <c r="AA8" s="21"/>
      <c r="AB8" s="21"/>
      <c r="AC8" s="21"/>
      <c r="AD8" s="21"/>
      <c r="AE8" s="21"/>
    </row>
    <row r="9" spans="1:31" ht="15.75" x14ac:dyDescent="0.25">
      <c r="A9" s="25"/>
      <c r="B9" s="128">
        <f>+IF(F9=0,0,MID(F9,LEN(F9)-3,1))</f>
        <v>0</v>
      </c>
      <c r="C9" s="15">
        <v>0</v>
      </c>
      <c r="D9" s="15">
        <v>0</v>
      </c>
      <c r="E9" s="47">
        <f>+IF(F9=0,0,CONCATENATE(MID(F9,FIND("-",F9,1)+1,4),"ORAS"))</f>
        <v>0</v>
      </c>
      <c r="F9" s="12">
        <v>0</v>
      </c>
      <c r="G9" s="11">
        <f>+IF(F10="","",VLOOKUP(F10,$H$139:$I$185,2,FALSE))</f>
        <v>0</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c r="B10" s="128">
        <f>+IF(F10=0,0,MID(F10,LEN(F10)-3,1))</f>
        <v>0</v>
      </c>
      <c r="C10" s="15">
        <v>0</v>
      </c>
      <c r="D10" s="15">
        <v>0</v>
      </c>
      <c r="E10" s="47">
        <f>+IF(F10=0,0,CONCATENATE(MID(F10,FIND("-",F10,1)+1,4),"ORAS"))</f>
        <v>0</v>
      </c>
      <c r="F10" s="12">
        <v>0</v>
      </c>
      <c r="G10" s="11">
        <f>+IF(F11="","",VLOOKUP(F11,$H$139:$I$185,2,FALSE))</f>
        <v>0</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f>+IF(F11=0,0,MID(F11,LEN(F11)-3,1))</f>
        <v>0</v>
      </c>
      <c r="C11" s="15">
        <v>0</v>
      </c>
      <c r="D11" s="15">
        <v>0</v>
      </c>
      <c r="E11" s="47">
        <f>+IF(F11=0,0,CONCATENATE(MID(F11,FIND("-",F11,1)+1,4),"ORAS"))</f>
        <v>0</v>
      </c>
      <c r="F11" s="12">
        <v>0</v>
      </c>
      <c r="G11" s="11">
        <f>+IF(C11=0,0,IF(F11="","",VLOOKUP(F11,$H$139:$I$185,2,FALSE))*C11)</f>
        <v>0</v>
      </c>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+B11+B10+B9+B8+B6+B5+B4</f>
        <v>10</v>
      </c>
      <c r="C13" s="128">
        <f>+C11+C10+C9+C8+C6+C5+C4</f>
        <v>3</v>
      </c>
      <c r="D13" s="28"/>
      <c r="E13" s="28"/>
      <c r="F13" s="12"/>
      <c r="G13" s="52">
        <f>+G4+G5+G6+G7+G8+G9+G10</f>
        <v>1528566</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06 HORAS</v>
      </c>
      <c r="X15" s="12" t="s">
        <v>360</v>
      </c>
      <c r="Y15" s="166">
        <f>+IF(X15="","",VLOOKUP(X15,$H$139:$I$185,2,FALSE))*T15</f>
        <v>124686</v>
      </c>
    </row>
    <row r="16" spans="1:31" ht="18.75" customHeight="1" x14ac:dyDescent="0.2">
      <c r="A16" s="160"/>
      <c r="B16" s="128">
        <f t="shared" ref="B16" si="3">+IF(F16=0,0,MID(F16,LEN(F16)-3,1))</f>
        <v>0</v>
      </c>
      <c r="C16" s="156"/>
      <c r="D16" s="10"/>
      <c r="E16" s="47">
        <f>+IF(F16=0,0,CONCATENATE(MID(F16,FIND("-",F16,1)+1,4),"ORAS"))</f>
        <v>0</v>
      </c>
      <c r="F16" s="47">
        <v>0</v>
      </c>
      <c r="G16" s="11">
        <f>+IF(C16=0,0,IF(F16="","",VLOOKUP(F16,$H$139:$I$185,2,FALSE))*C16)</f>
        <v>0</v>
      </c>
      <c r="H16" s="1"/>
      <c r="I16" s="396" t="s">
        <v>25</v>
      </c>
      <c r="J16" s="397"/>
      <c r="K16" s="397"/>
      <c r="L16" s="397"/>
      <c r="M16" s="397"/>
      <c r="N16" s="397"/>
      <c r="O16" s="397"/>
      <c r="P16" s="398"/>
      <c r="Q16" s="1"/>
      <c r="R16" s="39"/>
      <c r="S16" s="40"/>
      <c r="T16" s="103"/>
      <c r="U16" s="40"/>
      <c r="V16" s="40"/>
      <c r="W16" s="12">
        <f>+IF(X16=0,0,CONCATENATE(MID(X16,FIND("-",X16,1)+1,4),"ORAS"))</f>
        <v>0</v>
      </c>
      <c r="X16" s="12">
        <v>0</v>
      </c>
      <c r="Y16" s="166">
        <f>+IF(X16="","",VLOOKUP(X16,$H$139:$I$185,2,FALSE))*T16</f>
        <v>0</v>
      </c>
    </row>
    <row r="17" spans="1:31" ht="23.25" customHeight="1" x14ac:dyDescent="0.2">
      <c r="A17" s="41"/>
      <c r="B17" s="161"/>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04 HORAS</v>
      </c>
      <c r="X20" s="12" t="s">
        <v>354</v>
      </c>
      <c r="Y20" s="164">
        <f>+IF(X20="","",VLOOKUP(X20,$H$139:$I$185,2,FALSE))</f>
        <v>195220</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23</v>
      </c>
      <c r="C22" s="133">
        <f>+C4+C5+C6+C8+C9+C10+C11+C16</f>
        <v>3</v>
      </c>
      <c r="D22" s="51"/>
      <c r="E22" s="131"/>
      <c r="F22" s="51"/>
      <c r="G22" s="52">
        <f>+G13+G16+G17</f>
        <v>1528566</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04 HORAS</v>
      </c>
      <c r="X22" s="12" t="s">
        <v>354</v>
      </c>
      <c r="Y22" s="166">
        <f>+IF(X22="","",VLOOKUP(X22,$H$139:$I$185,2,FALSE))</f>
        <v>195220</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2</v>
      </c>
      <c r="M25" s="60"/>
      <c r="N25" s="60"/>
      <c r="O25" s="60"/>
      <c r="P25" s="137">
        <f>SUM(P4:P23)</f>
        <v>1252768</v>
      </c>
      <c r="Q25" s="1"/>
      <c r="R25" s="1"/>
      <c r="S25" s="62" t="s">
        <v>31</v>
      </c>
      <c r="T25" s="140">
        <f>+T15+T16+T4+T5+T6+T7</f>
        <v>6</v>
      </c>
      <c r="U25" s="140">
        <f>SUM(U4:U7,U21)</f>
        <v>2</v>
      </c>
      <c r="V25" s="62"/>
      <c r="W25" s="62"/>
      <c r="X25" s="62"/>
      <c r="Y25" s="63">
        <f>SUM(Y4:Y22)</f>
        <v>1078264</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345</v>
      </c>
      <c r="G26" s="164">
        <f>+IF(C26=0,0,IF(F26="","",VLOOKUP(F26,$H$139:$I$185,2,FALSE))*C26)</f>
        <v>323876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04 HORAS</v>
      </c>
      <c r="F27" s="12" t="s">
        <v>344</v>
      </c>
      <c r="G27" s="164">
        <f>+IF(F27="","",VLOOKUP(F27,$H$139:$I$185,2,FALSE))</f>
        <v>374201</v>
      </c>
      <c r="H27" s="1"/>
      <c r="I27" s="1"/>
      <c r="J27" s="1"/>
      <c r="K27" s="1"/>
      <c r="L27" s="1"/>
      <c r="M27" s="1"/>
      <c r="N27" s="1"/>
      <c r="O27" s="1"/>
      <c r="P27" s="1"/>
      <c r="Q27" s="1"/>
      <c r="R27" s="1"/>
      <c r="S27" s="1"/>
      <c r="T27" s="1"/>
      <c r="U27" s="1"/>
      <c r="V27" s="1"/>
      <c r="W27" s="1"/>
      <c r="X27" s="1"/>
      <c r="Y27" s="1"/>
    </row>
    <row r="28" spans="1:31" ht="15.75" customHeight="1" x14ac:dyDescent="0.2">
      <c r="A28" s="44"/>
      <c r="B28" s="102">
        <f>+IF(F28=0,0,MID(F28,LEN(F28)-3,1))</f>
        <v>0</v>
      </c>
      <c r="C28" s="68"/>
      <c r="D28" s="20"/>
      <c r="E28" s="47">
        <f>+IF(F28=0,0,CONCATENATE(MID(F28,FIND("-",F28,1)+1,4),"ORAS"))</f>
        <v>0</v>
      </c>
      <c r="F28" s="12">
        <v>0</v>
      </c>
      <c r="G28" s="11">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44" t="s">
        <v>33</v>
      </c>
      <c r="B35" s="102" t="str">
        <f>+IF(F35=0,0,MID(F35,LEN(F35)-3,1))</f>
        <v>3</v>
      </c>
      <c r="C35" s="154">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c r="B36" s="102">
        <v>0</v>
      </c>
      <c r="C36" s="154">
        <v>0</v>
      </c>
      <c r="D36" s="20" t="s">
        <v>365</v>
      </c>
      <c r="E36" s="47">
        <f>+IF(F36=0,0,CONCATENATE(MID(F36,FIND("-",F36,1)+1,4),"ORAS"))</f>
        <v>0</v>
      </c>
      <c r="F36" s="12">
        <v>0</v>
      </c>
      <c r="G36" s="11"/>
      <c r="H36" s="1"/>
      <c r="I36" s="1"/>
      <c r="J36" s="1"/>
      <c r="K36" s="1"/>
      <c r="L36" s="1"/>
      <c r="M36" s="1"/>
      <c r="N36" s="1"/>
      <c r="O36" s="1"/>
      <c r="P36" s="1"/>
      <c r="Q36" s="1"/>
      <c r="R36" s="1"/>
      <c r="S36" s="1"/>
      <c r="T36" s="1"/>
      <c r="U36" s="1"/>
      <c r="V36" s="1"/>
      <c r="W36" s="1"/>
      <c r="X36" s="1"/>
      <c r="Y36" s="1"/>
    </row>
    <row r="37" spans="1:25" ht="15.75" x14ac:dyDescent="0.25">
      <c r="A37" s="53"/>
      <c r="B37" s="102">
        <f>+IF(F37=0,0,MID(F37,LEN(F37)-3,1))</f>
        <v>0</v>
      </c>
      <c r="C37" s="154"/>
      <c r="D37" s="20"/>
      <c r="E37" s="47">
        <f>+IF(F37=0,0,CONCATENATE(MID(F37,FIND("-",F37,1)+1,4),"ORAS"))</f>
        <v>0</v>
      </c>
      <c r="F37" s="12">
        <v>0</v>
      </c>
      <c r="G37" s="11">
        <f>+IF(F37="","",VLOOKUP(F37,$H$139:$I$185,2,FALSE))</f>
        <v>0</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154"/>
      <c r="D38" s="20"/>
      <c r="E38" s="47">
        <f>+IF(F38=0,0,CONCATENATE(MID(F38,FIND("-",F38,1)+1,4),"ORAS"))</f>
        <v>0</v>
      </c>
      <c r="F38" s="12">
        <v>0</v>
      </c>
      <c r="G38" s="11">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13</v>
      </c>
      <c r="C40" s="51">
        <f>SUM(C26:C32)+C34+C35+C36+C37+C38+C39</f>
        <v>4</v>
      </c>
      <c r="D40" s="51"/>
      <c r="E40" s="47">
        <f>+IF(F40=0,0,CONCATENATE(MID(F40,FIND("-",F40,1)+1,3),"ORAS"))</f>
        <v>0</v>
      </c>
      <c r="F40" s="51"/>
      <c r="G40" s="52">
        <f>+G26+G27+G28+G29+G30+G31+G34+G35+G36+G37+G38</f>
        <v>1345829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134" t="s">
        <v>409</v>
      </c>
      <c r="B46" s="128" t="str">
        <f t="shared" ref="B46:B49" si="4">+IF(F46=0,0,MID(F46,LEN(F46)-3,1))</f>
        <v>4</v>
      </c>
      <c r="C46" s="10">
        <v>1</v>
      </c>
      <c r="D46" s="10" t="s">
        <v>365</v>
      </c>
      <c r="E46" s="47" t="str">
        <f t="shared" ref="E46:E49" si="5">+IF(F46=0,0,CONCATENATE(MID(F46,FIND("-",F46,1)+1,4),"ORAS"))</f>
        <v>04 HORAS</v>
      </c>
      <c r="F46" s="12" t="s">
        <v>329</v>
      </c>
      <c r="G46" s="164">
        <f>+IF(C46=0,0,IF(F46="","",VLOOKUP(F46,$H$139:$I$185,2,FALSE))*C46)</f>
        <v>420585</v>
      </c>
      <c r="H46" s="1"/>
      <c r="I46" s="1"/>
      <c r="J46" s="402"/>
      <c r="K46" s="402"/>
      <c r="L46" s="402"/>
      <c r="M46" s="402"/>
      <c r="N46" s="402"/>
      <c r="O46" s="402"/>
      <c r="P46" s="402"/>
      <c r="Q46" s="1"/>
      <c r="R46" s="1"/>
      <c r="S46" s="1"/>
      <c r="T46" s="1"/>
      <c r="U46" s="1"/>
      <c r="V46" s="1"/>
      <c r="W46" s="1"/>
      <c r="X46" s="1"/>
      <c r="Y46" s="1"/>
    </row>
    <row r="47" spans="1:25" ht="15.75" x14ac:dyDescent="0.2">
      <c r="A47" s="134" t="s">
        <v>410</v>
      </c>
      <c r="B47" s="128" t="str">
        <f t="shared" si="4"/>
        <v>4</v>
      </c>
      <c r="C47" s="10">
        <v>1</v>
      </c>
      <c r="D47" s="10" t="s">
        <v>365</v>
      </c>
      <c r="E47" s="47" t="str">
        <f t="shared" si="5"/>
        <v>04 HORAS</v>
      </c>
      <c r="F47" s="12" t="s">
        <v>329</v>
      </c>
      <c r="G47" s="164">
        <f>+IF(C47=0,0,IF(F47="","",VLOOKUP(F47,$H$139:$I$185,2,FALSE))*C47)</f>
        <v>420585</v>
      </c>
      <c r="H47" s="1"/>
      <c r="I47" s="1"/>
      <c r="J47" s="402"/>
      <c r="K47" s="402"/>
      <c r="L47" s="402"/>
      <c r="M47" s="402"/>
      <c r="N47" s="402"/>
      <c r="O47" s="402"/>
      <c r="P47" s="402"/>
      <c r="Q47" s="1"/>
      <c r="R47" s="1"/>
      <c r="S47" s="1"/>
      <c r="T47" s="1"/>
      <c r="U47" s="1"/>
      <c r="V47" s="1"/>
      <c r="W47" s="1"/>
      <c r="X47" s="1"/>
      <c r="Y47" s="1"/>
    </row>
    <row r="48" spans="1:25" ht="15.75" x14ac:dyDescent="0.2">
      <c r="A48" s="134" t="s">
        <v>411</v>
      </c>
      <c r="B48" s="128" t="str">
        <f t="shared" si="4"/>
        <v>4</v>
      </c>
      <c r="C48" s="10">
        <v>1</v>
      </c>
      <c r="D48" s="10" t="s">
        <v>365</v>
      </c>
      <c r="E48" s="47" t="str">
        <f t="shared" si="5"/>
        <v>04 HORAS</v>
      </c>
      <c r="F48" s="12" t="s">
        <v>329</v>
      </c>
      <c r="G48" s="164">
        <f>+IF(C48=0,0,IF(F48="","",VLOOKUP(F48,$H$139:$I$185,2,FALSE))*C48)</f>
        <v>420585</v>
      </c>
      <c r="H48" s="1"/>
      <c r="I48" s="1"/>
      <c r="J48" s="402"/>
      <c r="K48" s="402"/>
      <c r="L48" s="402"/>
      <c r="M48" s="402"/>
      <c r="N48" s="402"/>
      <c r="O48" s="402"/>
      <c r="P48" s="402"/>
      <c r="Q48" s="1"/>
      <c r="R48" s="1"/>
      <c r="S48" s="1"/>
      <c r="T48" s="1"/>
      <c r="U48" s="1"/>
      <c r="V48" s="1"/>
      <c r="W48" s="1"/>
      <c r="X48" s="1"/>
      <c r="Y48" s="1"/>
    </row>
    <row r="49" spans="1:25" ht="15.75" x14ac:dyDescent="0.2">
      <c r="A49" s="134" t="s">
        <v>412</v>
      </c>
      <c r="B49" s="128" t="str">
        <f t="shared" si="4"/>
        <v>4</v>
      </c>
      <c r="C49" s="10">
        <v>1</v>
      </c>
      <c r="D49" s="10" t="s">
        <v>365</v>
      </c>
      <c r="E49" s="47" t="str">
        <f t="shared" si="5"/>
        <v>04 HORAS</v>
      </c>
      <c r="F49" s="12" t="s">
        <v>329</v>
      </c>
      <c r="G49" s="164">
        <f>+IF(C49=0,0,IF(F49="","",VLOOKUP(F49,$H$139:$I$185,2,FALSE))*C49)</f>
        <v>420585</v>
      </c>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1" si="6">+IF(F54=0,0,MID(F54,LEN(F54)-3,1))</f>
        <v>3</v>
      </c>
      <c r="C54" s="154">
        <v>1</v>
      </c>
      <c r="D54" s="20" t="s">
        <v>365</v>
      </c>
      <c r="E54" s="47" t="str">
        <f t="shared" ref="E54:E63" si="7">+IF(F54=0,0,CONCATENATE(MID(F54,FIND("-",F54,1)+1,4),"ORAS"))</f>
        <v>04 HORAS</v>
      </c>
      <c r="F54" s="12" t="s">
        <v>345</v>
      </c>
      <c r="G54" s="164">
        <f t="shared" ref="G54:G63" si="8">+IF(F54="","",VLOOKUP(F54,$H$139:$I$185,2,FALSE))</f>
        <v>323876</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6"/>
        <v>3</v>
      </c>
      <c r="C55" s="154">
        <v>1</v>
      </c>
      <c r="D55" s="20" t="s">
        <v>365</v>
      </c>
      <c r="E55" s="47" t="str">
        <f t="shared" si="7"/>
        <v>04 HORAS</v>
      </c>
      <c r="F55" s="12" t="s">
        <v>345</v>
      </c>
      <c r="G55" s="164">
        <f t="shared" si="8"/>
        <v>323876</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6"/>
        <v>3</v>
      </c>
      <c r="C56" s="154">
        <v>1</v>
      </c>
      <c r="D56" s="20" t="s">
        <v>365</v>
      </c>
      <c r="E56" s="47" t="str">
        <f t="shared" si="7"/>
        <v>04 HORAS</v>
      </c>
      <c r="F56" s="12" t="s">
        <v>345</v>
      </c>
      <c r="G56" s="164">
        <f t="shared" si="8"/>
        <v>323876</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6"/>
        <v>3</v>
      </c>
      <c r="C57" s="154">
        <v>1</v>
      </c>
      <c r="D57" s="20" t="s">
        <v>365</v>
      </c>
      <c r="E57" s="47" t="str">
        <f t="shared" si="7"/>
        <v>04 HORAS</v>
      </c>
      <c r="F57" s="12" t="s">
        <v>345</v>
      </c>
      <c r="G57" s="164">
        <f t="shared" si="8"/>
        <v>323876</v>
      </c>
      <c r="H57" s="1"/>
      <c r="I57" s="1"/>
      <c r="J57" s="402"/>
      <c r="K57" s="402"/>
      <c r="L57" s="402"/>
      <c r="M57" s="402"/>
      <c r="N57" s="402"/>
      <c r="O57" s="402"/>
      <c r="P57" s="402"/>
      <c r="Q57" s="1"/>
      <c r="R57" s="1"/>
      <c r="S57" s="1"/>
      <c r="T57" s="1"/>
      <c r="U57" s="1"/>
      <c r="V57" s="1"/>
      <c r="W57" s="1"/>
      <c r="X57" s="1"/>
      <c r="Y57" s="1"/>
    </row>
    <row r="58" spans="1:25" ht="15.75" x14ac:dyDescent="0.25">
      <c r="A58" s="25" t="s">
        <v>372</v>
      </c>
      <c r="B58" s="103">
        <v>3</v>
      </c>
      <c r="C58" s="154">
        <v>1</v>
      </c>
      <c r="D58" s="20" t="s">
        <v>365</v>
      </c>
      <c r="E58" s="47" t="str">
        <f t="shared" si="7"/>
        <v>04 HORAS</v>
      </c>
      <c r="F58" s="12" t="s">
        <v>345</v>
      </c>
      <c r="G58" s="164">
        <f t="shared" si="8"/>
        <v>323876</v>
      </c>
      <c r="H58" s="1"/>
      <c r="I58" s="1"/>
      <c r="J58" s="402"/>
      <c r="K58" s="402"/>
      <c r="L58" s="402"/>
      <c r="M58" s="402"/>
      <c r="N58" s="402"/>
      <c r="O58" s="402"/>
      <c r="P58" s="402"/>
      <c r="Q58" s="1"/>
      <c r="R58" s="1"/>
      <c r="S58" s="1"/>
      <c r="T58" s="1"/>
      <c r="U58" s="1"/>
      <c r="V58" s="1"/>
      <c r="W58" s="1"/>
      <c r="X58" s="1"/>
      <c r="Y58" s="1"/>
    </row>
    <row r="59" spans="1:25" ht="15.75" x14ac:dyDescent="0.25">
      <c r="A59" s="25" t="s">
        <v>373</v>
      </c>
      <c r="B59" s="103">
        <v>3</v>
      </c>
      <c r="C59" s="154">
        <v>1</v>
      </c>
      <c r="D59" s="20" t="s">
        <v>365</v>
      </c>
      <c r="E59" s="47" t="str">
        <f t="shared" si="7"/>
        <v>04 HORAS</v>
      </c>
      <c r="F59" s="12" t="s">
        <v>345</v>
      </c>
      <c r="G59" s="164">
        <f t="shared" si="8"/>
        <v>323876</v>
      </c>
      <c r="H59" s="1"/>
      <c r="I59" s="1"/>
      <c r="J59" s="402"/>
      <c r="K59" s="402"/>
      <c r="L59" s="402"/>
      <c r="M59" s="402"/>
      <c r="N59" s="402"/>
      <c r="O59" s="402"/>
      <c r="P59" s="402"/>
      <c r="Q59" s="1"/>
      <c r="R59" s="1"/>
      <c r="S59" s="1"/>
      <c r="T59" s="1"/>
      <c r="U59" s="1"/>
      <c r="V59" s="1"/>
      <c r="W59" s="1"/>
      <c r="X59" s="1"/>
      <c r="Y59" s="1"/>
    </row>
    <row r="60" spans="1:25" ht="15.75" x14ac:dyDescent="0.25">
      <c r="A60" s="134"/>
      <c r="B60" s="103">
        <f t="shared" si="6"/>
        <v>0</v>
      </c>
      <c r="C60" s="154">
        <v>0</v>
      </c>
      <c r="D60" s="20"/>
      <c r="E60" s="47">
        <f t="shared" si="7"/>
        <v>0</v>
      </c>
      <c r="F60" s="12">
        <v>0</v>
      </c>
      <c r="G60" s="11">
        <f t="shared" si="8"/>
        <v>0</v>
      </c>
      <c r="H60" s="1"/>
      <c r="I60" s="1"/>
      <c r="J60" s="402"/>
      <c r="K60" s="402"/>
      <c r="L60" s="402"/>
      <c r="M60" s="402"/>
      <c r="N60" s="402"/>
      <c r="O60" s="402"/>
      <c r="P60" s="402"/>
      <c r="Q60" s="1"/>
      <c r="R60" s="1"/>
      <c r="S60" s="1"/>
      <c r="T60" s="1"/>
      <c r="U60" s="1"/>
      <c r="V60" s="1"/>
      <c r="W60" s="1"/>
      <c r="X60" s="1"/>
      <c r="Y60" s="1"/>
    </row>
    <row r="61" spans="1:25" ht="15.75" x14ac:dyDescent="0.25">
      <c r="A61" s="134"/>
      <c r="B61" s="103">
        <f t="shared" si="6"/>
        <v>0</v>
      </c>
      <c r="C61" s="154">
        <v>0</v>
      </c>
      <c r="D61" s="20"/>
      <c r="E61" s="47">
        <f t="shared" si="7"/>
        <v>0</v>
      </c>
      <c r="F61" s="12">
        <v>0</v>
      </c>
      <c r="G61" s="11">
        <f t="shared" si="8"/>
        <v>0</v>
      </c>
      <c r="H61" s="1"/>
      <c r="I61" s="1"/>
      <c r="J61" s="402"/>
      <c r="K61" s="402"/>
      <c r="L61" s="402"/>
      <c r="M61" s="402"/>
      <c r="N61" s="402"/>
      <c r="O61" s="402"/>
      <c r="P61" s="402"/>
      <c r="Q61" s="1"/>
      <c r="R61" s="1"/>
      <c r="S61" s="1"/>
      <c r="T61" s="1"/>
      <c r="U61" s="1"/>
      <c r="V61" s="1"/>
      <c r="W61" s="1"/>
      <c r="X61" s="1"/>
      <c r="Y61" s="1"/>
    </row>
    <row r="62" spans="1:25" ht="15.75" x14ac:dyDescent="0.25">
      <c r="A62" s="25"/>
      <c r="B62" s="103">
        <v>0</v>
      </c>
      <c r="C62" s="154">
        <v>0</v>
      </c>
      <c r="D62" s="20"/>
      <c r="E62" s="47">
        <f t="shared" si="7"/>
        <v>0</v>
      </c>
      <c r="F62" s="12">
        <v>0</v>
      </c>
      <c r="G62" s="11">
        <f t="shared" si="8"/>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f t="shared" si="7"/>
        <v>0</v>
      </c>
      <c r="F63" s="12">
        <v>0</v>
      </c>
      <c r="G63" s="11">
        <f t="shared" si="8"/>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34</v>
      </c>
      <c r="C65" s="51">
        <f>C59+C60+C61+C62+C63+C46+C47+C48+C49+C50+C54+C55+C56+C57+C58+C64</f>
        <v>10</v>
      </c>
      <c r="D65" s="51"/>
      <c r="E65" s="125"/>
      <c r="F65" s="51"/>
      <c r="G65" s="52">
        <f>+G54+G55+G56+G57+G58+G59+G60+G61+G62+G63</f>
        <v>1943256</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hidden="1" x14ac:dyDescent="0.2">
      <c r="A67" s="62" t="s">
        <v>31</v>
      </c>
      <c r="B67" s="143">
        <f>B65+B40+B22</f>
        <v>70</v>
      </c>
      <c r="C67" s="143">
        <f>C65+C40+C22</f>
        <v>17</v>
      </c>
      <c r="D67" s="62">
        <f>D65+D40+D22</f>
        <v>0</v>
      </c>
      <c r="E67" s="1"/>
      <c r="F67" s="1"/>
      <c r="G67" s="52">
        <f>G65+G40+G22</f>
        <v>4817651</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7148683</v>
      </c>
      <c r="L70" s="380"/>
      <c r="M70" s="98">
        <f>G22+P18+Y20</f>
        <v>1723786</v>
      </c>
      <c r="N70" s="142">
        <f>G40+P4+P5+Y4+Y5+Y6+Y7+Y15+Y16+Y21+P6+P7+P8</f>
        <v>3286421</v>
      </c>
      <c r="O70" s="98">
        <f>G65+Y22</f>
        <v>2138476</v>
      </c>
      <c r="P70" s="109">
        <f>SUM(M70:O70)</f>
        <v>7148683</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9">+CONCATENATE(G140,F140)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9"/>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9"/>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9"/>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9"/>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9"/>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9"/>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9"/>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9"/>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9"/>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9"/>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9"/>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9"/>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9"/>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9"/>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9"/>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9"/>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9"/>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9"/>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9"/>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9"/>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9"/>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9"/>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9"/>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9"/>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9"/>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9"/>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9"/>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9"/>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9"/>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9"/>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9"/>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9"/>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9"/>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9"/>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9"/>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9"/>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9"/>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9"/>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9"/>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9"/>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9"/>
        <v>42.OPERARIO-6-H</v>
      </c>
    </row>
    <row r="182" spans="6:14" s="114" customFormat="1" hidden="1" x14ac:dyDescent="0.2">
      <c r="F182" s="114" t="s">
        <v>310</v>
      </c>
      <c r="G182" s="114" t="s">
        <v>268</v>
      </c>
      <c r="H182" s="114" t="s">
        <v>361</v>
      </c>
      <c r="I182" s="115">
        <v>628232</v>
      </c>
      <c r="N182" s="114" t="str">
        <f t="shared" si="9"/>
        <v>43.BOGOTA-REGION-40m³-</v>
      </c>
    </row>
    <row r="183" spans="6:14" s="114" customFormat="1" hidden="1" x14ac:dyDescent="0.2">
      <c r="F183" s="114" t="s">
        <v>311</v>
      </c>
      <c r="G183" s="114" t="s">
        <v>269</v>
      </c>
      <c r="H183" s="114" t="s">
        <v>362</v>
      </c>
      <c r="I183" s="115">
        <v>562619</v>
      </c>
      <c r="N183" s="114" t="str">
        <f t="shared" si="9"/>
        <v>44.BOGOTA-REGION-25m³-</v>
      </c>
    </row>
    <row r="184" spans="6:14" s="114" customFormat="1" hidden="1" x14ac:dyDescent="0.2">
      <c r="F184" s="114" t="s">
        <v>312</v>
      </c>
      <c r="G184" s="114" t="s">
        <v>270</v>
      </c>
      <c r="H184" s="114" t="s">
        <v>363</v>
      </c>
      <c r="I184" s="115">
        <v>418264</v>
      </c>
      <c r="N184" s="114" t="str">
        <f t="shared" si="9"/>
        <v>45.BOGOTA-REGION-FURGON-</v>
      </c>
    </row>
    <row r="185" spans="6:14" s="114" customFormat="1" hidden="1" x14ac:dyDescent="0.2">
      <c r="F185" s="114" t="s">
        <v>313</v>
      </c>
      <c r="G185" s="114" t="s">
        <v>271</v>
      </c>
      <c r="H185" s="114" t="s">
        <v>364</v>
      </c>
      <c r="I185" s="115">
        <v>288714</v>
      </c>
      <c r="N185" s="114" t="str">
        <f t="shared" si="9"/>
        <v>46.BOGOTA-REGION-4X4</v>
      </c>
    </row>
    <row r="186" spans="6:14" x14ac:dyDescent="0.2">
      <c r="H186" s="2" t="s">
        <v>318</v>
      </c>
      <c r="N186" s="2" t="str">
        <f t="shared" si="9"/>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20:F21 F12:F13" xr:uid="{75A1E8C7-073B-4046-A444-7814B2741711}">
      <formula1>$H$140:$H$185</formula1>
    </dataValidation>
    <dataValidation type="list" allowBlank="1" showInputMessage="1" showErrorMessage="1" sqref="F16:F19 X15:X16 F30:F31 F26:F28 X20:X22 F46:F51 O4:O15 O18:O24 X4:X8 F54:F64 F34:F38 F4:F11" xr:uid="{E29D8586-BEE8-A947-92AE-251C37B752A0}">
      <formula1>$H$139:$H$185</formula1>
    </dataValidation>
    <dataValidation type="list" allowBlank="1" showInputMessage="1" showErrorMessage="1" sqref="F39" xr:uid="{9EB95E25-A300-444C-88C1-1D739B466287}">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71443-EB20-634D-8BA7-365A0511AD51}">
  <sheetPr>
    <tabColor rgb="FFFF0000"/>
  </sheetPr>
  <dimension ref="A1:AE186"/>
  <sheetViews>
    <sheetView view="pageBreakPreview" topLeftCell="A73" zoomScaleNormal="59" zoomScaleSheetLayoutView="10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14</v>
      </c>
      <c r="B4" s="128">
        <v>3</v>
      </c>
      <c r="C4" s="10">
        <v>0</v>
      </c>
      <c r="D4" s="10" t="s">
        <v>365</v>
      </c>
      <c r="E4" s="47" t="str">
        <f t="shared" ref="E4:E7" si="0">+IF(F4=0,0,CONCATENATE(MID(F4,FIND("-",F4,1)+1,4),"ORAS"))</f>
        <v>04 HORAS</v>
      </c>
      <c r="F4" s="12" t="s">
        <v>330</v>
      </c>
      <c r="G4" s="164">
        <f>+IF(F4="","",VLOOKUP(F4,$H$139:$I$185,2,FALSE))</f>
        <v>369327</v>
      </c>
      <c r="H4" s="1"/>
      <c r="I4" s="17" t="s">
        <v>12</v>
      </c>
      <c r="J4" s="12" t="s">
        <v>401</v>
      </c>
      <c r="K4" s="103">
        <v>3</v>
      </c>
      <c r="L4" s="14">
        <v>0</v>
      </c>
      <c r="M4" s="15" t="s">
        <v>365</v>
      </c>
      <c r="N4" s="47" t="str">
        <f>+IF(O4=0,0,CONCATENATE(MID(O4,FIND("-",O4,1)+1,4),"ORAS"))</f>
        <v>04 HORAS</v>
      </c>
      <c r="O4" s="12" t="s">
        <v>345</v>
      </c>
      <c r="P4" s="11">
        <f>+IF(O4="","",VLOOKUP(O4,$H$139:$I$185,2,FALSE))</f>
        <v>323876</v>
      </c>
      <c r="Q4" s="1"/>
      <c r="R4" s="17" t="s">
        <v>12</v>
      </c>
      <c r="S4" s="165" t="s">
        <v>15</v>
      </c>
      <c r="T4" s="103" t="str">
        <f>+IF(X4=0,0,MID(X4,LEN(X4)-3,1))</f>
        <v>3</v>
      </c>
      <c r="U4" s="155">
        <v>1</v>
      </c>
      <c r="V4" s="20" t="s">
        <v>365</v>
      </c>
      <c r="W4" s="47" t="str">
        <f>+IF(X4=0,0,CONCATENATE(MID(X4,FIND("-",X4,1)+1,4),"ORAS"))</f>
        <v>04 HORAS</v>
      </c>
      <c r="X4" s="12" t="s">
        <v>345</v>
      </c>
      <c r="Y4" s="164">
        <f>+IF(X4="","",VLOOKUP(X4,$H$139:$I$185,2,FALSE))</f>
        <v>323876</v>
      </c>
      <c r="AA4" s="21"/>
      <c r="AB4" s="22"/>
      <c r="AC4" s="22"/>
      <c r="AD4" s="23"/>
      <c r="AE4" s="24"/>
    </row>
    <row r="5" spans="1:31" ht="15.75" x14ac:dyDescent="0.25">
      <c r="A5" s="25" t="s">
        <v>16</v>
      </c>
      <c r="B5" s="128">
        <v>3</v>
      </c>
      <c r="C5" s="15">
        <v>1</v>
      </c>
      <c r="D5" s="15" t="s">
        <v>365</v>
      </c>
      <c r="E5" s="47" t="str">
        <f t="shared" si="0"/>
        <v>04 HORAS</v>
      </c>
      <c r="F5" s="12" t="s">
        <v>330</v>
      </c>
      <c r="G5" s="164">
        <f>+IF(F5="","",VLOOKUP(F5,$H$139:$I$185,2,FALSE))</f>
        <v>369327</v>
      </c>
      <c r="H5" s="1"/>
      <c r="I5" s="17"/>
      <c r="J5" s="12"/>
      <c r="K5" s="103">
        <f>+IF(O5=0,0,MID(O5,LEN(O5)-3,1))</f>
        <v>0</v>
      </c>
      <c r="L5" s="14">
        <v>0</v>
      </c>
      <c r="M5" s="15">
        <v>0</v>
      </c>
      <c r="N5" s="47">
        <f>+IF(O5=0,0,CONCATENATE(MID(O5,FIND("-",O5,1)+1,4),"ORAS"))</f>
        <v>0</v>
      </c>
      <c r="O5" s="12">
        <v>0</v>
      </c>
      <c r="P5" s="11">
        <f>+IF(O5="","",VLOOKUP(O5,$H$139:$I$185,2,FALSE))</f>
        <v>0</v>
      </c>
      <c r="Q5" s="1"/>
      <c r="R5" s="17"/>
      <c r="S5" s="158"/>
      <c r="T5" s="103">
        <f>+IF(X5=0,0,MID(X5,LEN(X5)-3,1))</f>
        <v>0</v>
      </c>
      <c r="U5" s="155">
        <v>0</v>
      </c>
      <c r="V5" s="20" t="s">
        <v>365</v>
      </c>
      <c r="W5" s="47">
        <f>+IF(X5=0,0,CONCATENATE(MID(X5,FIND("-",X5,1)+1,4),"ORAS"))</f>
        <v>0</v>
      </c>
      <c r="X5" s="12">
        <v>0</v>
      </c>
      <c r="Y5" s="164">
        <f>+IF(X5="","",VLOOKUP(X5,$H$139:$I$185,2,FALSE))</f>
        <v>0</v>
      </c>
      <c r="AA5" s="21"/>
      <c r="AB5" s="22"/>
      <c r="AC5" s="22"/>
      <c r="AD5" s="23"/>
      <c r="AE5" s="24"/>
    </row>
    <row r="6" spans="1:31" ht="15.75" x14ac:dyDescent="0.25">
      <c r="A6" s="9" t="s">
        <v>408</v>
      </c>
      <c r="B6" s="128">
        <v>4</v>
      </c>
      <c r="C6" s="15">
        <v>1</v>
      </c>
      <c r="D6" s="15" t="s">
        <v>365</v>
      </c>
      <c r="E6" s="47" t="str">
        <f t="shared" si="0"/>
        <v>04 HORAS</v>
      </c>
      <c r="F6" s="12" t="s">
        <v>329</v>
      </c>
      <c r="G6" s="164">
        <f>+IF(F6="","",VLOOKUP(F6,$H$139:$I$185,2,FALSE))</f>
        <v>420585</v>
      </c>
      <c r="H6" s="1"/>
      <c r="I6" s="17"/>
      <c r="J6" s="12"/>
      <c r="K6" s="103">
        <v>0</v>
      </c>
      <c r="L6" s="14">
        <v>0</v>
      </c>
      <c r="M6" s="15">
        <v>0</v>
      </c>
      <c r="N6" s="47">
        <f>+IF(O6=0,0,CONCATENATE(MID(O6,FIND("-",O6,1)+1,4),"ORAS"))</f>
        <v>0</v>
      </c>
      <c r="O6" s="12">
        <v>0</v>
      </c>
      <c r="P6" s="11">
        <f>+IF(O6="","",VLOOKUP(O6,$H$139:$I$185,2,FALSE))</f>
        <v>0</v>
      </c>
      <c r="Q6" s="1"/>
      <c r="R6" s="17"/>
      <c r="S6" s="158"/>
      <c r="T6" s="103">
        <f>+IF(X6=0,0,MID(X6,LEN(X6)-3,1))</f>
        <v>0</v>
      </c>
      <c r="U6" s="155">
        <v>0</v>
      </c>
      <c r="V6" s="20" t="s">
        <v>365</v>
      </c>
      <c r="W6" s="47">
        <f>+IF(X6=0,0,CONCATENATE(MID(X6,FIND("-",X6,1)+1,4),"ORAS"))</f>
        <v>0</v>
      </c>
      <c r="X6" s="12">
        <v>0</v>
      </c>
      <c r="Y6" s="164">
        <f>+IF(X6="","",VLOOKUP(X6,$H$139:$I$185,2,FALSE))</f>
        <v>0</v>
      </c>
      <c r="AA6" s="21"/>
      <c r="AB6" s="22"/>
      <c r="AC6" s="22"/>
      <c r="AD6" s="23"/>
      <c r="AE6" s="24"/>
    </row>
    <row r="7" spans="1:31" ht="15.75" x14ac:dyDescent="0.25">
      <c r="A7" s="25" t="s">
        <v>28</v>
      </c>
      <c r="B7" s="128">
        <v>3</v>
      </c>
      <c r="C7" s="10">
        <v>1</v>
      </c>
      <c r="D7" s="10" t="s">
        <v>365</v>
      </c>
      <c r="E7" s="47" t="str">
        <f t="shared" si="0"/>
        <v>04 HORAS</v>
      </c>
      <c r="F7" s="12" t="s">
        <v>330</v>
      </c>
      <c r="G7" s="164">
        <f>+IF(F7="","",VLOOKUP(F7,$H$139:$I$185,2,FALSE))</f>
        <v>369327</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64">
        <f>+IF(X7="","",VLOOKUP(X7,$H$139:$I$185,2,FALSE))</f>
        <v>0</v>
      </c>
      <c r="AA7" s="21"/>
      <c r="AB7" s="21"/>
      <c r="AC7" s="21"/>
      <c r="AD7" s="21"/>
      <c r="AE7" s="21"/>
    </row>
    <row r="8" spans="1:31" ht="15.75" x14ac:dyDescent="0.25">
      <c r="A8" s="25"/>
      <c r="B8" s="128">
        <v>0</v>
      </c>
      <c r="C8" s="15">
        <v>0</v>
      </c>
      <c r="D8" s="15"/>
      <c r="E8" s="47">
        <f>+IF(F8=0,0,CONCATENATE(MID(F8,FIND("-",F8,1)+1,4),"ORAS"))</f>
        <v>0</v>
      </c>
      <c r="F8" s="12">
        <v>0</v>
      </c>
      <c r="G8" s="11">
        <f>+IF(C8=0,0,IF(F8="","",VLOOKUP(F8,$H$139:$I$185,2,FALSE))*C8)</f>
        <v>0</v>
      </c>
      <c r="H8" s="1"/>
      <c r="I8" s="17"/>
      <c r="J8" s="12"/>
      <c r="K8" s="103"/>
      <c r="L8" s="14"/>
      <c r="M8" s="15"/>
      <c r="N8" s="47">
        <f>+IF(O8=0,0,CONCATENATE(MID(O8,FIND("-",O8,1)+1,4),"ORAS"))</f>
        <v>0</v>
      </c>
      <c r="O8" s="12">
        <v>0</v>
      </c>
      <c r="P8" s="11">
        <f>+IF(O8="","",VLOOKUP(O8,$H$139:$I$185,2,FALSE))</f>
        <v>0</v>
      </c>
      <c r="Q8" s="1"/>
      <c r="R8" s="17"/>
      <c r="S8" s="158"/>
      <c r="T8" s="155"/>
      <c r="U8" s="155">
        <f>+U4+U5+U6+U7</f>
        <v>1</v>
      </c>
      <c r="V8" s="15"/>
      <c r="W8" s="12"/>
      <c r="X8" s="12"/>
      <c r="Y8" s="139"/>
      <c r="AA8" s="21"/>
      <c r="AB8" s="21"/>
      <c r="AC8" s="21"/>
      <c r="AD8" s="21"/>
      <c r="AE8" s="21"/>
    </row>
    <row r="9" spans="1:31" ht="15.75" x14ac:dyDescent="0.25">
      <c r="A9" s="25"/>
      <c r="B9" s="128">
        <f>+IF(F9=0,0,MID(F9,LEN(F9)-3,1))</f>
        <v>0</v>
      </c>
      <c r="C9" s="15">
        <v>0</v>
      </c>
      <c r="D9" s="15">
        <v>0</v>
      </c>
      <c r="E9" s="47">
        <f>+IF(F9=0,0,CONCATENATE(MID(F9,FIND("-",F9,1)+1,4),"ORAS"))</f>
        <v>0</v>
      </c>
      <c r="F9" s="12">
        <v>0</v>
      </c>
      <c r="G9" s="11">
        <f>+IF(F10="","",VLOOKUP(F10,$H$139:$I$185,2,FALSE))</f>
        <v>0</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c r="B10" s="128">
        <f>+IF(F10=0,0,MID(F10,LEN(F10)-3,1))</f>
        <v>0</v>
      </c>
      <c r="C10" s="15">
        <v>0</v>
      </c>
      <c r="D10" s="15">
        <v>0</v>
      </c>
      <c r="E10" s="47">
        <f>+IF(F10=0,0,CONCATENATE(MID(F10,FIND("-",F10,1)+1,4),"ORAS"))</f>
        <v>0</v>
      </c>
      <c r="F10" s="12">
        <v>0</v>
      </c>
      <c r="G10" s="11">
        <f>+IF(F11="","",VLOOKUP(F11,$H$139:$I$185,2,FALSE))</f>
        <v>0</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f>+IF(F11=0,0,MID(F11,LEN(F11)-3,1))</f>
        <v>0</v>
      </c>
      <c r="C11" s="15">
        <v>0</v>
      </c>
      <c r="D11" s="15">
        <v>0</v>
      </c>
      <c r="E11" s="47">
        <f>+IF(F11=0,0,CONCATENATE(MID(F11,FIND("-",F11,1)+1,4),"ORAS"))</f>
        <v>0</v>
      </c>
      <c r="F11" s="12">
        <v>0</v>
      </c>
      <c r="G11" s="11">
        <f>+IF(C11=0,0,IF(F11="","",VLOOKUP(F11,$H$139:$I$185,2,FALSE))*C11)</f>
        <v>0</v>
      </c>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+B11+B10+B9+B8+B6+B5+B4</f>
        <v>10</v>
      </c>
      <c r="C13" s="128">
        <f>+C11+C10+C9+C8+C6+C5+C4</f>
        <v>2</v>
      </c>
      <c r="D13" s="28"/>
      <c r="E13" s="28"/>
      <c r="F13" s="12"/>
      <c r="G13" s="52">
        <f>+G4+G5+G6+G7+G8+G9+G10</f>
        <v>1528566</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06 HORAS</v>
      </c>
      <c r="X15" s="12" t="s">
        <v>360</v>
      </c>
      <c r="Y15" s="166">
        <f>+IF(X15="","",VLOOKUP(X15,$H$139:$I$185,2,FALSE))*T15</f>
        <v>124686</v>
      </c>
    </row>
    <row r="16" spans="1:31" ht="18.75" customHeight="1" x14ac:dyDescent="0.2">
      <c r="A16" s="160"/>
      <c r="B16" s="128">
        <f t="shared" ref="B16" si="1">+IF(F16=0,0,MID(F16,LEN(F16)-3,1))</f>
        <v>0</v>
      </c>
      <c r="C16" s="156"/>
      <c r="D16" s="10"/>
      <c r="E16" s="47">
        <f>+IF(F16=0,0,CONCATENATE(MID(F16,FIND("-",F16,1)+1,4),"ORAS"))</f>
        <v>0</v>
      </c>
      <c r="F16" s="47">
        <v>0</v>
      </c>
      <c r="G16" s="11">
        <f>+IF(C16=0,0,IF(F16="","",VLOOKUP(F16,$H$139:$I$185,2,FALSE))*C16)</f>
        <v>0</v>
      </c>
      <c r="H16" s="1"/>
      <c r="I16" s="396" t="s">
        <v>25</v>
      </c>
      <c r="J16" s="397"/>
      <c r="K16" s="397"/>
      <c r="L16" s="397"/>
      <c r="M16" s="397"/>
      <c r="N16" s="397"/>
      <c r="O16" s="397"/>
      <c r="P16" s="398"/>
      <c r="Q16" s="1"/>
      <c r="R16" s="39"/>
      <c r="S16" s="40"/>
      <c r="T16" s="103"/>
      <c r="U16" s="40"/>
      <c r="V16" s="40"/>
      <c r="W16" s="12">
        <f>+IF(X16=0,0,CONCATENATE(MID(X16,FIND("-",X16,1)+1,4),"ORAS"))</f>
        <v>0</v>
      </c>
      <c r="X16" s="12">
        <v>0</v>
      </c>
      <c r="Y16" s="166">
        <f>+IF(X16="","",VLOOKUP(X16,$H$139:$I$185,2,FALSE))*T16</f>
        <v>0</v>
      </c>
    </row>
    <row r="17" spans="1:31" ht="23.25" customHeight="1" x14ac:dyDescent="0.2">
      <c r="A17" s="41"/>
      <c r="B17" s="161"/>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155"/>
      <c r="D18" s="15"/>
      <c r="E18" s="12"/>
      <c r="F18" s="12"/>
      <c r="G18" s="11"/>
      <c r="H18" s="1"/>
      <c r="I18" s="112"/>
      <c r="J18" s="12"/>
      <c r="K18" s="103">
        <v>2</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04 HORAS</v>
      </c>
      <c r="X20" s="12" t="s">
        <v>354</v>
      </c>
      <c r="Y20" s="164">
        <f>+IF(X20="","",VLOOKUP(X20,$H$139:$I$185,2,FALSE))</f>
        <v>195220</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04 HORAS</v>
      </c>
      <c r="X21" s="12" t="s">
        <v>354</v>
      </c>
      <c r="Y21" s="164">
        <f>+IF(X21="","",VLOOKUP(X21,$H$139:$I$185,2,FALSE))</f>
        <v>195220</v>
      </c>
      <c r="AA21" s="21"/>
      <c r="AB21" s="21"/>
      <c r="AC21" s="21"/>
      <c r="AD21" s="21"/>
      <c r="AE21" s="21"/>
    </row>
    <row r="22" spans="1:31" ht="15.75" x14ac:dyDescent="0.25">
      <c r="A22" s="50" t="s">
        <v>29</v>
      </c>
      <c r="B22" s="133">
        <f>SUM(B4:B13)+B16+B17+B18+B19+B20+B21</f>
        <v>23</v>
      </c>
      <c r="C22" s="133">
        <f>+C4+C5+C6+C8+C9+C10+C11+C16</f>
        <v>2</v>
      </c>
      <c r="D22" s="51"/>
      <c r="E22" s="131"/>
      <c r="F22" s="51"/>
      <c r="G22" s="52">
        <f>+G13+G16+G17</f>
        <v>1528566</v>
      </c>
      <c r="H22" s="1"/>
      <c r="I22" s="26"/>
      <c r="J22" s="12"/>
      <c r="K22" s="103"/>
      <c r="L22" s="27"/>
      <c r="M22" s="27"/>
      <c r="N22" s="47"/>
      <c r="O22" s="12"/>
      <c r="P22" s="43"/>
      <c r="Q22" s="1"/>
      <c r="R22" s="138" t="s">
        <v>57</v>
      </c>
      <c r="S22" s="40"/>
      <c r="T22" s="103" t="s">
        <v>377</v>
      </c>
      <c r="U22" s="40" t="s">
        <v>377</v>
      </c>
      <c r="V22" s="15"/>
      <c r="W22" s="12">
        <f>+IF(X22=0,0,CONCATENATE(MID(X22,FIND("-",X22,1)+1,4),"ORAS"))</f>
        <v>0</v>
      </c>
      <c r="X22" s="12">
        <v>0</v>
      </c>
      <c r="Y22" s="166">
        <f>+IF(X22="","",VLOOKUP(X22,$H$139:$I$185,2,FALSE))</f>
        <v>0</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5</v>
      </c>
      <c r="L25" s="136">
        <f>SUM(L4:L24)</f>
        <v>0</v>
      </c>
      <c r="M25" s="60"/>
      <c r="N25" s="60"/>
      <c r="O25" s="60"/>
      <c r="P25" s="137">
        <f>SUM(P4:P23)</f>
        <v>323876</v>
      </c>
      <c r="Q25" s="1"/>
      <c r="R25" s="1"/>
      <c r="S25" s="62" t="s">
        <v>31</v>
      </c>
      <c r="T25" s="140">
        <f>+T15+T16+T4+T5+T6+T7</f>
        <v>6</v>
      </c>
      <c r="U25" s="140">
        <f>SUM(U4:U7)</f>
        <v>1</v>
      </c>
      <c r="V25" s="62"/>
      <c r="W25" s="62"/>
      <c r="X25" s="62"/>
      <c r="Y25" s="63">
        <f>SUM(Y4:Y22)</f>
        <v>839002</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330</v>
      </c>
      <c r="G26" s="164">
        <f>+IF(C26=0,0,IF(F26="","",VLOOKUP(F26,$H$139:$I$185,2,FALSE))*C26)</f>
        <v>369327</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3</v>
      </c>
      <c r="C27" s="68">
        <v>1</v>
      </c>
      <c r="D27" s="20" t="s">
        <v>365</v>
      </c>
      <c r="E27" s="47" t="str">
        <f>+IF(F27=0,0,CONCATENATE(MID(F27,FIND("-",F27,1)+1,4),"ORAS"))</f>
        <v>04 HORAS</v>
      </c>
      <c r="F27" s="12" t="s">
        <v>330</v>
      </c>
      <c r="G27" s="164">
        <f>+IF(F27="","",VLOOKUP(F27,$H$139:$I$185,2,FALSE))</f>
        <v>369327</v>
      </c>
      <c r="H27" s="1"/>
      <c r="I27" s="1"/>
      <c r="J27" s="1"/>
      <c r="K27" s="1"/>
      <c r="L27" s="1"/>
      <c r="M27" s="1"/>
      <c r="N27" s="1"/>
      <c r="O27" s="1"/>
      <c r="P27" s="1"/>
      <c r="Q27" s="1"/>
      <c r="R27" s="1"/>
      <c r="S27" s="1"/>
      <c r="T27" s="1"/>
      <c r="U27" s="1"/>
      <c r="V27" s="1"/>
      <c r="W27" s="1"/>
      <c r="X27" s="1"/>
      <c r="Y27" s="1"/>
    </row>
    <row r="28" spans="1:31" ht="15.75" customHeight="1" x14ac:dyDescent="0.2">
      <c r="A28" s="44"/>
      <c r="B28" s="102">
        <f>+IF(F28=0,0,MID(F28,LEN(F28)-3,1))</f>
        <v>0</v>
      </c>
      <c r="C28" s="68"/>
      <c r="D28" s="20"/>
      <c r="E28" s="47">
        <f>+IF(F28=0,0,CONCATENATE(MID(F28,FIND("-",F28,1)+1,4),"ORAS"))</f>
        <v>0</v>
      </c>
      <c r="F28" s="12">
        <v>0</v>
      </c>
      <c r="G28" s="11">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44" t="s">
        <v>33</v>
      </c>
      <c r="B35" s="102" t="str">
        <f>+IF(F35=0,0,MID(F35,LEN(F35)-3,1))</f>
        <v>3</v>
      </c>
      <c r="C35" s="154">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c r="B36" s="102">
        <v>0</v>
      </c>
      <c r="C36" s="154">
        <v>0</v>
      </c>
      <c r="D36" s="20" t="s">
        <v>365</v>
      </c>
      <c r="E36" s="47">
        <f>+IF(F36=0,0,CONCATENATE(MID(F36,FIND("-",F36,1)+1,4),"ORAS"))</f>
        <v>0</v>
      </c>
      <c r="F36" s="12">
        <v>0</v>
      </c>
      <c r="G36" s="11"/>
      <c r="H36" s="1"/>
      <c r="I36" s="1"/>
      <c r="J36" s="1"/>
      <c r="K36" s="1"/>
      <c r="L36" s="1"/>
      <c r="M36" s="1"/>
      <c r="N36" s="1"/>
      <c r="O36" s="1"/>
      <c r="P36" s="1"/>
      <c r="Q36" s="1"/>
      <c r="R36" s="1"/>
      <c r="S36" s="1"/>
      <c r="T36" s="1"/>
      <c r="U36" s="1"/>
      <c r="V36" s="1"/>
      <c r="W36" s="1"/>
      <c r="X36" s="1"/>
      <c r="Y36" s="1"/>
    </row>
    <row r="37" spans="1:25" ht="15.75" x14ac:dyDescent="0.25">
      <c r="A37" s="53"/>
      <c r="B37" s="102">
        <f>+IF(F37=0,0,MID(F37,LEN(F37)-3,1))</f>
        <v>0</v>
      </c>
      <c r="C37" s="154"/>
      <c r="D37" s="20"/>
      <c r="E37" s="47">
        <f>+IF(F37=0,0,CONCATENATE(MID(F37,FIND("-",F37,1)+1,4),"ORAS"))</f>
        <v>0</v>
      </c>
      <c r="F37" s="12">
        <v>0</v>
      </c>
      <c r="G37" s="11">
        <f>+IF(F37="","",VLOOKUP(F37,$H$139:$I$185,2,FALSE))</f>
        <v>0</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154"/>
      <c r="D38" s="20"/>
      <c r="E38" s="47">
        <f>+IF(F38=0,0,CONCATENATE(MID(F38,FIND("-",F38,1)+1,4),"ORAS"))</f>
        <v>0</v>
      </c>
      <c r="F38" s="12">
        <v>0</v>
      </c>
      <c r="G38" s="11">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12</v>
      </c>
      <c r="C40" s="51">
        <f>SUM(C26:C32)+C34+C35+C36+C37+C38+C39</f>
        <v>4</v>
      </c>
      <c r="D40" s="51"/>
      <c r="E40" s="47">
        <f>+IF(F40=0,0,CONCATENATE(MID(F40,FIND("-",F40,1)+1,3),"ORAS"))</f>
        <v>0</v>
      </c>
      <c r="F40" s="51"/>
      <c r="G40" s="52">
        <f>+G26+G27+G28+G29+G30+G31+G34+G35+G36+G37+G38</f>
        <v>1386406</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134" t="s">
        <v>409</v>
      </c>
      <c r="B46" s="128" t="str">
        <f t="shared" ref="B46:B49" si="2">+IF(F46=0,0,MID(F46,LEN(F46)-3,1))</f>
        <v>4</v>
      </c>
      <c r="C46" s="10">
        <v>1</v>
      </c>
      <c r="D46" s="10" t="s">
        <v>365</v>
      </c>
      <c r="E46" s="47" t="str">
        <f t="shared" ref="E46:E49" si="3">+IF(F46=0,0,CONCATENATE(MID(F46,FIND("-",F46,1)+1,4),"ORAS"))</f>
        <v>04 HORAS</v>
      </c>
      <c r="F46" s="12" t="s">
        <v>329</v>
      </c>
      <c r="G46" s="164">
        <f>+IF(C46=0,0,IF(F46="","",VLOOKUP(F46,$H$139:$I$185,2,FALSE))*C46)</f>
        <v>420585</v>
      </c>
      <c r="H46" s="1"/>
      <c r="I46" s="1"/>
      <c r="J46" s="402"/>
      <c r="K46" s="402"/>
      <c r="L46" s="402"/>
      <c r="M46" s="402"/>
      <c r="N46" s="402"/>
      <c r="O46" s="402"/>
      <c r="P46" s="402"/>
      <c r="Q46" s="1"/>
      <c r="R46" s="1"/>
      <c r="S46" s="1"/>
      <c r="T46" s="1"/>
      <c r="U46" s="1"/>
      <c r="V46" s="1"/>
      <c r="W46" s="1"/>
      <c r="X46" s="1"/>
      <c r="Y46" s="1"/>
    </row>
    <row r="47" spans="1:25" ht="15.75" x14ac:dyDescent="0.2">
      <c r="A47" s="134" t="s">
        <v>410</v>
      </c>
      <c r="B47" s="128" t="str">
        <f t="shared" si="2"/>
        <v>4</v>
      </c>
      <c r="C47" s="10">
        <v>1</v>
      </c>
      <c r="D47" s="10" t="s">
        <v>365</v>
      </c>
      <c r="E47" s="47" t="str">
        <f t="shared" si="3"/>
        <v>04 HORAS</v>
      </c>
      <c r="F47" s="12" t="s">
        <v>329</v>
      </c>
      <c r="G47" s="164">
        <f>+IF(C47=0,0,IF(F47="","",VLOOKUP(F47,$H$139:$I$185,2,FALSE))*C47)</f>
        <v>420585</v>
      </c>
      <c r="H47" s="1"/>
      <c r="I47" s="1"/>
      <c r="J47" s="402"/>
      <c r="K47" s="402"/>
      <c r="L47" s="402"/>
      <c r="M47" s="402"/>
      <c r="N47" s="402"/>
      <c r="O47" s="402"/>
      <c r="P47" s="402"/>
      <c r="Q47" s="1"/>
      <c r="R47" s="1"/>
      <c r="S47" s="1"/>
      <c r="T47" s="1"/>
      <c r="U47" s="1"/>
      <c r="V47" s="1"/>
      <c r="W47" s="1"/>
      <c r="X47" s="1"/>
      <c r="Y47" s="1"/>
    </row>
    <row r="48" spans="1:25" ht="15.75" x14ac:dyDescent="0.2">
      <c r="A48" s="134" t="s">
        <v>411</v>
      </c>
      <c r="B48" s="128" t="str">
        <f t="shared" si="2"/>
        <v>4</v>
      </c>
      <c r="C48" s="10">
        <v>1</v>
      </c>
      <c r="D48" s="10" t="s">
        <v>365</v>
      </c>
      <c r="E48" s="47" t="str">
        <f t="shared" si="3"/>
        <v>04 HORAS</v>
      </c>
      <c r="F48" s="12" t="s">
        <v>329</v>
      </c>
      <c r="G48" s="164">
        <f>+IF(C48=0,0,IF(F48="","",VLOOKUP(F48,$H$139:$I$185,2,FALSE))*C48)</f>
        <v>420585</v>
      </c>
      <c r="H48" s="1"/>
      <c r="I48" s="1"/>
      <c r="J48" s="402"/>
      <c r="K48" s="402"/>
      <c r="L48" s="402"/>
      <c r="M48" s="402"/>
      <c r="N48" s="402"/>
      <c r="O48" s="402"/>
      <c r="P48" s="402"/>
      <c r="Q48" s="1"/>
      <c r="R48" s="1"/>
      <c r="S48" s="1"/>
      <c r="T48" s="1"/>
      <c r="U48" s="1"/>
      <c r="V48" s="1"/>
      <c r="W48" s="1"/>
      <c r="X48" s="1"/>
      <c r="Y48" s="1"/>
    </row>
    <row r="49" spans="1:25" ht="15.75" x14ac:dyDescent="0.2">
      <c r="A49" s="134" t="s">
        <v>412</v>
      </c>
      <c r="B49" s="128" t="str">
        <f t="shared" si="2"/>
        <v>4</v>
      </c>
      <c r="C49" s="10">
        <v>1</v>
      </c>
      <c r="D49" s="10" t="s">
        <v>365</v>
      </c>
      <c r="E49" s="47" t="str">
        <f t="shared" si="3"/>
        <v>04 HORAS</v>
      </c>
      <c r="F49" s="12" t="s">
        <v>329</v>
      </c>
      <c r="G49" s="164">
        <f>+IF(C49=0,0,IF(F49="","",VLOOKUP(F49,$H$139:$I$185,2,FALSE))*C49)</f>
        <v>420585</v>
      </c>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1" si="4">+IF(F54=0,0,MID(F54,LEN(F54)-3,1))</f>
        <v>3</v>
      </c>
      <c r="C54" s="154">
        <v>1</v>
      </c>
      <c r="D54" s="20" t="s">
        <v>365</v>
      </c>
      <c r="E54" s="47" t="str">
        <f t="shared" ref="E54:E63" si="5">+IF(F54=0,0,CONCATENATE(MID(F54,FIND("-",F54,1)+1,4),"ORAS"))</f>
        <v>04 HORAS</v>
      </c>
      <c r="F54" s="12" t="s">
        <v>345</v>
      </c>
      <c r="G54" s="164">
        <f t="shared" ref="G54:G63" si="6">+IF(F54="","",VLOOKUP(F54,$H$139:$I$185,2,FALSE))</f>
        <v>323876</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4"/>
        <v>3</v>
      </c>
      <c r="C55" s="154">
        <v>1</v>
      </c>
      <c r="D55" s="20" t="s">
        <v>365</v>
      </c>
      <c r="E55" s="47" t="str">
        <f t="shared" si="5"/>
        <v>04 HORAS</v>
      </c>
      <c r="F55" s="12" t="s">
        <v>345</v>
      </c>
      <c r="G55" s="164">
        <f t="shared" si="6"/>
        <v>323876</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4"/>
        <v>3</v>
      </c>
      <c r="C56" s="154">
        <v>1</v>
      </c>
      <c r="D56" s="20" t="s">
        <v>365</v>
      </c>
      <c r="E56" s="47" t="str">
        <f t="shared" si="5"/>
        <v>04 HORAS</v>
      </c>
      <c r="F56" s="12" t="s">
        <v>345</v>
      </c>
      <c r="G56" s="164">
        <f t="shared" si="6"/>
        <v>323876</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4"/>
        <v>3</v>
      </c>
      <c r="C57" s="154">
        <v>1</v>
      </c>
      <c r="D57" s="20" t="s">
        <v>365</v>
      </c>
      <c r="E57" s="47" t="str">
        <f t="shared" si="5"/>
        <v>04 HORAS</v>
      </c>
      <c r="F57" s="12" t="s">
        <v>345</v>
      </c>
      <c r="G57" s="164">
        <f t="shared" si="6"/>
        <v>323876</v>
      </c>
      <c r="H57" s="1"/>
      <c r="I57" s="1"/>
      <c r="J57" s="402"/>
      <c r="K57" s="402"/>
      <c r="L57" s="402"/>
      <c r="M57" s="402"/>
      <c r="N57" s="402"/>
      <c r="O57" s="402"/>
      <c r="P57" s="402"/>
      <c r="Q57" s="1"/>
      <c r="R57" s="1"/>
      <c r="S57" s="1"/>
      <c r="T57" s="1"/>
      <c r="U57" s="1"/>
      <c r="V57" s="1"/>
      <c r="W57" s="1"/>
      <c r="X57" s="1"/>
      <c r="Y57" s="1"/>
    </row>
    <row r="58" spans="1:25" ht="15.75" x14ac:dyDescent="0.25">
      <c r="A58" s="25" t="s">
        <v>372</v>
      </c>
      <c r="B58" s="103">
        <v>3</v>
      </c>
      <c r="C58" s="154">
        <v>1</v>
      </c>
      <c r="D58" s="20" t="s">
        <v>365</v>
      </c>
      <c r="E58" s="47" t="str">
        <f t="shared" si="5"/>
        <v>04 HORAS</v>
      </c>
      <c r="F58" s="12" t="s">
        <v>345</v>
      </c>
      <c r="G58" s="164">
        <f t="shared" si="6"/>
        <v>323876</v>
      </c>
      <c r="H58" s="1"/>
      <c r="I58" s="1"/>
      <c r="J58" s="402"/>
      <c r="K58" s="402"/>
      <c r="L58" s="402"/>
      <c r="M58" s="402"/>
      <c r="N58" s="402"/>
      <c r="O58" s="402"/>
      <c r="P58" s="402"/>
      <c r="Q58" s="1"/>
      <c r="R58" s="1"/>
      <c r="S58" s="1"/>
      <c r="T58" s="1"/>
      <c r="U58" s="1"/>
      <c r="V58" s="1"/>
      <c r="W58" s="1"/>
      <c r="X58" s="1"/>
      <c r="Y58" s="1"/>
    </row>
    <row r="59" spans="1:25" ht="15.75" x14ac:dyDescent="0.25">
      <c r="A59" s="25" t="s">
        <v>373</v>
      </c>
      <c r="B59" s="103">
        <v>3</v>
      </c>
      <c r="C59" s="154">
        <v>1</v>
      </c>
      <c r="D59" s="20" t="s">
        <v>365</v>
      </c>
      <c r="E59" s="47" t="str">
        <f t="shared" si="5"/>
        <v>04 HORAS</v>
      </c>
      <c r="F59" s="12" t="s">
        <v>345</v>
      </c>
      <c r="G59" s="164">
        <f t="shared" si="6"/>
        <v>323876</v>
      </c>
      <c r="H59" s="1"/>
      <c r="I59" s="1"/>
      <c r="J59" s="402"/>
      <c r="K59" s="402"/>
      <c r="L59" s="402"/>
      <c r="M59" s="402"/>
      <c r="N59" s="402"/>
      <c r="O59" s="402"/>
      <c r="P59" s="402"/>
      <c r="Q59" s="1"/>
      <c r="R59" s="1"/>
      <c r="S59" s="1"/>
      <c r="T59" s="1"/>
      <c r="U59" s="1"/>
      <c r="V59" s="1"/>
      <c r="W59" s="1"/>
      <c r="X59" s="1"/>
      <c r="Y59" s="1"/>
    </row>
    <row r="60" spans="1:25" ht="15.75" x14ac:dyDescent="0.25">
      <c r="A60" s="134"/>
      <c r="B60" s="103">
        <f t="shared" si="4"/>
        <v>0</v>
      </c>
      <c r="C60" s="154">
        <v>0</v>
      </c>
      <c r="D60" s="20"/>
      <c r="E60" s="47">
        <f t="shared" si="5"/>
        <v>0</v>
      </c>
      <c r="F60" s="12">
        <v>0</v>
      </c>
      <c r="G60" s="11">
        <f t="shared" si="6"/>
        <v>0</v>
      </c>
      <c r="H60" s="1"/>
      <c r="I60" s="1"/>
      <c r="J60" s="402"/>
      <c r="K60" s="402"/>
      <c r="L60" s="402"/>
      <c r="M60" s="402"/>
      <c r="N60" s="402"/>
      <c r="O60" s="402"/>
      <c r="P60" s="402"/>
      <c r="Q60" s="1"/>
      <c r="R60" s="1"/>
      <c r="S60" s="1"/>
      <c r="T60" s="1"/>
      <c r="U60" s="1"/>
      <c r="V60" s="1"/>
      <c r="W60" s="1"/>
      <c r="X60" s="1"/>
      <c r="Y60" s="1"/>
    </row>
    <row r="61" spans="1:25" ht="15.75" x14ac:dyDescent="0.25">
      <c r="A61" s="134"/>
      <c r="B61" s="103">
        <f t="shared" si="4"/>
        <v>0</v>
      </c>
      <c r="C61" s="154">
        <v>0</v>
      </c>
      <c r="D61" s="20"/>
      <c r="E61" s="47">
        <f t="shared" si="5"/>
        <v>0</v>
      </c>
      <c r="F61" s="12">
        <v>0</v>
      </c>
      <c r="G61" s="11">
        <f t="shared" si="6"/>
        <v>0</v>
      </c>
      <c r="H61" s="1"/>
      <c r="I61" s="1"/>
      <c r="J61" s="402"/>
      <c r="K61" s="402"/>
      <c r="L61" s="402"/>
      <c r="M61" s="402"/>
      <c r="N61" s="402"/>
      <c r="O61" s="402"/>
      <c r="P61" s="402"/>
      <c r="Q61" s="1"/>
      <c r="R61" s="1"/>
      <c r="S61" s="1"/>
      <c r="T61" s="1"/>
      <c r="U61" s="1"/>
      <c r="V61" s="1"/>
      <c r="W61" s="1"/>
      <c r="X61" s="1"/>
      <c r="Y61" s="1"/>
    </row>
    <row r="62" spans="1:25" ht="15.75" x14ac:dyDescent="0.25">
      <c r="A62" s="25"/>
      <c r="B62" s="103">
        <v>0</v>
      </c>
      <c r="C62" s="154">
        <v>0</v>
      </c>
      <c r="D62" s="20"/>
      <c r="E62" s="47">
        <f t="shared" si="5"/>
        <v>0</v>
      </c>
      <c r="F62" s="12">
        <v>0</v>
      </c>
      <c r="G62" s="11">
        <f t="shared" si="6"/>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f t="shared" si="5"/>
        <v>0</v>
      </c>
      <c r="F63" s="12">
        <v>0</v>
      </c>
      <c r="G63" s="11">
        <f t="shared" si="6"/>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34</v>
      </c>
      <c r="C65" s="51">
        <f>C59+C60+C61+C62+C63+C46+C47+C48+C49+C50+C54+C55+C56+C57+C58+C64</f>
        <v>10</v>
      </c>
      <c r="D65" s="51"/>
      <c r="E65" s="125"/>
      <c r="F65" s="51"/>
      <c r="G65" s="52">
        <f>+G54+G55+G56+G57+G58+G59+G60+G61+G62+G63</f>
        <v>1943256</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69</v>
      </c>
      <c r="C67" s="143">
        <f>C65+C40+C22</f>
        <v>16</v>
      </c>
      <c r="D67" s="62">
        <f>D65+D40+D22</f>
        <v>0</v>
      </c>
      <c r="E67" s="1"/>
      <c r="F67" s="1"/>
      <c r="G67" s="52">
        <f>G65+G40+G22</f>
        <v>4858228</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80</v>
      </c>
      <c r="L68" s="82"/>
      <c r="M68" s="83"/>
      <c r="N68" s="83"/>
      <c r="O68" s="83"/>
      <c r="P68" s="83"/>
      <c r="Q68" s="167">
        <f>'22 SEPTIEMBRE MAÑANA'!K68+'22 SEPTIEMBRE TARDE'!K68</f>
        <v>163</v>
      </c>
      <c r="R68" s="1"/>
      <c r="S68" s="1"/>
      <c r="T68" s="1"/>
      <c r="U68" s="1"/>
      <c r="V68" s="1"/>
      <c r="W68" s="1"/>
      <c r="X68" s="1"/>
      <c r="Y68" s="1"/>
    </row>
    <row r="69" spans="1:31" ht="15.75" x14ac:dyDescent="0.25">
      <c r="A69" s="1"/>
      <c r="B69" s="1"/>
      <c r="C69" s="1"/>
      <c r="D69" s="1"/>
      <c r="E69" s="1"/>
      <c r="F69" s="1"/>
      <c r="G69" s="1"/>
      <c r="H69" s="1"/>
      <c r="I69" s="1"/>
      <c r="J69" s="81" t="s">
        <v>47</v>
      </c>
      <c r="K69" s="145">
        <f>L25+C67+U25+AC25</f>
        <v>17</v>
      </c>
      <c r="L69" s="1"/>
      <c r="M69" s="84" t="s">
        <v>0</v>
      </c>
      <c r="N69" s="84" t="s">
        <v>30</v>
      </c>
      <c r="O69" s="84" t="s">
        <v>40</v>
      </c>
      <c r="P69" s="85"/>
      <c r="Q69" s="101">
        <f>'22 SEPTIEMBRE MAÑANA'!K69+'22 SEPTIEMBRE TARDE'!K69</f>
        <v>38</v>
      </c>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6021106</v>
      </c>
      <c r="L70" s="380"/>
      <c r="M70" s="98">
        <f>G22+P18+Y20</f>
        <v>1723786</v>
      </c>
      <c r="N70" s="142">
        <f>G40+P4+P5+Y4+Y5+Y6+Y7+Y15+Y16+Y21+P6+P7+P8</f>
        <v>2354064</v>
      </c>
      <c r="O70" s="98">
        <f>G65+Y22</f>
        <v>1943256</v>
      </c>
      <c r="P70" s="109">
        <f>SUM(M70:O70)</f>
        <v>6021106</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414</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7"/>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7"/>
        <v>42.OPERARIO-6-H</v>
      </c>
    </row>
    <row r="182" spans="6:14" s="114" customFormat="1" hidden="1" x14ac:dyDescent="0.2">
      <c r="F182" s="114" t="s">
        <v>310</v>
      </c>
      <c r="G182" s="114" t="s">
        <v>268</v>
      </c>
      <c r="H182" s="114" t="s">
        <v>361</v>
      </c>
      <c r="I182" s="115">
        <v>628232</v>
      </c>
      <c r="N182" s="114" t="str">
        <f t="shared" si="7"/>
        <v>43.BOGOTA-REGION-40m³-</v>
      </c>
    </row>
    <row r="183" spans="6:14" s="114" customFormat="1" hidden="1" x14ac:dyDescent="0.2">
      <c r="F183" s="114" t="s">
        <v>311</v>
      </c>
      <c r="G183" s="114" t="s">
        <v>269</v>
      </c>
      <c r="H183" s="114" t="s">
        <v>362</v>
      </c>
      <c r="I183" s="115">
        <v>562619</v>
      </c>
      <c r="N183" s="114" t="str">
        <f t="shared" si="7"/>
        <v>44.BOGOTA-REGION-25m³-</v>
      </c>
    </row>
    <row r="184" spans="6:14" s="114" customFormat="1" hidden="1" x14ac:dyDescent="0.2">
      <c r="F184" s="114" t="s">
        <v>312</v>
      </c>
      <c r="G184" s="114" t="s">
        <v>270</v>
      </c>
      <c r="H184" s="114" t="s">
        <v>363</v>
      </c>
      <c r="I184" s="115">
        <v>418264</v>
      </c>
      <c r="N184" s="114" t="str">
        <f t="shared" si="7"/>
        <v>45.BOGOTA-REGION-FURGON-</v>
      </c>
    </row>
    <row r="185" spans="6:14" s="114" customFormat="1" hidden="1" x14ac:dyDescent="0.2">
      <c r="F185" s="114" t="s">
        <v>313</v>
      </c>
      <c r="G185" s="114" t="s">
        <v>271</v>
      </c>
      <c r="H185" s="114" t="s">
        <v>364</v>
      </c>
      <c r="I185" s="115">
        <v>288714</v>
      </c>
      <c r="N185" s="114" t="str">
        <f t="shared" si="7"/>
        <v>46.BOGOTA-REGION-4X4</v>
      </c>
    </row>
    <row r="186" spans="6:14" x14ac:dyDescent="0.2">
      <c r="H186" s="2" t="s">
        <v>318</v>
      </c>
      <c r="N186" s="2" t="str">
        <f t="shared" si="7"/>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B896DC5C-EF0B-0D42-B35F-71ECA5BF0599}">
      <formula1>$H$139:$H$184</formula1>
    </dataValidation>
    <dataValidation type="list" allowBlank="1" showInputMessage="1" showErrorMessage="1" sqref="F16:F19 X15:X16 F30:F31 F26:F28 X20:X22 F46:F51 F4:F11 O18:O24 X4:X8 F54:F64 F34:F38 O4:O15" xr:uid="{DD0E0574-A729-8340-833E-28C390D26B8E}">
      <formula1>$H$139:$H$185</formula1>
    </dataValidation>
    <dataValidation type="list" allowBlank="1" showInputMessage="1" showErrorMessage="1" sqref="F29 F20:F21 F12:F13" xr:uid="{6A1FF669-4326-554F-9F41-339D9C042EF6}">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7EAAE-F1F3-4C40-9450-6FA567C279EB}">
  <sheetPr>
    <tabColor rgb="FFFF0000"/>
  </sheetPr>
  <dimension ref="A1:AE186"/>
  <sheetViews>
    <sheetView view="pageBreakPreview" topLeftCell="Q1"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6</v>
      </c>
      <c r="L25" s="136">
        <f>SUM(L4:L24)</f>
        <v>3</v>
      </c>
      <c r="M25" s="60"/>
      <c r="N25" s="60"/>
      <c r="O25" s="60"/>
      <c r="P25" s="137">
        <f>SUM(P4:P23)</f>
        <v>1006461</v>
      </c>
      <c r="Q25" s="1"/>
      <c r="R25" s="1"/>
      <c r="S25" s="62" t="s">
        <v>31</v>
      </c>
      <c r="T25" s="140">
        <f>+T15+T16+T4+T5+T6+T7</f>
        <v>16</v>
      </c>
      <c r="U25" s="140">
        <f>SUM(U4:U7)</f>
        <v>3</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16153349</v>
      </c>
      <c r="L70" s="380"/>
      <c r="M70" s="98">
        <f>G22+P18+Y20</f>
        <v>4557065</v>
      </c>
      <c r="N70" s="142">
        <f>G40+P4+P5+Y4+Y5+Y6+Y7+Y15+Y16+Y21+P6+P7+P8</f>
        <v>6789820</v>
      </c>
      <c r="O70" s="98">
        <f>G65+Y22</f>
        <v>4806464</v>
      </c>
      <c r="P70" s="109">
        <f>SUM(M70:O70)</f>
        <v>16153349</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417</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9026592C-AE67-4C38-8044-C99DD96AB662}">
      <formula1>$H$140:$H$185</formula1>
    </dataValidation>
    <dataValidation type="list" allowBlank="1" showInputMessage="1" showErrorMessage="1" sqref="F4:F7 F16:F19 X15:X16 F30:F31 F26:F28 F46:F51 F34:F38 O4:O15 O18:O24 X4:X8 F54:F64 X20:X22" xr:uid="{1264EC62-6C21-4102-AABA-B5C8EC77F64E}">
      <formula1>$H$139:$H$185</formula1>
    </dataValidation>
    <dataValidation type="list" allowBlank="1" showInputMessage="1" showErrorMessage="1" sqref="F39" xr:uid="{3CB41A59-B07E-4E2D-972F-61E5AF1C95FE}">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8811F-71F9-5248-982C-D6812806597A}">
  <sheetPr>
    <tabColor rgb="FFFF0000"/>
  </sheetPr>
  <dimension ref="A1:AE186"/>
  <sheetViews>
    <sheetView view="pageBreakPreview"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68"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68"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69"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418</v>
      </c>
      <c r="K18" s="103">
        <v>1</v>
      </c>
      <c r="L18" s="14">
        <v>3</v>
      </c>
      <c r="M18" s="15" t="s">
        <v>365</v>
      </c>
      <c r="N18" s="47" t="str">
        <f>+IF(O18=0,0,CONCATENATE(MID(O18,FIND("-",O18,1)+1,4),"ORAS"))</f>
        <v>15 HORAS</v>
      </c>
      <c r="O18" s="12" t="s">
        <v>320</v>
      </c>
      <c r="P18" s="11">
        <f>+IF(O18="","",VLOOKUP(O18,$H$139:$I$185,2,FALSE))</f>
        <v>514916</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6</v>
      </c>
      <c r="M25" s="60"/>
      <c r="N25" s="60"/>
      <c r="O25" s="60"/>
      <c r="P25" s="137">
        <f>SUM(P4:P23)</f>
        <v>1521377</v>
      </c>
      <c r="Q25" s="1"/>
      <c r="R25" s="1"/>
      <c r="S25" s="62" t="s">
        <v>31</v>
      </c>
      <c r="T25" s="140">
        <f>+T15+T16+T4+T5+T6+T7</f>
        <v>16</v>
      </c>
      <c r="U25" s="140">
        <f>SUM(U4:U7,U21)</f>
        <v>4</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0"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171"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36</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16668265</v>
      </c>
      <c r="L70" s="380"/>
      <c r="M70" s="98">
        <f>G22+P18+Y20</f>
        <v>5071981</v>
      </c>
      <c r="N70" s="142">
        <f>G40+P4+P5+Y4+Y5+Y6+Y7+Y15+Y16+Y21+P6+P7+P8</f>
        <v>6789820</v>
      </c>
      <c r="O70" s="98">
        <f>G65+Y22</f>
        <v>4806464</v>
      </c>
      <c r="P70" s="109">
        <f>SUM(M70:O70)</f>
        <v>16668265</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419</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6C6EB626-3759-7348-B771-535BB2A37B99}">
      <formula1>$H$139:$H$184</formula1>
    </dataValidation>
    <dataValidation type="list" allowBlank="1" showInputMessage="1" showErrorMessage="1" sqref="F4:F7 F16:F19 X15:X16 F30:F31 F26:F28 F46:F51 F34:F38 O4:O15 X20:X22 X4:X8 F54:F64 O18:O24" xr:uid="{6148122B-763B-484A-823C-E76B613385EE}">
      <formula1>$H$139:$H$185</formula1>
    </dataValidation>
    <dataValidation type="list" allowBlank="1" showInputMessage="1" showErrorMessage="1" sqref="F29 F8:F13 F20:F21" xr:uid="{5837534F-C1D5-F445-9EA0-CE1CCDD04578}">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7E164-A164-9C49-B587-7FB2D9CA8750}">
  <sheetPr>
    <tabColor rgb="FFFF0000"/>
  </sheetPr>
  <dimension ref="A1:AE186"/>
  <sheetViews>
    <sheetView view="pageBreakPreview" topLeftCell="A69"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6</v>
      </c>
      <c r="L25" s="136">
        <f>SUM(L4:L24)</f>
        <v>3</v>
      </c>
      <c r="M25" s="60"/>
      <c r="N25" s="60"/>
      <c r="O25" s="60"/>
      <c r="P25" s="137">
        <f>SUM(P4:P23)</f>
        <v>1006461</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171"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16526583</v>
      </c>
      <c r="L70" s="380"/>
      <c r="M70" s="98">
        <f>G22+P18+Y20</f>
        <v>4557065</v>
      </c>
      <c r="N70" s="142">
        <f>G40+P4+P5+Y4+Y5+Y6+Y7+Y15+Y16+Y21+P6+P7+P8</f>
        <v>6789820</v>
      </c>
      <c r="O70" s="98">
        <f>G65+Y22</f>
        <v>4806464</v>
      </c>
      <c r="P70" s="109">
        <f>SUM(M70:O70)</f>
        <v>16153349</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420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089DC37D-B721-854A-80D5-BBECD7B8CBD0}">
      <formula1>$H$140:$H$185</formula1>
    </dataValidation>
    <dataValidation type="list" allowBlank="1" showInputMessage="1" showErrorMessage="1" sqref="F4:F7 F16:F19 X15:X16 F30:F31 F26:F28 F46:F51 F34:F38 O4:O15 O18:O24 X4:X8 F54:F64 X20:X23" xr:uid="{00A82A7B-F615-014C-BBF2-DFD8F09B89AF}">
      <formula1>$H$139:$H$185</formula1>
    </dataValidation>
    <dataValidation type="list" allowBlank="1" showInputMessage="1" showErrorMessage="1" sqref="F39" xr:uid="{A3FAA904-3CF2-7B4B-A781-3ECF547F0EAF}">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BF6-09CD-6C40-A383-FA98F7B6177A}">
  <sheetPr>
    <tabColor rgb="FFFF0000"/>
  </sheetPr>
  <dimension ref="A1:AE186"/>
  <sheetViews>
    <sheetView view="pageBreakPreview" topLeftCell="A27" zoomScale="90" zoomScaleNormal="59" zoomScaleSheetLayoutView="9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t="s">
        <v>12</v>
      </c>
      <c r="J7" s="12" t="s">
        <v>422</v>
      </c>
      <c r="K7" s="103">
        <v>0</v>
      </c>
      <c r="L7" s="14">
        <v>1</v>
      </c>
      <c r="M7" s="15" t="s">
        <v>365</v>
      </c>
      <c r="N7" s="47" t="str">
        <f>+IF(O7=0,0,CONCATENATE(MID(O7,FIND("-",O7,1)+1,4),"ORAS"))</f>
        <v>09 HORAS</v>
      </c>
      <c r="O7" s="12" t="s">
        <v>350</v>
      </c>
      <c r="P7" s="11">
        <f>+IF(O7="","",VLOOKUP(O7,$H$139:$I$185,2,FALSE))</f>
        <v>214754</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t="s">
        <v>12</v>
      </c>
      <c r="J8" s="12" t="s">
        <v>422</v>
      </c>
      <c r="K8" s="103">
        <v>1</v>
      </c>
      <c r="L8" s="14">
        <v>0</v>
      </c>
      <c r="M8" s="15" t="s">
        <v>365</v>
      </c>
      <c r="N8" s="47" t="str">
        <f>+IF(O8=0,0,CONCATENATE(MID(O8,FIND("-",O8,1)+1,4),"ORAS"))</f>
        <v>08 HORAS</v>
      </c>
      <c r="O8" s="12" t="s">
        <v>359</v>
      </c>
      <c r="P8" s="11">
        <f>+IF(O8="","",VLOOKUP(O8,$H$139:$I$185,2,FALSE))</f>
        <v>53577</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4</v>
      </c>
      <c r="M25" s="60"/>
      <c r="N25" s="60"/>
      <c r="O25" s="60"/>
      <c r="P25" s="137">
        <f>SUM(P4:P23)</f>
        <v>1274792</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16794914</v>
      </c>
      <c r="L70" s="380"/>
      <c r="M70" s="98">
        <f>G22+P18+Y20</f>
        <v>4557065</v>
      </c>
      <c r="N70" s="142">
        <f>G40+P4+P5+Y4+Y5+Y6+Y7+Y15+Y16+Y21+P6+P7+P8</f>
        <v>7058151</v>
      </c>
      <c r="O70" s="98">
        <f>G65+Y22</f>
        <v>4806464</v>
      </c>
      <c r="P70" s="109">
        <f>SUM(M70:O70)</f>
        <v>16421680</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423</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E5E51B38-990C-E648-A4E9-ADB20D2CD82D}">
      <formula1>$H$139:$H$184</formula1>
    </dataValidation>
    <dataValidation type="list" allowBlank="1" showInputMessage="1" showErrorMessage="1" sqref="F4:F7 F16:F19 X15:X16 F30:F31 F26:F28 F46:F51 F34:F38 O4:O15 O18:O24 X4:X8 F54:F64 X20:X23" xr:uid="{CE7AD58C-B873-084F-9131-6794ACD0EA2F}">
      <formula1>$H$139:$H$185</formula1>
    </dataValidation>
    <dataValidation type="list" allowBlank="1" showInputMessage="1" showErrorMessage="1" sqref="F29 F8:F13 F20:F21" xr:uid="{FBD903E3-DB28-A840-A38A-4E72CE4E5936}">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023B4-9636-F54C-B308-C5AD5CD7DEB2}">
  <sheetPr>
    <tabColor rgb="FFFF0000"/>
  </sheetPr>
  <dimension ref="A1:AE186"/>
  <sheetViews>
    <sheetView view="pageBreakPreview"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t="s">
        <v>12</v>
      </c>
      <c r="J7" s="12" t="s">
        <v>421</v>
      </c>
      <c r="K7" s="103">
        <v>3</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421</v>
      </c>
      <c r="K18" s="103">
        <v>3</v>
      </c>
      <c r="L18" s="14">
        <v>1</v>
      </c>
      <c r="M18" s="15" t="s">
        <v>365</v>
      </c>
      <c r="N18" s="47" t="str">
        <f>+IF(O18=0,0,CONCATENATE(MID(O18,FIND("-",O18,1)+1,4),"ORAS"))</f>
        <v>09 HORAS</v>
      </c>
      <c r="O18" s="12" t="s">
        <v>325</v>
      </c>
      <c r="P18" s="11">
        <f>+IF(O18="","",VLOOKUP(O18,$H$139:$I$185,2,FALSE))</f>
        <v>450204</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12</v>
      </c>
      <c r="L25" s="136">
        <f>SUM(L4:L24)</f>
        <v>5</v>
      </c>
      <c r="M25" s="60"/>
      <c r="N25" s="60"/>
      <c r="O25" s="60"/>
      <c r="P25" s="137">
        <f>SUM(P4:P23)</f>
        <v>1802593</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56"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25" t="s">
        <v>372</v>
      </c>
      <c r="B57" s="103" t="str">
        <f t="shared" ref="B57:B58" si="5">+IF(F57=0,0,MID(F57,LEN(F57)-3,1))</f>
        <v>3</v>
      </c>
      <c r="C57" s="154">
        <v>1</v>
      </c>
      <c r="D57" s="20" t="s">
        <v>365</v>
      </c>
      <c r="E57" s="47" t="str">
        <f t="shared" ref="E57:E58" si="6">+IF(F57=0,0,CONCATENATE(MID(F57,FIND("-",F57,1)+1,4),"ORAS"))</f>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25" t="s">
        <v>373</v>
      </c>
      <c r="B58" s="103" t="str">
        <f t="shared" si="5"/>
        <v>3</v>
      </c>
      <c r="C58" s="154">
        <v>1</v>
      </c>
      <c r="D58" s="20" t="s">
        <v>365</v>
      </c>
      <c r="E58" s="47" t="str">
        <f t="shared" si="6"/>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c r="C62" s="154"/>
      <c r="D62" s="20"/>
      <c r="E62" s="47"/>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30</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15106100</v>
      </c>
      <c r="L70" s="380"/>
      <c r="M70" s="98">
        <f>G22+P18+Y20</f>
        <v>5007269</v>
      </c>
      <c r="N70" s="142">
        <f>G40+P4+P5+Y4+Y5+Y6+Y7+Y15+Y16+Y21+P6+P7+P8</f>
        <v>7135748</v>
      </c>
      <c r="O70" s="98">
        <f>G65+Y22</f>
        <v>2589849</v>
      </c>
      <c r="P70" s="109">
        <f>SUM(M70:O70)</f>
        <v>14732866</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424</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7"/>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7"/>
        <v>42.OPERARIO-6-H</v>
      </c>
    </row>
    <row r="182" spans="6:14" s="114" customFormat="1" hidden="1" x14ac:dyDescent="0.2">
      <c r="F182" s="114" t="s">
        <v>310</v>
      </c>
      <c r="G182" s="114" t="s">
        <v>268</v>
      </c>
      <c r="H182" s="114" t="s">
        <v>361</v>
      </c>
      <c r="I182" s="115">
        <v>628232</v>
      </c>
      <c r="N182" s="114" t="str">
        <f t="shared" si="7"/>
        <v>43.BOGOTA-REGION-40m³-</v>
      </c>
    </row>
    <row r="183" spans="6:14" s="114" customFormat="1" hidden="1" x14ac:dyDescent="0.2">
      <c r="F183" s="114" t="s">
        <v>311</v>
      </c>
      <c r="G183" s="114" t="s">
        <v>269</v>
      </c>
      <c r="H183" s="114" t="s">
        <v>362</v>
      </c>
      <c r="I183" s="115">
        <v>562619</v>
      </c>
      <c r="N183" s="114" t="str">
        <f t="shared" si="7"/>
        <v>44.BOGOTA-REGION-25m³-</v>
      </c>
    </row>
    <row r="184" spans="6:14" s="114" customFormat="1" hidden="1" x14ac:dyDescent="0.2">
      <c r="F184" s="114" t="s">
        <v>312</v>
      </c>
      <c r="G184" s="114" t="s">
        <v>270</v>
      </c>
      <c r="H184" s="114" t="s">
        <v>363</v>
      </c>
      <c r="I184" s="115">
        <v>418264</v>
      </c>
      <c r="N184" s="114" t="str">
        <f t="shared" si="7"/>
        <v>45.BOGOTA-REGION-FURGON-</v>
      </c>
    </row>
    <row r="185" spans="6:14" s="114" customFormat="1" hidden="1" x14ac:dyDescent="0.2">
      <c r="F185" s="114" t="s">
        <v>313</v>
      </c>
      <c r="G185" s="114" t="s">
        <v>271</v>
      </c>
      <c r="H185" s="114" t="s">
        <v>364</v>
      </c>
      <c r="I185" s="115">
        <v>288714</v>
      </c>
      <c r="N185" s="114" t="str">
        <f t="shared" si="7"/>
        <v>46.BOGOTA-REGION-4X4</v>
      </c>
    </row>
    <row r="186" spans="6:14" x14ac:dyDescent="0.2">
      <c r="H186" s="2" t="s">
        <v>318</v>
      </c>
      <c r="N186" s="2" t="str">
        <f t="shared" si="7"/>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F99B8B4F-3A3B-254E-8A74-CDE75FF343CD}">
      <formula1>$H$140:$H$185</formula1>
    </dataValidation>
    <dataValidation type="list" allowBlank="1" showInputMessage="1" showErrorMessage="1" sqref="F4:F7 F16:F19 X15:X16 F30:F31 F26:F28 F46:F51 F34:F38 O4:O15 O18:O24 X4:X8 X20:X23 F54:F64" xr:uid="{3D2BF674-B339-2D44-8ACA-433C24BB0DBA}">
      <formula1>$H$139:$H$185</formula1>
    </dataValidation>
    <dataValidation type="list" allowBlank="1" showInputMessage="1" showErrorMessage="1" sqref="F39" xr:uid="{4A6342A4-5D80-B748-A8AE-3CEF3BE29765}">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D5387-D832-E740-977A-566070F68E04}">
  <sheetPr>
    <tabColor rgb="FFFF0000"/>
  </sheetPr>
  <dimension ref="A1:AE186"/>
  <sheetViews>
    <sheetView view="pageBreakPreview" topLeftCell="I1" zoomScaleNormal="59" zoomScaleSheetLayoutView="10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9.2851562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7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4</v>
      </c>
      <c r="U5" s="177">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425</v>
      </c>
      <c r="K6" s="103">
        <v>2</v>
      </c>
      <c r="L6" s="14">
        <v>1</v>
      </c>
      <c r="M6" s="15" t="s">
        <v>365</v>
      </c>
      <c r="N6" s="47" t="str">
        <f>+IF(O6=0,0,CONCATENATE(MID(O6,FIND("-",O6,1)+1,4),"ORAS"))</f>
        <v>09 HORAS</v>
      </c>
      <c r="O6" s="12" t="s">
        <v>341</v>
      </c>
      <c r="P6" s="164">
        <f>+IF(O6="","",VLOOKUP(O6,$H$139:$I$185,2,FALSE))</f>
        <v>345928</v>
      </c>
      <c r="Q6" s="1"/>
      <c r="R6" s="17" t="s">
        <v>12</v>
      </c>
      <c r="S6" s="40" t="s">
        <v>17</v>
      </c>
      <c r="T6" s="103" t="str">
        <f>+IF(X6=0,0,MID(X6,LEN(X6)-3,1))</f>
        <v>3</v>
      </c>
      <c r="U6" s="177">
        <v>1</v>
      </c>
      <c r="V6" s="20" t="s">
        <v>365</v>
      </c>
      <c r="W6" s="47" t="str">
        <f>+IF(X6=0,0,CONCATENATE(MID(X6,FIND("-",X6,1)+1,4),"ORAS"))</f>
        <v>15 HORAS</v>
      </c>
      <c r="X6" s="12" t="s">
        <v>335</v>
      </c>
      <c r="Y6" s="164">
        <f>+IF(X6="","",VLOOKUP(X6,$H$139:$I$185,2,FALSE))</f>
        <v>443323</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64" t="str">
        <f>+IF(O7="","",VLOOKUP(O7,$H$139:$I$185,2,FALSE))</f>
        <v/>
      </c>
      <c r="Q7" s="1"/>
      <c r="R7" s="29"/>
      <c r="S7" s="178"/>
      <c r="T7" s="103"/>
      <c r="U7" s="17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64" t="str">
        <f>+IF(O8="","",VLOOKUP(O8,$H$139:$I$185,2,FALSE))</f>
        <v/>
      </c>
      <c r="Q8" s="1"/>
      <c r="R8" s="17"/>
      <c r="S8" s="180"/>
      <c r="T8" s="177"/>
      <c r="U8" s="17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+IF(F9="","",VLOOKUP(F9,$H$139:$I$185,2,FALSE))</f>
        <v>582964</v>
      </c>
      <c r="H9" s="1"/>
      <c r="I9" s="26"/>
      <c r="J9" s="12"/>
      <c r="K9" s="103"/>
      <c r="L9" s="56"/>
      <c r="M9" s="56"/>
      <c r="N9" s="12"/>
      <c r="O9" s="12"/>
      <c r="P9" s="110"/>
      <c r="Q9" s="1"/>
      <c r="R9" s="33"/>
      <c r="S9" s="181"/>
      <c r="T9" s="181"/>
      <c r="U9" s="18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81"/>
      <c r="T10" s="181"/>
      <c r="U10" s="18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AA12" s="21"/>
      <c r="AB12" s="21"/>
      <c r="AC12" s="21"/>
      <c r="AD12" s="21"/>
      <c r="AE12" s="21"/>
    </row>
    <row r="13" spans="1:31" ht="15.75" x14ac:dyDescent="0.25">
      <c r="A13" s="37"/>
      <c r="B13" s="128">
        <f>+B10+B9+B8+B7+B6+B5+B4</f>
        <v>22</v>
      </c>
      <c r="C13" s="128">
        <f>+C10+C9+C8+C7+C6+C5+C4</f>
        <v>7</v>
      </c>
      <c r="D13" s="28"/>
      <c r="E13" s="28"/>
      <c r="F13" s="12"/>
      <c r="G13" s="52">
        <f>SUM(G4:G10)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179">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77"/>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SUM(G13,G16)</f>
        <v>4115783</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26"/>
      <c r="S23" s="40"/>
      <c r="T23" s="103"/>
      <c r="U23" s="40"/>
      <c r="V23" s="15"/>
      <c r="W23" s="12"/>
      <c r="X23" s="12"/>
      <c r="Y23" s="166" t="str">
        <f>+IF(X23="","",VLOOKUP(X23,$H$139:$I$185,2,FALSE))</f>
        <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5</v>
      </c>
      <c r="L25" s="136">
        <f>SUM(L4:L24)</f>
        <v>3</v>
      </c>
      <c r="M25" s="60"/>
      <c r="N25" s="60"/>
      <c r="O25" s="60"/>
      <c r="P25" s="137">
        <f>SUM(P4:P23)</f>
        <v>1028513</v>
      </c>
      <c r="Q25" s="1"/>
      <c r="R25" s="1"/>
      <c r="S25" s="62" t="s">
        <v>31</v>
      </c>
      <c r="T25" s="140">
        <f>+T15+T16+T4+T5+T6+T7</f>
        <v>15</v>
      </c>
      <c r="U25" s="140">
        <f>SUM(U4:U7,U21)</f>
        <v>4</v>
      </c>
      <c r="V25" s="62"/>
      <c r="W25" s="62"/>
      <c r="X25" s="62"/>
      <c r="Y25" s="63">
        <f>SUM(Y4:Y23)</f>
        <v>2642000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64">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8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82">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8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8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8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SUM(G26:G28,G34:G38)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8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82">
        <v>1</v>
      </c>
      <c r="D54" s="20" t="s">
        <v>365</v>
      </c>
      <c r="E54" s="47" t="str">
        <f t="shared" ref="E54:E63" si="3">+IF(F54=0,0,CONCATENATE(MID(F54,FIND("-",F54,1)+1,4),"ORAS"))</f>
        <v>15 HORAS</v>
      </c>
      <c r="F54" s="12" t="s">
        <v>335</v>
      </c>
      <c r="G54" s="164">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82">
        <v>1</v>
      </c>
      <c r="D55" s="20" t="s">
        <v>365</v>
      </c>
      <c r="E55" s="47" t="str">
        <f t="shared" si="3"/>
        <v>15 HORAS</v>
      </c>
      <c r="F55" s="12" t="s">
        <v>335</v>
      </c>
      <c r="G55" s="164">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82">
        <v>1</v>
      </c>
      <c r="D56" s="20" t="s">
        <v>365</v>
      </c>
      <c r="E56" s="47" t="str">
        <f t="shared" si="3"/>
        <v>15 HORAS</v>
      </c>
      <c r="F56" s="12" t="s">
        <v>335</v>
      </c>
      <c r="G56" s="164">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82">
        <v>1</v>
      </c>
      <c r="D57" s="20" t="s">
        <v>365</v>
      </c>
      <c r="E57" s="47" t="str">
        <f t="shared" si="3"/>
        <v>15 HORAS</v>
      </c>
      <c r="F57" s="12" t="s">
        <v>335</v>
      </c>
      <c r="G57" s="164">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82">
        <v>1</v>
      </c>
      <c r="D58" s="20" t="s">
        <v>365</v>
      </c>
      <c r="E58" s="47" t="str">
        <f t="shared" si="3"/>
        <v>15 HORAS</v>
      </c>
      <c r="F58" s="12" t="s">
        <v>335</v>
      </c>
      <c r="G58" s="164">
        <f>+IF(F58="","",VLOOKUP(F58,$H$139:$I$185,2,FALSE))</f>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82">
        <v>1</v>
      </c>
      <c r="D59" s="20" t="s">
        <v>365</v>
      </c>
      <c r="E59" s="47" t="str">
        <f t="shared" si="3"/>
        <v>15 HORAS</v>
      </c>
      <c r="F59" s="12" t="s">
        <v>335</v>
      </c>
      <c r="G59" s="164">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82">
        <v>1</v>
      </c>
      <c r="D60" s="20" t="s">
        <v>365</v>
      </c>
      <c r="E60" s="47" t="str">
        <f t="shared" si="3"/>
        <v>15 HORAS</v>
      </c>
      <c r="F60" s="12" t="s">
        <v>335</v>
      </c>
      <c r="G60" s="164">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82">
        <v>1</v>
      </c>
      <c r="D61" s="20" t="s">
        <v>365</v>
      </c>
      <c r="E61" s="47" t="str">
        <f t="shared" si="3"/>
        <v>15 HORAS</v>
      </c>
      <c r="F61" s="12" t="s">
        <v>335</v>
      </c>
      <c r="G61" s="164">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82">
        <v>1</v>
      </c>
      <c r="D62" s="20" t="s">
        <v>365</v>
      </c>
      <c r="E62" s="47" t="str">
        <f t="shared" si="3"/>
        <v>15 HORAS</v>
      </c>
      <c r="F62" s="12" t="s">
        <v>335</v>
      </c>
      <c r="G62" s="164">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82">
        <v>1</v>
      </c>
      <c r="D63" s="20" t="s">
        <v>365</v>
      </c>
      <c r="E63" s="47" t="str">
        <f t="shared" si="3"/>
        <v>15 HORAS</v>
      </c>
      <c r="F63" s="12" t="s">
        <v>335</v>
      </c>
      <c r="G63" s="164">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8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SUM(G54:G63)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80</v>
      </c>
      <c r="C67" s="143">
        <f>C65+C40+C22</f>
        <v>26</v>
      </c>
      <c r="D67" s="62">
        <f>D65+D40+D22</f>
        <v>0</v>
      </c>
      <c r="E67" s="1"/>
      <c r="F67" s="1"/>
      <c r="G67" s="52">
        <f>SUM(G22,G40,G65)</f>
        <v>12378424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16048937</v>
      </c>
      <c r="L70" s="380"/>
      <c r="M70" s="98">
        <f>G22+P18+Y20</f>
        <v>4489017</v>
      </c>
      <c r="N70" s="142">
        <f>SUM(G40,P25,Y4:Y6,Y15:Y16,Y21)</f>
        <v>6753456</v>
      </c>
      <c r="O70" s="98">
        <f>SUM(Y22,G65)</f>
        <v>4806464</v>
      </c>
      <c r="P70" s="109">
        <f>SUM(M70:O70)</f>
        <v>16048937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426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320C9636-7ED7-614E-BC90-3057053C881B}">
      <formula1>$H$139:$H$184</formula1>
    </dataValidation>
    <dataValidation type="list" allowBlank="1" showInputMessage="1" showErrorMessage="1" sqref="F4:F7 F16:F19 X15:X16 F30:F31 F26:F28 F46:F51 F34:F38 O4:O15 O18:O24 X4:X8 F54:F64 X20:X23" xr:uid="{B5AFE2B0-85B3-8E4F-9AB1-2AE932D55A70}">
      <formula1>$H$139:$H$185</formula1>
    </dataValidation>
    <dataValidation type="list" allowBlank="1" showInputMessage="1" showErrorMessage="1" sqref="F29 F8:F13 F20:F21" xr:uid="{5D3819E0-7E9B-7446-B597-681EFFD1ED8B}">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8A48A-B360-2C4B-A7DB-25B4D53C84C7}">
  <sheetPr>
    <tabColor rgb="FFFF0000"/>
  </sheetPr>
  <dimension ref="A1:AE186"/>
  <sheetViews>
    <sheetView view="pageBreakPreview" topLeftCell="A73"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9.2851562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7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4</v>
      </c>
      <c r="U5" s="177">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427</v>
      </c>
      <c r="K6" s="103">
        <v>2</v>
      </c>
      <c r="L6" s="14">
        <v>1</v>
      </c>
      <c r="M6" s="15" t="s">
        <v>365</v>
      </c>
      <c r="N6" s="47" t="str">
        <f>+IF(O6=0,0,CONCATENATE(MID(O6,FIND("-",O6,1)+1,4),"ORAS"))</f>
        <v>09 HORAS</v>
      </c>
      <c r="O6" s="12" t="s">
        <v>341</v>
      </c>
      <c r="P6" s="164">
        <f>+IF(O6="","",VLOOKUP(O6,$H$139:$I$185,2,FALSE))</f>
        <v>345928</v>
      </c>
      <c r="Q6" s="1"/>
      <c r="R6" s="17" t="s">
        <v>12</v>
      </c>
      <c r="S6" s="40" t="s">
        <v>17</v>
      </c>
      <c r="T6" s="103" t="str">
        <f>+IF(X6=0,0,MID(X6,LEN(X6)-3,1))</f>
        <v>3</v>
      </c>
      <c r="U6" s="177">
        <v>1</v>
      </c>
      <c r="V6" s="20" t="s">
        <v>365</v>
      </c>
      <c r="W6" s="47" t="str">
        <f>+IF(X6=0,0,CONCATENATE(MID(X6,FIND("-",X6,1)+1,4),"ORAS"))</f>
        <v>15 HORAS</v>
      </c>
      <c r="X6" s="12" t="s">
        <v>335</v>
      </c>
      <c r="Y6" s="164">
        <f>+IF(X6="","",VLOOKUP(X6,$H$139:$I$185,2,FALSE))</f>
        <v>443323</v>
      </c>
      <c r="AA6" s="21"/>
      <c r="AB6" s="22"/>
      <c r="AC6" s="22"/>
      <c r="AD6" s="23"/>
      <c r="AE6" s="24"/>
    </row>
    <row r="7" spans="1:31" ht="15.75" x14ac:dyDescent="0.25">
      <c r="A7" s="168"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64" t="str">
        <f>+IF(O7="","",VLOOKUP(O7,$H$139:$I$185,2,FALSE))</f>
        <v/>
      </c>
      <c r="Q7" s="1"/>
      <c r="R7" s="29"/>
      <c r="S7" s="178"/>
      <c r="T7" s="103"/>
      <c r="U7" s="17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64" t="str">
        <f>+IF(O8="","",VLOOKUP(O8,$H$139:$I$185,2,FALSE))</f>
        <v/>
      </c>
      <c r="Q8" s="1"/>
      <c r="R8" s="17"/>
      <c r="S8" s="180"/>
      <c r="T8" s="177"/>
      <c r="U8" s="17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+IF(F9="","",VLOOKUP(F9,$H$139:$I$185,2,FALSE))</f>
        <v>582964</v>
      </c>
      <c r="H9" s="1"/>
      <c r="I9" s="26"/>
      <c r="J9" s="12"/>
      <c r="K9" s="103"/>
      <c r="L9" s="56"/>
      <c r="M9" s="56"/>
      <c r="N9" s="12"/>
      <c r="O9" s="12"/>
      <c r="P9" s="110"/>
      <c r="Q9" s="1"/>
      <c r="R9" s="33"/>
      <c r="S9" s="181"/>
      <c r="T9" s="181"/>
      <c r="U9" s="18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81"/>
      <c r="T10" s="181"/>
      <c r="U10" s="18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AA12" s="21"/>
      <c r="AB12" s="21"/>
      <c r="AC12" s="21"/>
      <c r="AD12" s="21"/>
      <c r="AE12" s="21"/>
    </row>
    <row r="13" spans="1:31" ht="15.75" x14ac:dyDescent="0.25">
      <c r="A13" s="37"/>
      <c r="B13" s="128">
        <f>+B10+B9+B8+B7+B6+B5+B4</f>
        <v>22</v>
      </c>
      <c r="C13" s="128">
        <f>+C10+C9+C8+C7+C6+C5+C4</f>
        <v>7</v>
      </c>
      <c r="D13" s="28"/>
      <c r="E13" s="28"/>
      <c r="F13" s="12"/>
      <c r="G13" s="52">
        <f>SUM(G4:G10)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69" t="s">
        <v>244</v>
      </c>
      <c r="B16" s="102" t="str">
        <f>+IF(F16=0,0,MID(F16,LEN(F16)-3,1))</f>
        <v>3</v>
      </c>
      <c r="C16" s="179">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77"/>
      <c r="D18" s="15"/>
      <c r="E18" s="12"/>
      <c r="F18" s="12"/>
      <c r="G18" s="11"/>
      <c r="H18" s="1"/>
      <c r="I18" s="17" t="s">
        <v>12</v>
      </c>
      <c r="J18" s="12" t="s">
        <v>418</v>
      </c>
      <c r="K18" s="103">
        <v>2</v>
      </c>
      <c r="L18" s="14">
        <v>1</v>
      </c>
      <c r="M18" s="15" t="s">
        <v>365</v>
      </c>
      <c r="N18" s="47" t="str">
        <f>+IF(O18=0,0,CONCATENATE(MID(O18,FIND("-",O18,1)+1,4),"ORAS"))</f>
        <v>09 HORAS</v>
      </c>
      <c r="O18" s="12" t="s">
        <v>326</v>
      </c>
      <c r="P18" s="11">
        <f>+IF(O18="","",VLOOKUP(O18,$H$139:$I$185,2,FALSE))</f>
        <v>392186</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SUM(G13,G16)</f>
        <v>4115783</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26"/>
      <c r="S23" s="40"/>
      <c r="T23" s="103"/>
      <c r="U23" s="40"/>
      <c r="V23" s="15"/>
      <c r="W23" s="12"/>
      <c r="X23" s="12"/>
      <c r="Y23" s="166" t="str">
        <f>+IF(X23="","",VLOOKUP(X23,$H$139:$I$185,2,FALSE))</f>
        <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4</v>
      </c>
      <c r="M25" s="60"/>
      <c r="N25" s="60"/>
      <c r="O25" s="60"/>
      <c r="P25" s="137">
        <f>SUM(P4:P23)</f>
        <v>1420699</v>
      </c>
      <c r="Q25" s="1"/>
      <c r="R25" s="1"/>
      <c r="S25" s="62" t="s">
        <v>31</v>
      </c>
      <c r="T25" s="140">
        <f>+T15+T16+T4+T5+T6+T7</f>
        <v>15</v>
      </c>
      <c r="U25" s="140">
        <f>SUM(U4:U7,U21)</f>
        <v>4</v>
      </c>
      <c r="V25" s="62"/>
      <c r="W25" s="62"/>
      <c r="X25" s="62"/>
      <c r="Y25" s="63">
        <f>SUM(Y4:Y23)</f>
        <v>2642000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64">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8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82">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0" t="s">
        <v>33</v>
      </c>
      <c r="B36" s="102" t="str">
        <f>+IF(F36=0,0,MID(F36,LEN(F36)-3,1))</f>
        <v>3</v>
      </c>
      <c r="C36" s="18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8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8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SUM(G26:G28,G34:G38)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8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82">
        <v>1</v>
      </c>
      <c r="D54" s="20" t="s">
        <v>365</v>
      </c>
      <c r="E54" s="47" t="str">
        <f t="shared" ref="E54:E63" si="3">+IF(F54=0,0,CONCATENATE(MID(F54,FIND("-",F54,1)+1,4),"ORAS"))</f>
        <v>15 HORAS</v>
      </c>
      <c r="F54" s="12" t="s">
        <v>335</v>
      </c>
      <c r="G54" s="164">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82">
        <v>1</v>
      </c>
      <c r="D55" s="20" t="s">
        <v>365</v>
      </c>
      <c r="E55" s="47" t="str">
        <f t="shared" si="3"/>
        <v>15 HORAS</v>
      </c>
      <c r="F55" s="12" t="s">
        <v>335</v>
      </c>
      <c r="G55" s="164">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82">
        <v>1</v>
      </c>
      <c r="D56" s="20" t="s">
        <v>365</v>
      </c>
      <c r="E56" s="47" t="str">
        <f t="shared" si="3"/>
        <v>15 HORAS</v>
      </c>
      <c r="F56" s="12" t="s">
        <v>335</v>
      </c>
      <c r="G56" s="164">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82">
        <v>1</v>
      </c>
      <c r="D57" s="20" t="s">
        <v>365</v>
      </c>
      <c r="E57" s="47" t="str">
        <f t="shared" si="3"/>
        <v>15 HORAS</v>
      </c>
      <c r="F57" s="12" t="s">
        <v>335</v>
      </c>
      <c r="G57" s="164">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82">
        <v>1</v>
      </c>
      <c r="D58" s="20" t="s">
        <v>365</v>
      </c>
      <c r="E58" s="47" t="str">
        <f t="shared" si="3"/>
        <v>15 HORAS</v>
      </c>
      <c r="F58" s="12" t="s">
        <v>335</v>
      </c>
      <c r="G58" s="164">
        <f>+IF(F58="","",VLOOKUP(F58,$H$139:$I$185,2,FALSE))</f>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82">
        <v>1</v>
      </c>
      <c r="D59" s="20" t="s">
        <v>365</v>
      </c>
      <c r="E59" s="47" t="str">
        <f t="shared" si="3"/>
        <v>15 HORAS</v>
      </c>
      <c r="F59" s="12" t="s">
        <v>335</v>
      </c>
      <c r="G59" s="164">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82">
        <v>1</v>
      </c>
      <c r="D60" s="20" t="s">
        <v>365</v>
      </c>
      <c r="E60" s="47" t="str">
        <f t="shared" si="3"/>
        <v>15 HORAS</v>
      </c>
      <c r="F60" s="12" t="s">
        <v>335</v>
      </c>
      <c r="G60" s="164">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82">
        <v>1</v>
      </c>
      <c r="D61" s="20" t="s">
        <v>365</v>
      </c>
      <c r="E61" s="47" t="str">
        <f t="shared" si="3"/>
        <v>15 HORAS</v>
      </c>
      <c r="F61" s="12" t="s">
        <v>335</v>
      </c>
      <c r="G61" s="164">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82">
        <v>1</v>
      </c>
      <c r="D62" s="20" t="s">
        <v>365</v>
      </c>
      <c r="E62" s="47" t="str">
        <f t="shared" si="3"/>
        <v>15 HORAS</v>
      </c>
      <c r="F62" s="12" t="s">
        <v>335</v>
      </c>
      <c r="G62" s="164">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82">
        <v>1</v>
      </c>
      <c r="D63" s="20" t="s">
        <v>365</v>
      </c>
      <c r="E63" s="47" t="str">
        <f t="shared" si="3"/>
        <v>15 HORAS</v>
      </c>
      <c r="F63" s="12" t="s">
        <v>335</v>
      </c>
      <c r="G63" s="164">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8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SUM(G54:G63)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80</v>
      </c>
      <c r="C67" s="143">
        <f>C65+C40+C22</f>
        <v>26</v>
      </c>
      <c r="D67" s="62"/>
      <c r="E67" s="1"/>
      <c r="F67" s="1"/>
      <c r="G67" s="52">
        <f>SUM(G22,G40,G65)</f>
        <v>12378424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102</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16441123</v>
      </c>
      <c r="L70" s="380"/>
      <c r="M70" s="98">
        <f>G22+P18+Y20</f>
        <v>4881203</v>
      </c>
      <c r="N70" s="142">
        <f>SUM(G40,P25,Y4:Y6,Y15:Y16,Y21)</f>
        <v>7145642</v>
      </c>
      <c r="O70" s="98">
        <f>SUM(Y22,G65)</f>
        <v>4806464</v>
      </c>
      <c r="P70" s="109">
        <f>SUM(M70:O70)</f>
        <v>16833309</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7" t="s">
        <v>428</v>
      </c>
      <c r="B73" s="418"/>
      <c r="C73" s="418"/>
      <c r="D73" s="418"/>
      <c r="E73" s="418"/>
      <c r="F73" s="418"/>
      <c r="G73" s="418"/>
      <c r="H73" s="418"/>
      <c r="I73" s="418"/>
      <c r="J73" s="418"/>
      <c r="K73" s="418"/>
      <c r="L73" s="418"/>
      <c r="M73" s="418"/>
      <c r="N73" s="418"/>
      <c r="O73" s="418"/>
      <c r="P73" s="418"/>
      <c r="Q73" s="418"/>
      <c r="R73" s="418"/>
      <c r="S73" s="418"/>
      <c r="T73" s="418"/>
      <c r="U73" s="418"/>
      <c r="V73" s="418"/>
      <c r="W73" s="418"/>
      <c r="X73" s="418"/>
      <c r="Y73" s="418"/>
      <c r="Z73" s="418"/>
      <c r="AA73" s="418"/>
      <c r="AB73" s="418"/>
      <c r="AC73" s="418"/>
      <c r="AD73" s="418"/>
      <c r="AE73" s="418"/>
    </row>
    <row r="74" spans="1:31" ht="222.75" customHeight="1" x14ac:dyDescent="0.2">
      <c r="A74" s="417"/>
      <c r="B74" s="418"/>
      <c r="C74" s="418"/>
      <c r="D74" s="418"/>
      <c r="E74" s="418"/>
      <c r="F74" s="418"/>
      <c r="G74" s="418"/>
      <c r="H74" s="418"/>
      <c r="I74" s="418"/>
      <c r="J74" s="418"/>
      <c r="K74" s="418"/>
      <c r="L74" s="418"/>
      <c r="M74" s="418"/>
      <c r="N74" s="418"/>
      <c r="O74" s="418"/>
      <c r="P74" s="418"/>
      <c r="Q74" s="418"/>
      <c r="R74" s="418"/>
      <c r="S74" s="418"/>
      <c r="T74" s="418"/>
      <c r="U74" s="418"/>
      <c r="V74" s="418"/>
      <c r="W74" s="418"/>
      <c r="X74" s="418"/>
      <c r="Y74" s="418"/>
      <c r="Z74" s="418"/>
      <c r="AA74" s="418"/>
      <c r="AB74" s="418"/>
      <c r="AC74" s="418"/>
      <c r="AD74" s="418"/>
      <c r="AE74" s="418"/>
    </row>
    <row r="75" spans="1:31" ht="109.5" customHeight="1" x14ac:dyDescent="0.2">
      <c r="A75" s="417"/>
      <c r="B75" s="418"/>
      <c r="C75" s="418"/>
      <c r="D75" s="418"/>
      <c r="E75" s="418"/>
      <c r="F75" s="418"/>
      <c r="G75" s="418"/>
      <c r="H75" s="418"/>
      <c r="I75" s="418"/>
      <c r="J75" s="418"/>
      <c r="K75" s="418"/>
      <c r="L75" s="418"/>
      <c r="M75" s="418"/>
      <c r="N75" s="418"/>
      <c r="O75" s="418"/>
      <c r="P75" s="418"/>
      <c r="Q75" s="418"/>
      <c r="R75" s="418"/>
      <c r="S75" s="418"/>
      <c r="T75" s="418"/>
      <c r="U75" s="418"/>
      <c r="V75" s="418"/>
      <c r="W75" s="418"/>
      <c r="X75" s="418"/>
      <c r="Y75" s="418"/>
      <c r="Z75" s="418"/>
      <c r="AA75" s="418"/>
      <c r="AB75" s="418"/>
      <c r="AC75" s="418"/>
      <c r="AD75" s="418"/>
      <c r="AE75" s="418"/>
    </row>
    <row r="76" spans="1:31" ht="148.5" customHeight="1" x14ac:dyDescent="0.2">
      <c r="A76" s="417"/>
      <c r="B76" s="418"/>
      <c r="C76" s="418"/>
      <c r="D76" s="418"/>
      <c r="E76" s="418"/>
      <c r="F76" s="418"/>
      <c r="G76" s="418"/>
      <c r="H76" s="418"/>
      <c r="I76" s="418"/>
      <c r="J76" s="418"/>
      <c r="K76" s="418"/>
      <c r="L76" s="418"/>
      <c r="M76" s="418"/>
      <c r="N76" s="418"/>
      <c r="O76" s="418"/>
      <c r="P76" s="418"/>
      <c r="Q76" s="418"/>
      <c r="R76" s="418"/>
      <c r="S76" s="418"/>
      <c r="T76" s="418"/>
      <c r="U76" s="418"/>
      <c r="V76" s="418"/>
      <c r="W76" s="418"/>
      <c r="X76" s="418"/>
      <c r="Y76" s="418"/>
      <c r="Z76" s="418"/>
      <c r="AA76" s="418"/>
      <c r="AB76" s="418"/>
      <c r="AC76" s="418"/>
      <c r="AD76" s="418"/>
      <c r="AE76" s="418"/>
    </row>
    <row r="77" spans="1:31" ht="90" customHeight="1" x14ac:dyDescent="0.2">
      <c r="A77" s="417"/>
      <c r="B77" s="418"/>
      <c r="C77" s="418"/>
      <c r="D77" s="418"/>
      <c r="E77" s="418"/>
      <c r="F77" s="418"/>
      <c r="G77" s="418"/>
      <c r="H77" s="418"/>
      <c r="I77" s="418"/>
      <c r="J77" s="418"/>
      <c r="K77" s="418"/>
      <c r="L77" s="418"/>
      <c r="M77" s="418"/>
      <c r="N77" s="418"/>
      <c r="O77" s="418"/>
      <c r="P77" s="418"/>
      <c r="Q77" s="418"/>
      <c r="R77" s="418"/>
      <c r="S77" s="418"/>
      <c r="T77" s="418"/>
      <c r="U77" s="418"/>
      <c r="V77" s="418"/>
      <c r="W77" s="418"/>
      <c r="X77" s="418"/>
      <c r="Y77" s="418"/>
      <c r="Z77" s="418"/>
      <c r="AA77" s="418"/>
      <c r="AB77" s="418"/>
      <c r="AC77" s="418"/>
      <c r="AD77" s="418"/>
      <c r="AE77" s="418"/>
    </row>
    <row r="78" spans="1:31" ht="156" customHeight="1" x14ac:dyDescent="0.2">
      <c r="A78" s="417"/>
      <c r="B78" s="418"/>
      <c r="C78" s="418"/>
      <c r="D78" s="418"/>
      <c r="E78" s="418"/>
      <c r="F78" s="418"/>
      <c r="G78" s="418"/>
      <c r="H78" s="418"/>
      <c r="I78" s="418"/>
      <c r="J78" s="418"/>
      <c r="K78" s="418"/>
      <c r="L78" s="418"/>
      <c r="M78" s="418"/>
      <c r="N78" s="418"/>
      <c r="O78" s="418"/>
      <c r="P78" s="418"/>
      <c r="Q78" s="418"/>
      <c r="R78" s="418"/>
      <c r="S78" s="418"/>
      <c r="T78" s="418"/>
      <c r="U78" s="418"/>
      <c r="V78" s="418"/>
      <c r="W78" s="418"/>
      <c r="X78" s="418"/>
      <c r="Y78" s="418"/>
      <c r="Z78" s="418"/>
      <c r="AA78" s="418"/>
      <c r="AB78" s="418"/>
      <c r="AC78" s="418"/>
      <c r="AD78" s="418"/>
      <c r="AE78" s="418"/>
    </row>
    <row r="79" spans="1:31" ht="258" customHeight="1" x14ac:dyDescent="0.2">
      <c r="A79" s="417"/>
      <c r="B79" s="418"/>
      <c r="C79" s="418"/>
      <c r="D79" s="418"/>
      <c r="E79" s="418"/>
      <c r="F79" s="418"/>
      <c r="G79" s="418"/>
      <c r="H79" s="418"/>
      <c r="I79" s="418"/>
      <c r="J79" s="418"/>
      <c r="K79" s="418"/>
      <c r="L79" s="418"/>
      <c r="M79" s="418"/>
      <c r="N79" s="418"/>
      <c r="O79" s="418"/>
      <c r="P79" s="418"/>
      <c r="Q79" s="418"/>
      <c r="R79" s="418"/>
      <c r="S79" s="418"/>
      <c r="T79" s="418"/>
      <c r="U79" s="418"/>
      <c r="V79" s="418"/>
      <c r="W79" s="418"/>
      <c r="X79" s="418"/>
      <c r="Y79" s="418"/>
      <c r="Z79" s="418"/>
      <c r="AA79" s="418"/>
      <c r="AB79" s="418"/>
      <c r="AC79" s="418"/>
      <c r="AD79" s="418"/>
      <c r="AE79" s="418"/>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BBFC803C-2AF1-4F4B-8E0A-ADE606423259}">
      <formula1>$H$140:$H$185</formula1>
    </dataValidation>
    <dataValidation type="list" allowBlank="1" showInputMessage="1" showErrorMessage="1" sqref="F4:F7 F16:F19 X15:X16 F30:F31 F26:F28 F46:F51 F34:F38 O4:O15 O18:O24 X4:X8 F54:F64 X20:X23" xr:uid="{8247E002-1112-BF4E-9F0A-001EA8D2FE29}">
      <formula1>$H$139:$H$185</formula1>
    </dataValidation>
    <dataValidation type="list" allowBlank="1" showInputMessage="1" showErrorMessage="1" sqref="F39" xr:uid="{94C7C93A-1EC9-3B41-916A-7DC8D38FF6AB}">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3F139-0106-3146-93F8-687B4818FE11}">
  <sheetPr>
    <tabColor rgb="FFFF0000"/>
  </sheetPr>
  <dimension ref="A1:AE186"/>
  <sheetViews>
    <sheetView view="pageBreakPreview" topLeftCell="J31"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69"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26"/>
      <c r="S23" s="40"/>
      <c r="T23" s="103"/>
      <c r="U23" s="40"/>
      <c r="V23" s="15"/>
      <c r="W23" s="12">
        <f>+IF(X23=0,0,CONCATENATE(MID(X23,FIND("-",X23,1)+1,4),"ORAS"))</f>
        <v>0</v>
      </c>
      <c r="X23" s="12">
        <v>0</v>
      </c>
      <c r="Y23" s="139">
        <f>+IF(X23="","",VLOOKUP(X23,$H$139:$I$185,2,FALSE))</f>
        <v>0</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2700416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15829473</v>
      </c>
      <c r="L70" s="380"/>
      <c r="M70" s="98">
        <f>G22+P18+Y20</f>
        <v>4557065</v>
      </c>
      <c r="N70" s="142">
        <f>G40+P4+P5+Y4+Y5+Y6+Y7+Y15+Y16+Y21+P6+P7+P8</f>
        <v>6465944</v>
      </c>
      <c r="O70" s="98">
        <f>G65+Y22</f>
        <v>4806464</v>
      </c>
      <c r="P70" s="109">
        <f>SUM(M70:O70)</f>
        <v>15829473</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429</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CAD83474-9FFD-A64A-82D4-F3D61CFA1770}">
      <formula1>$H$140:$H$185</formula1>
    </dataValidation>
    <dataValidation type="list" allowBlank="1" showInputMessage="1" showErrorMessage="1" sqref="F4:F7 F16:F19 X15:X16 F30:F31 F26:F28 F46:F51 F34:F38 O4:O15 O18:O24 X4:X8 F54:F64 X20:X23" xr:uid="{30F0E0EE-ABDC-D146-B221-D9E5968B902A}">
      <formula1>$H$139:$H$185</formula1>
    </dataValidation>
    <dataValidation type="list" allowBlank="1" showInputMessage="1" showErrorMessage="1" sqref="F39" xr:uid="{2AAF9F90-608A-0B45-8FEF-41A69061B0DF}">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79D9-808B-D34D-9514-45F997B5875E}">
  <sheetPr>
    <tabColor rgb="FFFF0000"/>
  </sheetPr>
  <dimension ref="A1:AE186"/>
  <sheetViews>
    <sheetView view="pageBreakPreview" topLeftCell="A55"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26"/>
      <c r="S23" s="40"/>
      <c r="T23" s="103"/>
      <c r="U23" s="40"/>
      <c r="V23" s="15"/>
      <c r="W23" s="12">
        <f>+IF(X23=0,0,CONCATENATE(MID(X23,FIND("-",X23,1)+1,4),"ORAS"))</f>
        <v>0</v>
      </c>
      <c r="X23" s="12">
        <v>0</v>
      </c>
      <c r="Y23" s="139">
        <f>+IF(X23="","",VLOOKUP(X23,$H$139:$I$185,2,FALSE))</f>
        <v>0</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2700416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58"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25" t="s">
        <v>372</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25" t="s">
        <v>373</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c r="C62" s="154"/>
      <c r="D62" s="20"/>
      <c r="E62" s="47"/>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13612858</v>
      </c>
      <c r="L70" s="380"/>
      <c r="M70" s="98">
        <f>G22+P18+Y20</f>
        <v>4557065</v>
      </c>
      <c r="N70" s="142">
        <f>G40+P4+P5+Y4+Y5+Y6+Y7+Y15+Y16+Y21+P6+P7+P8</f>
        <v>6465944</v>
      </c>
      <c r="O70" s="98">
        <f>G65+Y22</f>
        <v>2589849</v>
      </c>
      <c r="P70" s="109">
        <f>SUM(M70:O70)</f>
        <v>13612858</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430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disablePrompts="1" count="3">
    <dataValidation type="list" allowBlank="1" showInputMessage="1" showErrorMessage="1" sqref="F39" xr:uid="{F16AF87E-227F-B644-98EB-7BC5104CB349}">
      <formula1>$H$139:$H$184</formula1>
    </dataValidation>
    <dataValidation type="list" allowBlank="1" showInputMessage="1" showErrorMessage="1" sqref="F4:F7 F16:F19 X15:X16 F30:F31 F26:F28 F46:F51 F34:F38 O4:O15 O18:O24 X4:X8 X20:X23 F54:F64" xr:uid="{5444DF63-8379-4048-BA96-817B97EF53FB}">
      <formula1>$H$139:$H$185</formula1>
    </dataValidation>
    <dataValidation type="list" allowBlank="1" showInputMessage="1" showErrorMessage="1" sqref="F29 F8:F13 F20:F21" xr:uid="{01EFFF70-A462-9F4A-8B65-9B3889FBDA1A}">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CFC7F-5B96-704A-BDBD-023F4D249E30}">
  <sheetPr>
    <tabColor rgb="FFFF0000"/>
  </sheetPr>
  <dimension ref="A1:AE186"/>
  <sheetViews>
    <sheetView view="pageBreakPreview" topLeftCell="A27"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16202707</v>
      </c>
      <c r="L70" s="380"/>
      <c r="M70" s="98">
        <f>G22+P18+Y20</f>
        <v>4557065</v>
      </c>
      <c r="N70" s="142">
        <f>G40+P4+P5+Y4+Y5+Y6+Y7+Y15+Y16+Y21+P6+P7+P8</f>
        <v>6465944</v>
      </c>
      <c r="O70" s="98">
        <f>G65+Y22</f>
        <v>4806464</v>
      </c>
      <c r="P70" s="109">
        <f>SUM(M70:O70)</f>
        <v>15829473</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431</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0A33D39F-C378-1E40-8C5F-FA66838ADE73}">
      <formula1>$H$139:$H$184</formula1>
    </dataValidation>
    <dataValidation type="list" allowBlank="1" showInputMessage="1" showErrorMessage="1" sqref="F4:F7 F16:F19 X15:X16 F30:F31 F26:F28 F46:F51 F34:F38 O4:O15 O18:O24 X4:X8 F54:F64 X20:X23" xr:uid="{E30DDA63-6382-5E49-A2C2-201912203109}">
      <formula1>$H$139:$H$185</formula1>
    </dataValidation>
    <dataValidation type="list" allowBlank="1" showInputMessage="1" showErrorMessage="1" sqref="F29 F8:F13 F20:F21" xr:uid="{FAA3164D-223A-2241-AB44-899E09D9A0CB}">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EB2DA-0B1D-F945-A057-B91F362AFB5E}">
  <sheetPr>
    <tabColor rgb="FFFF0000"/>
  </sheetPr>
  <dimension ref="A1:AE186"/>
  <sheetViews>
    <sheetView view="pageBreakPreview" topLeftCell="A29"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433</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58"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25" t="s">
        <v>372</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25" t="s">
        <v>373</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c r="C62" s="154"/>
      <c r="D62" s="20"/>
      <c r="E62" s="47"/>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13986092</v>
      </c>
      <c r="L70" s="380"/>
      <c r="M70" s="98">
        <f>G22+P18+Y20</f>
        <v>4557065</v>
      </c>
      <c r="N70" s="142">
        <f>G40+P4+P5+Y4+Y5+Y6+Y7+Y15+Y16+Y21+P6+P7+P8</f>
        <v>6465944</v>
      </c>
      <c r="O70" s="98">
        <f>G65+Y22</f>
        <v>2589849</v>
      </c>
      <c r="P70" s="109">
        <f>SUM(M70:O70)</f>
        <v>13612858</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432</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D5E576A3-4DB9-2047-9E22-80BCEF53021B}">
      <formula1>$H$140:$H$185</formula1>
    </dataValidation>
    <dataValidation type="list" allowBlank="1" showInputMessage="1" showErrorMessage="1" sqref="F4:F7 F16:F19 X15:X16 F30:F31 F26:F28 F46:F51 F34:F38 O4:O15 O18:O24 X4:X8 X20:X23 F54:F64" xr:uid="{2FBBCBBE-644D-124A-B31D-6BDD3FDF835C}">
      <formula1>$H$139:$H$185</formula1>
    </dataValidation>
    <dataValidation type="list" allowBlank="1" showInputMessage="1" showErrorMessage="1" sqref="F39" xr:uid="{7672CC88-25B8-2944-8A52-2CAD82CE1390}">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81113-0E18-1345-8B30-186DB06612B2}">
  <sheetPr>
    <tabColor rgb="FFFF0000"/>
  </sheetPr>
  <dimension ref="A1:AE186"/>
  <sheetViews>
    <sheetView view="pageBreakPreview" zoomScaleNormal="59" zoomScaleSheetLayoutView="10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435</v>
      </c>
      <c r="K6" s="103">
        <v>2</v>
      </c>
      <c r="L6" s="14">
        <v>1</v>
      </c>
      <c r="M6" s="15" t="s">
        <v>365</v>
      </c>
      <c r="N6" s="47" t="str">
        <f>+IF(O6=0,0,CONCATENATE(MID(O6,FIND("-",O6,1)+1,4),"ORAS"))</f>
        <v>15 HORAS</v>
      </c>
      <c r="O6" s="12" t="s">
        <v>336</v>
      </c>
      <c r="P6" s="11">
        <f>+IF(O6="","",VLOOKUP(O6,$H$139:$I$185,2,FALSE))</f>
        <v>388652</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3</v>
      </c>
      <c r="C9" s="15">
        <v>1</v>
      </c>
      <c r="D9" s="15" t="s">
        <v>365</v>
      </c>
      <c r="E9" s="47" t="str">
        <f t="shared" si="1"/>
        <v>15 HORAS</v>
      </c>
      <c r="F9" s="12" t="s">
        <v>320</v>
      </c>
      <c r="G9" s="11">
        <f>+IF(F9="","",VLOOKUP(F9,$H$139:$I$185,2,FALSE))</f>
        <v>514916</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434</v>
      </c>
      <c r="K18" s="103">
        <v>3</v>
      </c>
      <c r="L18" s="14">
        <v>1</v>
      </c>
      <c r="M18" s="15" t="s">
        <v>365</v>
      </c>
      <c r="N18" s="47" t="str">
        <f>+IF(O18=0,0,CONCATENATE(MID(O18,FIND("-",O18,1)+1,4),"ORAS"))</f>
        <v>15 HORAS</v>
      </c>
      <c r="O18" s="12" t="s">
        <v>321</v>
      </c>
      <c r="P18" s="11">
        <f>+IF(O18="","",VLOOKUP(O18,$H$139:$I$185,2,FALSE))</f>
        <v>448638</v>
      </c>
      <c r="Q18" s="184"/>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1519875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17039997</v>
      </c>
      <c r="L70" s="380"/>
      <c r="M70" s="98">
        <f>G22+P18+Y20</f>
        <v>4937655</v>
      </c>
      <c r="N70" s="142">
        <f>G40+P4+P5+Y4+Y5+Y6+Y7+Y15+Y16+Y21+P6+P7+P8+Y22</f>
        <v>7295878</v>
      </c>
      <c r="O70" s="98">
        <f>G65+Y22</f>
        <v>4806464</v>
      </c>
      <c r="P70" s="109">
        <f>SUM(M70:O70)</f>
        <v>17039997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7" t="s">
        <v>436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1EA763D1-B17C-244B-BA3E-7A28ED10E9BF}">
      <formula1>$H$140:$H$185</formula1>
    </dataValidation>
    <dataValidation type="list" allowBlank="1" showInputMessage="1" showErrorMessage="1" sqref="F4:F7 F16:F19 X15:X16 F30:F31 F26:F28 F46:F51 F34:F38 O4:O15 O18:O24 X4:X8 F54:F64 X20:X23" xr:uid="{32B3436A-4766-354F-AB01-FEAF165EA3C9}">
      <formula1>$H$139:$H$185</formula1>
    </dataValidation>
    <dataValidation type="list" allowBlank="1" showInputMessage="1" showErrorMessage="1" sqref="F39" xr:uid="{EF98AC9D-611D-0541-9689-2CAE1EEE0604}">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0F71A-5B4D-534F-81E4-F4903EDDC38F}">
  <sheetPr>
    <tabColor rgb="FFFF0000"/>
  </sheetPr>
  <dimension ref="A1:AE186"/>
  <sheetViews>
    <sheetView view="pageBreakPreview"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c r="P6" s="11" t="str">
        <f>+IF(O6="","",VLOOKUP(O6,$H$139:$I$185,2,FALSE))</f>
        <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437</v>
      </c>
      <c r="K18" s="103">
        <v>2</v>
      </c>
      <c r="L18" s="14">
        <v>1</v>
      </c>
      <c r="M18" s="15" t="s">
        <v>365</v>
      </c>
      <c r="N18" s="47" t="str">
        <f>+IF(O18=0,0,CONCATENATE(MID(O18,FIND("-",O18,1)+1,4),"ORAS"))</f>
        <v>15 HORAS</v>
      </c>
      <c r="O18" s="12" t="s">
        <v>349</v>
      </c>
      <c r="P18" s="11">
        <f>+IF(O18="","",VLOOKUP(O18,$H$139:$I$185,2,FALSE))</f>
        <v>239262</v>
      </c>
      <c r="Q18" s="184"/>
      <c r="R18" s="382" t="s">
        <v>376</v>
      </c>
      <c r="S18" s="383"/>
      <c r="T18" s="383"/>
      <c r="U18" s="383"/>
      <c r="V18" s="383"/>
      <c r="W18" s="383"/>
      <c r="X18" s="383"/>
      <c r="Y18" s="384"/>
    </row>
    <row r="19" spans="1:31" ht="15.75" x14ac:dyDescent="0.25">
      <c r="A19" s="69"/>
      <c r="B19" s="103"/>
      <c r="C19" s="15"/>
      <c r="D19" s="15"/>
      <c r="E19" s="12"/>
      <c r="F19" s="12"/>
      <c r="G19" s="11"/>
      <c r="H19" s="1"/>
      <c r="I19" s="17" t="s">
        <v>12</v>
      </c>
      <c r="J19" s="12" t="s">
        <v>438</v>
      </c>
      <c r="K19" s="103">
        <v>2</v>
      </c>
      <c r="L19" s="27">
        <v>1</v>
      </c>
      <c r="M19" s="15" t="s">
        <v>365</v>
      </c>
      <c r="N19" s="47" t="str">
        <f>+IF(O19=0,0,CONCATENATE(MID(O19,FIND("-",O19,1)+1,4),"ORAS"))</f>
        <v>15 HORAS</v>
      </c>
      <c r="O19" s="12" t="s">
        <v>349</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7</v>
      </c>
      <c r="L25" s="136">
        <f>SUM(L4:L24)</f>
        <v>4</v>
      </c>
      <c r="M25" s="60"/>
      <c r="N25" s="60"/>
      <c r="O25" s="60"/>
      <c r="P25" s="137">
        <f>SUM(P4:P23)</f>
        <v>921847</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4</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16441969</v>
      </c>
      <c r="L70" s="380"/>
      <c r="M70" s="98">
        <f>G22+P18+Y20</f>
        <v>4728279</v>
      </c>
      <c r="N70" s="142" t="e">
        <f>G40+P4+P5+Y4+Y5+Y6+Y7+Y15+Y16+Y21+P6+P7+P8+Y22</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7" t="s">
        <v>439</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3B681C97-8131-974D-871A-C405FBA79961}">
      <formula1>$H$139:$H$184</formula1>
    </dataValidation>
    <dataValidation type="list" allowBlank="1" showInputMessage="1" showErrorMessage="1" sqref="F4:F7 F16:F19 X15:X16 F30:F31 F26:F28 F46:F51 F34:F38 O4:O15 X20:X23 X4:X8 F54:F64 O18:O24" xr:uid="{AB329154-03EF-4D4C-B6CE-61A32E0F49EE}">
      <formula1>$H$139:$H$185</formula1>
    </dataValidation>
    <dataValidation type="list" allowBlank="1" showInputMessage="1" showErrorMessage="1" sqref="F29 F8:F13 F20:F21" xr:uid="{37173586-5268-0C42-990D-44D8DBEB8D83}">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EAC8F-01A8-407C-AAE2-A2DEC953CE14}">
  <sheetPr>
    <tabColor rgb="FFFF0000"/>
  </sheetPr>
  <dimension ref="A1:AE186"/>
  <sheetViews>
    <sheetView view="pageBreakPreview" topLeftCell="K1" zoomScale="60" zoomScaleNormal="59"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c r="P6" s="11" t="str">
        <f>+IF(O6="","",VLOOKUP(O6,$H$139:$I$185,2,FALSE))</f>
        <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69"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3</v>
      </c>
      <c r="L25" s="136">
        <f>SUM(L4:L24)</f>
        <v>2</v>
      </c>
      <c r="M25" s="60"/>
      <c r="N25" s="60"/>
      <c r="O25" s="60"/>
      <c r="P25" s="137">
        <f>SUM(P4:P23)</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0"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16202707</v>
      </c>
      <c r="L70" s="380"/>
      <c r="M70" s="98">
        <f>G22+P18+Y20</f>
        <v>4489017</v>
      </c>
      <c r="N70" s="142" t="e">
        <f>G40+P4+P5+Y4+Y5+Y6+Y7+Y15+Y16+Y21+P6+P7+P8+Y22</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9" t="s">
        <v>440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D145D101-C6B3-49EC-BE2B-D13958564D67}">
      <formula1>$H$140:$H$185</formula1>
    </dataValidation>
    <dataValidation type="list" allowBlank="1" showInputMessage="1" showErrorMessage="1" sqref="F4:F7 F16:F19 X15:X16 F30:F31 F26:F28 F46:F51 F34:F38 O4:O15 X20:X23 X4:X8 F54:F64 O18:O24" xr:uid="{DBCAC660-FAE9-48DF-9ABA-6D01AA7C8E3C}">
      <formula1>$H$139:$H$185</formula1>
    </dataValidation>
    <dataValidation type="list" allowBlank="1" showInputMessage="1" showErrorMessage="1" sqref="F39" xr:uid="{F0C5F3B9-0751-4CC7-B61F-F26916177CF2}">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51806-7F92-C447-9896-D7B587C2AC5D}">
  <sheetPr>
    <tabColor rgb="FFFF0000"/>
  </sheetPr>
  <dimension ref="A1:AE186"/>
  <sheetViews>
    <sheetView view="pageBreakPreview" topLeftCell="A13" zoomScale="90" zoomScaleNormal="59" zoomScaleSheetLayoutView="90"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4</v>
      </c>
      <c r="U4" s="155">
        <v>1</v>
      </c>
      <c r="V4" s="20" t="s">
        <v>365</v>
      </c>
      <c r="W4" s="47" t="str">
        <f>+IF(X4=0,0,CONCATENATE(MID(X4,FIND("-",X4,1)+1,4),"ORAS"))</f>
        <v>15 HORAS</v>
      </c>
      <c r="X4" s="12" t="s">
        <v>334</v>
      </c>
      <c r="Y4" s="11">
        <f>+IF(X4="","",VLOOKUP(X4,$H$139:$I$185,2,FALSE))</f>
        <v>501739</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441</v>
      </c>
      <c r="K6" s="103">
        <v>2</v>
      </c>
      <c r="L6" s="14">
        <v>1</v>
      </c>
      <c r="M6" s="15" t="s">
        <v>365</v>
      </c>
      <c r="N6" s="47" t="str">
        <f>+IF(O6=0,0,CONCATENATE(MID(O6,FIND("-",O6,1)+1,4),"ORAS"))</f>
        <v>15 HORAS</v>
      </c>
      <c r="O6" s="12" t="s">
        <v>336</v>
      </c>
      <c r="P6" s="11">
        <f>+IF(O6="","",VLOOKUP(O6,$H$139:$I$185,2,FALSE))</f>
        <v>388652</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5</v>
      </c>
      <c r="L25" s="136">
        <f>SUM(L4:L24)</f>
        <v>3</v>
      </c>
      <c r="M25" s="60"/>
      <c r="N25" s="60"/>
      <c r="O25" s="60"/>
      <c r="P25" s="137">
        <f>SUM(P4:P23)</f>
        <v>1071237</v>
      </c>
      <c r="Q25" s="1"/>
      <c r="R25" s="1"/>
      <c r="S25" s="62" t="s">
        <v>31</v>
      </c>
      <c r="T25" s="140">
        <f>+T15+T16+T4+T5+T6+T7</f>
        <v>17</v>
      </c>
      <c r="U25" s="140">
        <f>SUM(U4:U7,U21)</f>
        <v>4</v>
      </c>
      <c r="V25" s="62"/>
      <c r="W25" s="62"/>
      <c r="X25" s="62"/>
      <c r="Y25" s="63">
        <f>SUM(Y4:Y23)</f>
        <v>3132066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16649775</v>
      </c>
      <c r="L70" s="380"/>
      <c r="M70" s="98">
        <f>G22+P18+Y20</f>
        <v>4489017</v>
      </c>
      <c r="N70" s="142" t="e">
        <f>G40+P4+P5+Y4+Y5+Y6+Y7+Y15+Y16+Y21+P6+P7+P8+Y22</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9" t="s">
        <v>442</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DCB6240E-C886-F346-AF85-64949ED98712}">
      <formula1>$H$139:$H$184</formula1>
    </dataValidation>
    <dataValidation type="list" allowBlank="1" showInputMessage="1" showErrorMessage="1" sqref="F4:F7 F16:F19 X15:X16 F30:F31 F26:F28 F46:F51 F34:F38 O4:O15 X20:X23 X4:X8 F54:F64 O18:O24" xr:uid="{A5D0CA7D-B37F-514D-A87C-BBE25685A9F5}">
      <formula1>$H$139:$H$185</formula1>
    </dataValidation>
    <dataValidation type="list" allowBlank="1" showInputMessage="1" showErrorMessage="1" sqref="F29 F8:F13 F20:F21" xr:uid="{45D06355-D27C-274D-94A5-B780A1E0B45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675B5-CA5C-EF4E-9912-07CBF7ADF32E}">
  <sheetPr>
    <tabColor rgb="FFFF0000"/>
  </sheetPr>
  <dimension ref="A1:AE186"/>
  <sheetViews>
    <sheetView view="pageBreakPreview" topLeftCell="E1" zoomScale="94" zoomScaleNormal="59" zoomScaleSheetLayoutView="94"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4</v>
      </c>
      <c r="U4" s="155">
        <v>1</v>
      </c>
      <c r="V4" s="20" t="s">
        <v>365</v>
      </c>
      <c r="W4" s="47" t="str">
        <f>+IF(X4=0,0,CONCATENATE(MID(X4,FIND("-",X4,1)+1,4),"ORAS"))</f>
        <v>15 HORAS</v>
      </c>
      <c r="X4" s="12" t="s">
        <v>334</v>
      </c>
      <c r="Y4" s="11">
        <f>+IF(X4="","",VLOOKUP(X4,$H$139:$I$185,2,FALSE))</f>
        <v>501739</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443</v>
      </c>
      <c r="K18" s="103">
        <v>2</v>
      </c>
      <c r="L18" s="14">
        <v>1</v>
      </c>
      <c r="M18" s="15" t="s">
        <v>444</v>
      </c>
      <c r="N18" s="47" t="str">
        <f>+IF(O18=0,0,CONCATENATE(MID(O18,FIND("-",O18,1)+1,4),"ORAS"))</f>
        <v>15 HORAS</v>
      </c>
      <c r="O18" s="12" t="s">
        <v>321</v>
      </c>
      <c r="P18" s="11">
        <f>+IF(O18="","",VLOOKUP(O18,$H$139:$I$185,2,FALSE))</f>
        <v>448638</v>
      </c>
      <c r="Q18" s="184"/>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5</v>
      </c>
      <c r="L25" s="136">
        <f>SUM(L4:L24)</f>
        <v>3</v>
      </c>
      <c r="M25" s="60"/>
      <c r="N25" s="60"/>
      <c r="O25" s="60"/>
      <c r="P25" s="137">
        <f>SUM(P4:P23)</f>
        <v>1131223</v>
      </c>
      <c r="Q25" s="1"/>
      <c r="R25" s="1"/>
      <c r="S25" s="62" t="s">
        <v>31</v>
      </c>
      <c r="T25" s="140">
        <f>+T15+T16+T4+T5+T6+T7</f>
        <v>17</v>
      </c>
      <c r="U25" s="140">
        <f>SUM(U4:U7,U21)</f>
        <v>4</v>
      </c>
      <c r="V25" s="62"/>
      <c r="W25" s="62"/>
      <c r="X25" s="62"/>
      <c r="Y25" s="63">
        <f>SUM(Y4:Y23)</f>
        <v>3132066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hidden="1"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6.5" hidden="1"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16709761</v>
      </c>
      <c r="L70" s="380"/>
      <c r="M70" s="98">
        <f>SUM(G22,Y20)</f>
        <v>4489017</v>
      </c>
      <c r="N70" s="142">
        <f>SUM(G40,P25,Y4:Y6,Y16,Y21:Y22,Y15)</f>
        <v>7414280</v>
      </c>
      <c r="O70" s="98">
        <f>SUM(G65,Y23)</f>
        <v>4806464</v>
      </c>
      <c r="P70" s="109">
        <f>SUM(M70:O70)</f>
        <v>16709761</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9" t="s">
        <v>445</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D50346EE-3EBA-E943-86F6-3E8A37BA7AAA}">
      <formula1>$H$140:$H$185</formula1>
    </dataValidation>
    <dataValidation type="list" allowBlank="1" showInputMessage="1" showErrorMessage="1" sqref="F4:F7 F16:F19 X15:X16 F30:F31 F26:F28 F46:F51 F34:F38 O4:O15 X20:X23 X4:X8 F54:F64 O18:O24" xr:uid="{48A29AEB-8832-8245-801B-19B2D9BD4998}">
      <formula1>$H$139:$H$185</formula1>
    </dataValidation>
    <dataValidation type="list" allowBlank="1" showInputMessage="1" showErrorMessage="1" sqref="F39" xr:uid="{B8B2BA09-D37A-804C-8A90-525D97A36CF9}">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C5FF0-6D89-486B-BE77-8E9857154A43}">
  <sheetPr>
    <tabColor rgb="FFFF0000"/>
  </sheetPr>
  <dimension ref="A1:AE188"/>
  <sheetViews>
    <sheetView view="pageBreakPreview" zoomScale="90" zoomScaleNormal="59" zoomScaleSheetLayoutView="90" workbookViewId="0">
      <selection activeCell="A9" sqref="A9"/>
    </sheetView>
  </sheetViews>
  <sheetFormatPr baseColWidth="10" defaultColWidth="11.42578125" defaultRowHeight="15" x14ac:dyDescent="0.25"/>
  <cols>
    <col min="1" max="1" width="58.42578125" customWidth="1"/>
    <col min="2" max="2" width="27.42578125" customWidth="1"/>
    <col min="3" max="3" width="20.85546875" customWidth="1"/>
    <col min="4" max="6" width="44.42578125" customWidth="1"/>
    <col min="7" max="7" width="52.85546875" hidden="1" customWidth="1"/>
    <col min="8" max="8" width="21.7109375" customWidth="1"/>
    <col min="9" max="9" width="28.140625" customWidth="1"/>
    <col min="10" max="10" width="64.85546875" customWidth="1"/>
    <col min="11" max="11" width="17.7109375" customWidth="1"/>
    <col min="12" max="12" width="14.28515625" customWidth="1"/>
    <col min="13" max="13" width="20.85546875" customWidth="1"/>
    <col min="14" max="14" width="25.7109375" customWidth="1"/>
    <col min="15" max="15" width="44.7109375" customWidth="1"/>
    <col min="16" max="16" width="16.140625" hidden="1" customWidth="1"/>
    <col min="17" max="17" width="23.85546875" customWidth="1"/>
    <col min="18" max="18" width="18.140625" customWidth="1"/>
    <col min="19" max="19" width="35.42578125" customWidth="1"/>
    <col min="20" max="20" width="20.28515625" customWidth="1"/>
    <col min="21" max="21" width="19" customWidth="1"/>
    <col min="22" max="23" width="25.42578125" customWidth="1"/>
    <col min="24" max="24" width="42.85546875" customWidth="1"/>
    <col min="25" max="25" width="22" hidden="1" customWidth="1"/>
    <col min="26" max="26" width="86.42578125" customWidth="1"/>
    <col min="27" max="27" width="43.140625" customWidth="1"/>
    <col min="30" max="30" width="14.42578125" customWidth="1"/>
    <col min="31" max="31" width="20" customWidth="1"/>
    <col min="265" max="265" width="43.7109375" customWidth="1"/>
    <col min="266" max="266" width="18.28515625" customWidth="1"/>
    <col min="267" max="267" width="35.42578125" customWidth="1"/>
    <col min="268" max="268" width="56.42578125" customWidth="1"/>
    <col min="269" max="269" width="121.28515625" customWidth="1"/>
    <col min="270" max="270" width="6" customWidth="1"/>
    <col min="271" max="271" width="33.42578125" customWidth="1"/>
    <col min="272" max="272" width="14.28515625" customWidth="1"/>
    <col min="273" max="273" width="12.7109375" customWidth="1"/>
    <col min="274" max="274" width="20.85546875" customWidth="1"/>
    <col min="275" max="275" width="16" customWidth="1"/>
    <col min="276" max="276" width="5.85546875" customWidth="1"/>
    <col min="277" max="277" width="35.42578125" customWidth="1"/>
    <col min="278" max="278" width="17.42578125" customWidth="1"/>
    <col min="279" max="279" width="14.140625" customWidth="1"/>
    <col min="280" max="280" width="22" customWidth="1"/>
    <col min="283" max="283" width="22.42578125" customWidth="1"/>
    <col min="286" max="286" width="14.42578125" customWidth="1"/>
    <col min="287" max="287" width="20" customWidth="1"/>
    <col min="521" max="521" width="43.7109375" customWidth="1"/>
    <col min="522" max="522" width="18.28515625" customWidth="1"/>
    <col min="523" max="523" width="35.42578125" customWidth="1"/>
    <col min="524" max="524" width="56.42578125" customWidth="1"/>
    <col min="525" max="525" width="121.28515625" customWidth="1"/>
    <col min="526" max="526" width="6" customWidth="1"/>
    <col min="527" max="527" width="33.42578125" customWidth="1"/>
    <col min="528" max="528" width="14.28515625" customWidth="1"/>
    <col min="529" max="529" width="12.7109375" customWidth="1"/>
    <col min="530" max="530" width="20.85546875" customWidth="1"/>
    <col min="531" max="531" width="16" customWidth="1"/>
    <col min="532" max="532" width="5.85546875" customWidth="1"/>
    <col min="533" max="533" width="35.42578125" customWidth="1"/>
    <col min="534" max="534" width="17.42578125" customWidth="1"/>
    <col min="535" max="535" width="14.140625" customWidth="1"/>
    <col min="536" max="536" width="22" customWidth="1"/>
    <col min="539" max="539" width="22.42578125" customWidth="1"/>
    <col min="542" max="542" width="14.42578125" customWidth="1"/>
    <col min="543" max="543" width="20" customWidth="1"/>
    <col min="777" max="777" width="43.7109375" customWidth="1"/>
    <col min="778" max="778" width="18.28515625" customWidth="1"/>
    <col min="779" max="779" width="35.42578125" customWidth="1"/>
    <col min="780" max="780" width="56.42578125" customWidth="1"/>
    <col min="781" max="781" width="121.28515625" customWidth="1"/>
    <col min="782" max="782" width="6" customWidth="1"/>
    <col min="783" max="783" width="33.42578125" customWidth="1"/>
    <col min="784" max="784" width="14.28515625" customWidth="1"/>
    <col min="785" max="785" width="12.7109375" customWidth="1"/>
    <col min="786" max="786" width="20.85546875" customWidth="1"/>
    <col min="787" max="787" width="16" customWidth="1"/>
    <col min="788" max="788" width="5.85546875" customWidth="1"/>
    <col min="789" max="789" width="35.42578125" customWidth="1"/>
    <col min="790" max="790" width="17.42578125" customWidth="1"/>
    <col min="791" max="791" width="14.140625" customWidth="1"/>
    <col min="792" max="792" width="22" customWidth="1"/>
    <col min="795" max="795" width="22.42578125" customWidth="1"/>
    <col min="798" max="798" width="14.42578125" customWidth="1"/>
    <col min="799" max="799" width="20" customWidth="1"/>
    <col min="1033" max="1033" width="43.7109375" customWidth="1"/>
    <col min="1034" max="1034" width="18.28515625" customWidth="1"/>
    <col min="1035" max="1035" width="35.42578125" customWidth="1"/>
    <col min="1036" max="1036" width="56.42578125" customWidth="1"/>
    <col min="1037" max="1037" width="121.28515625" customWidth="1"/>
    <col min="1038" max="1038" width="6" customWidth="1"/>
    <col min="1039" max="1039" width="33.42578125" customWidth="1"/>
    <col min="1040" max="1040" width="14.28515625" customWidth="1"/>
    <col min="1041" max="1041" width="12.7109375" customWidth="1"/>
    <col min="1042" max="1042" width="20.85546875" customWidth="1"/>
    <col min="1043" max="1043" width="16" customWidth="1"/>
    <col min="1044" max="1044" width="5.85546875" customWidth="1"/>
    <col min="1045" max="1045" width="35.42578125" customWidth="1"/>
    <col min="1046" max="1046" width="17.42578125" customWidth="1"/>
    <col min="1047" max="1047" width="14.140625" customWidth="1"/>
    <col min="1048" max="1048" width="22" customWidth="1"/>
    <col min="1051" max="1051" width="22.42578125" customWidth="1"/>
    <col min="1054" max="1054" width="14.42578125" customWidth="1"/>
    <col min="1055" max="1055" width="20" customWidth="1"/>
    <col min="1289" max="1289" width="43.7109375" customWidth="1"/>
    <col min="1290" max="1290" width="18.28515625" customWidth="1"/>
    <col min="1291" max="1291" width="35.42578125" customWidth="1"/>
    <col min="1292" max="1292" width="56.42578125" customWidth="1"/>
    <col min="1293" max="1293" width="121.28515625" customWidth="1"/>
    <col min="1294" max="1294" width="6" customWidth="1"/>
    <col min="1295" max="1295" width="33.42578125" customWidth="1"/>
    <col min="1296" max="1296" width="14.28515625" customWidth="1"/>
    <col min="1297" max="1297" width="12.7109375" customWidth="1"/>
    <col min="1298" max="1298" width="20.85546875" customWidth="1"/>
    <col min="1299" max="1299" width="16" customWidth="1"/>
    <col min="1300" max="1300" width="5.85546875" customWidth="1"/>
    <col min="1301" max="1301" width="35.42578125" customWidth="1"/>
    <col min="1302" max="1302" width="17.42578125" customWidth="1"/>
    <col min="1303" max="1303" width="14.140625" customWidth="1"/>
    <col min="1304" max="1304" width="22" customWidth="1"/>
    <col min="1307" max="1307" width="22.42578125" customWidth="1"/>
    <col min="1310" max="1310" width="14.42578125" customWidth="1"/>
    <col min="1311" max="1311" width="20" customWidth="1"/>
    <col min="1545" max="1545" width="43.7109375" customWidth="1"/>
    <col min="1546" max="1546" width="18.28515625" customWidth="1"/>
    <col min="1547" max="1547" width="35.42578125" customWidth="1"/>
    <col min="1548" max="1548" width="56.42578125" customWidth="1"/>
    <col min="1549" max="1549" width="121.28515625" customWidth="1"/>
    <col min="1550" max="1550" width="6" customWidth="1"/>
    <col min="1551" max="1551" width="33.42578125" customWidth="1"/>
    <col min="1552" max="1552" width="14.28515625" customWidth="1"/>
    <col min="1553" max="1553" width="12.7109375" customWidth="1"/>
    <col min="1554" max="1554" width="20.85546875" customWidth="1"/>
    <col min="1555" max="1555" width="16" customWidth="1"/>
    <col min="1556" max="1556" width="5.85546875" customWidth="1"/>
    <col min="1557" max="1557" width="35.42578125" customWidth="1"/>
    <col min="1558" max="1558" width="17.42578125" customWidth="1"/>
    <col min="1559" max="1559" width="14.140625" customWidth="1"/>
    <col min="1560" max="1560" width="22" customWidth="1"/>
    <col min="1563" max="1563" width="22.42578125" customWidth="1"/>
    <col min="1566" max="1566" width="14.42578125" customWidth="1"/>
    <col min="1567" max="1567" width="20" customWidth="1"/>
    <col min="1801" max="1801" width="43.7109375" customWidth="1"/>
    <col min="1802" max="1802" width="18.28515625" customWidth="1"/>
    <col min="1803" max="1803" width="35.42578125" customWidth="1"/>
    <col min="1804" max="1804" width="56.42578125" customWidth="1"/>
    <col min="1805" max="1805" width="121.28515625" customWidth="1"/>
    <col min="1806" max="1806" width="6" customWidth="1"/>
    <col min="1807" max="1807" width="33.42578125" customWidth="1"/>
    <col min="1808" max="1808" width="14.28515625" customWidth="1"/>
    <col min="1809" max="1809" width="12.7109375" customWidth="1"/>
    <col min="1810" max="1810" width="20.85546875" customWidth="1"/>
    <col min="1811" max="1811" width="16" customWidth="1"/>
    <col min="1812" max="1812" width="5.85546875" customWidth="1"/>
    <col min="1813" max="1813" width="35.42578125" customWidth="1"/>
    <col min="1814" max="1814" width="17.42578125" customWidth="1"/>
    <col min="1815" max="1815" width="14.140625" customWidth="1"/>
    <col min="1816" max="1816" width="22" customWidth="1"/>
    <col min="1819" max="1819" width="22.42578125" customWidth="1"/>
    <col min="1822" max="1822" width="14.42578125" customWidth="1"/>
    <col min="1823" max="1823" width="20" customWidth="1"/>
    <col min="2057" max="2057" width="43.7109375" customWidth="1"/>
    <col min="2058" max="2058" width="18.28515625" customWidth="1"/>
    <col min="2059" max="2059" width="35.42578125" customWidth="1"/>
    <col min="2060" max="2060" width="56.42578125" customWidth="1"/>
    <col min="2061" max="2061" width="121.28515625" customWidth="1"/>
    <col min="2062" max="2062" width="6" customWidth="1"/>
    <col min="2063" max="2063" width="33.42578125" customWidth="1"/>
    <col min="2064" max="2064" width="14.28515625" customWidth="1"/>
    <col min="2065" max="2065" width="12.7109375" customWidth="1"/>
    <col min="2066" max="2066" width="20.85546875" customWidth="1"/>
    <col min="2067" max="2067" width="16" customWidth="1"/>
    <col min="2068" max="2068" width="5.85546875" customWidth="1"/>
    <col min="2069" max="2069" width="35.42578125" customWidth="1"/>
    <col min="2070" max="2070" width="17.42578125" customWidth="1"/>
    <col min="2071" max="2071" width="14.140625" customWidth="1"/>
    <col min="2072" max="2072" width="22" customWidth="1"/>
    <col min="2075" max="2075" width="22.42578125" customWidth="1"/>
    <col min="2078" max="2078" width="14.42578125" customWidth="1"/>
    <col min="2079" max="2079" width="20" customWidth="1"/>
    <col min="2313" max="2313" width="43.7109375" customWidth="1"/>
    <col min="2314" max="2314" width="18.28515625" customWidth="1"/>
    <col min="2315" max="2315" width="35.42578125" customWidth="1"/>
    <col min="2316" max="2316" width="56.42578125" customWidth="1"/>
    <col min="2317" max="2317" width="121.28515625" customWidth="1"/>
    <col min="2318" max="2318" width="6" customWidth="1"/>
    <col min="2319" max="2319" width="33.42578125" customWidth="1"/>
    <col min="2320" max="2320" width="14.28515625" customWidth="1"/>
    <col min="2321" max="2321" width="12.7109375" customWidth="1"/>
    <col min="2322" max="2322" width="20.85546875" customWidth="1"/>
    <col min="2323" max="2323" width="16" customWidth="1"/>
    <col min="2324" max="2324" width="5.85546875" customWidth="1"/>
    <col min="2325" max="2325" width="35.42578125" customWidth="1"/>
    <col min="2326" max="2326" width="17.42578125" customWidth="1"/>
    <col min="2327" max="2327" width="14.140625" customWidth="1"/>
    <col min="2328" max="2328" width="22" customWidth="1"/>
    <col min="2331" max="2331" width="22.42578125" customWidth="1"/>
    <col min="2334" max="2334" width="14.42578125" customWidth="1"/>
    <col min="2335" max="2335" width="20" customWidth="1"/>
    <col min="2569" max="2569" width="43.7109375" customWidth="1"/>
    <col min="2570" max="2570" width="18.28515625" customWidth="1"/>
    <col min="2571" max="2571" width="35.42578125" customWidth="1"/>
    <col min="2572" max="2572" width="56.42578125" customWidth="1"/>
    <col min="2573" max="2573" width="121.28515625" customWidth="1"/>
    <col min="2574" max="2574" width="6" customWidth="1"/>
    <col min="2575" max="2575" width="33.42578125" customWidth="1"/>
    <col min="2576" max="2576" width="14.28515625" customWidth="1"/>
    <col min="2577" max="2577" width="12.7109375" customWidth="1"/>
    <col min="2578" max="2578" width="20.85546875" customWidth="1"/>
    <col min="2579" max="2579" width="16" customWidth="1"/>
    <col min="2580" max="2580" width="5.85546875" customWidth="1"/>
    <col min="2581" max="2581" width="35.42578125" customWidth="1"/>
    <col min="2582" max="2582" width="17.42578125" customWidth="1"/>
    <col min="2583" max="2583" width="14.140625" customWidth="1"/>
    <col min="2584" max="2584" width="22" customWidth="1"/>
    <col min="2587" max="2587" width="22.42578125" customWidth="1"/>
    <col min="2590" max="2590" width="14.42578125" customWidth="1"/>
    <col min="2591" max="2591" width="20" customWidth="1"/>
    <col min="2825" max="2825" width="43.7109375" customWidth="1"/>
    <col min="2826" max="2826" width="18.28515625" customWidth="1"/>
    <col min="2827" max="2827" width="35.42578125" customWidth="1"/>
    <col min="2828" max="2828" width="56.42578125" customWidth="1"/>
    <col min="2829" max="2829" width="121.28515625" customWidth="1"/>
    <col min="2830" max="2830" width="6" customWidth="1"/>
    <col min="2831" max="2831" width="33.42578125" customWidth="1"/>
    <col min="2832" max="2832" width="14.28515625" customWidth="1"/>
    <col min="2833" max="2833" width="12.7109375" customWidth="1"/>
    <col min="2834" max="2834" width="20.85546875" customWidth="1"/>
    <col min="2835" max="2835" width="16" customWidth="1"/>
    <col min="2836" max="2836" width="5.85546875" customWidth="1"/>
    <col min="2837" max="2837" width="35.42578125" customWidth="1"/>
    <col min="2838" max="2838" width="17.42578125" customWidth="1"/>
    <col min="2839" max="2839" width="14.140625" customWidth="1"/>
    <col min="2840" max="2840" width="22" customWidth="1"/>
    <col min="2843" max="2843" width="22.42578125" customWidth="1"/>
    <col min="2846" max="2846" width="14.42578125" customWidth="1"/>
    <col min="2847" max="2847" width="20" customWidth="1"/>
    <col min="3081" max="3081" width="43.7109375" customWidth="1"/>
    <col min="3082" max="3082" width="18.28515625" customWidth="1"/>
    <col min="3083" max="3083" width="35.42578125" customWidth="1"/>
    <col min="3084" max="3084" width="56.42578125" customWidth="1"/>
    <col min="3085" max="3085" width="121.28515625" customWidth="1"/>
    <col min="3086" max="3086" width="6" customWidth="1"/>
    <col min="3087" max="3087" width="33.42578125" customWidth="1"/>
    <col min="3088" max="3088" width="14.28515625" customWidth="1"/>
    <col min="3089" max="3089" width="12.7109375" customWidth="1"/>
    <col min="3090" max="3090" width="20.85546875" customWidth="1"/>
    <col min="3091" max="3091" width="16" customWidth="1"/>
    <col min="3092" max="3092" width="5.85546875" customWidth="1"/>
    <col min="3093" max="3093" width="35.42578125" customWidth="1"/>
    <col min="3094" max="3094" width="17.42578125" customWidth="1"/>
    <col min="3095" max="3095" width="14.140625" customWidth="1"/>
    <col min="3096" max="3096" width="22" customWidth="1"/>
    <col min="3099" max="3099" width="22.42578125" customWidth="1"/>
    <col min="3102" max="3102" width="14.42578125" customWidth="1"/>
    <col min="3103" max="3103" width="20" customWidth="1"/>
    <col min="3337" max="3337" width="43.7109375" customWidth="1"/>
    <col min="3338" max="3338" width="18.28515625" customWidth="1"/>
    <col min="3339" max="3339" width="35.42578125" customWidth="1"/>
    <col min="3340" max="3340" width="56.42578125" customWidth="1"/>
    <col min="3341" max="3341" width="121.28515625" customWidth="1"/>
    <col min="3342" max="3342" width="6" customWidth="1"/>
    <col min="3343" max="3343" width="33.42578125" customWidth="1"/>
    <col min="3344" max="3344" width="14.28515625" customWidth="1"/>
    <col min="3345" max="3345" width="12.7109375" customWidth="1"/>
    <col min="3346" max="3346" width="20.85546875" customWidth="1"/>
    <col min="3347" max="3347" width="16" customWidth="1"/>
    <col min="3348" max="3348" width="5.85546875" customWidth="1"/>
    <col min="3349" max="3349" width="35.42578125" customWidth="1"/>
    <col min="3350" max="3350" width="17.42578125" customWidth="1"/>
    <col min="3351" max="3351" width="14.140625" customWidth="1"/>
    <col min="3352" max="3352" width="22" customWidth="1"/>
    <col min="3355" max="3355" width="22.42578125" customWidth="1"/>
    <col min="3358" max="3358" width="14.42578125" customWidth="1"/>
    <col min="3359" max="3359" width="20" customWidth="1"/>
    <col min="3593" max="3593" width="43.7109375" customWidth="1"/>
    <col min="3594" max="3594" width="18.28515625" customWidth="1"/>
    <col min="3595" max="3595" width="35.42578125" customWidth="1"/>
    <col min="3596" max="3596" width="56.42578125" customWidth="1"/>
    <col min="3597" max="3597" width="121.28515625" customWidth="1"/>
    <col min="3598" max="3598" width="6" customWidth="1"/>
    <col min="3599" max="3599" width="33.42578125" customWidth="1"/>
    <col min="3600" max="3600" width="14.28515625" customWidth="1"/>
    <col min="3601" max="3601" width="12.7109375" customWidth="1"/>
    <col min="3602" max="3602" width="20.85546875" customWidth="1"/>
    <col min="3603" max="3603" width="16" customWidth="1"/>
    <col min="3604" max="3604" width="5.85546875" customWidth="1"/>
    <col min="3605" max="3605" width="35.42578125" customWidth="1"/>
    <col min="3606" max="3606" width="17.42578125" customWidth="1"/>
    <col min="3607" max="3607" width="14.140625" customWidth="1"/>
    <col min="3608" max="3608" width="22" customWidth="1"/>
    <col min="3611" max="3611" width="22.42578125" customWidth="1"/>
    <col min="3614" max="3614" width="14.42578125" customWidth="1"/>
    <col min="3615" max="3615" width="20" customWidth="1"/>
    <col min="3849" max="3849" width="43.7109375" customWidth="1"/>
    <col min="3850" max="3850" width="18.28515625" customWidth="1"/>
    <col min="3851" max="3851" width="35.42578125" customWidth="1"/>
    <col min="3852" max="3852" width="56.42578125" customWidth="1"/>
    <col min="3853" max="3853" width="121.28515625" customWidth="1"/>
    <col min="3854" max="3854" width="6" customWidth="1"/>
    <col min="3855" max="3855" width="33.42578125" customWidth="1"/>
    <col min="3856" max="3856" width="14.28515625" customWidth="1"/>
    <col min="3857" max="3857" width="12.7109375" customWidth="1"/>
    <col min="3858" max="3858" width="20.85546875" customWidth="1"/>
    <col min="3859" max="3859" width="16" customWidth="1"/>
    <col min="3860" max="3860" width="5.85546875" customWidth="1"/>
    <col min="3861" max="3861" width="35.42578125" customWidth="1"/>
    <col min="3862" max="3862" width="17.42578125" customWidth="1"/>
    <col min="3863" max="3863" width="14.140625" customWidth="1"/>
    <col min="3864" max="3864" width="22" customWidth="1"/>
    <col min="3867" max="3867" width="22.42578125" customWidth="1"/>
    <col min="3870" max="3870" width="14.42578125" customWidth="1"/>
    <col min="3871" max="3871" width="20" customWidth="1"/>
    <col min="4105" max="4105" width="43.7109375" customWidth="1"/>
    <col min="4106" max="4106" width="18.28515625" customWidth="1"/>
    <col min="4107" max="4107" width="35.42578125" customWidth="1"/>
    <col min="4108" max="4108" width="56.42578125" customWidth="1"/>
    <col min="4109" max="4109" width="121.28515625" customWidth="1"/>
    <col min="4110" max="4110" width="6" customWidth="1"/>
    <col min="4111" max="4111" width="33.42578125" customWidth="1"/>
    <col min="4112" max="4112" width="14.28515625" customWidth="1"/>
    <col min="4113" max="4113" width="12.7109375" customWidth="1"/>
    <col min="4114" max="4114" width="20.85546875" customWidth="1"/>
    <col min="4115" max="4115" width="16" customWidth="1"/>
    <col min="4116" max="4116" width="5.85546875" customWidth="1"/>
    <col min="4117" max="4117" width="35.42578125" customWidth="1"/>
    <col min="4118" max="4118" width="17.42578125" customWidth="1"/>
    <col min="4119" max="4119" width="14.140625" customWidth="1"/>
    <col min="4120" max="4120" width="22" customWidth="1"/>
    <col min="4123" max="4123" width="22.42578125" customWidth="1"/>
    <col min="4126" max="4126" width="14.42578125" customWidth="1"/>
    <col min="4127" max="4127" width="20" customWidth="1"/>
    <col min="4361" max="4361" width="43.7109375" customWidth="1"/>
    <col min="4362" max="4362" width="18.28515625" customWidth="1"/>
    <col min="4363" max="4363" width="35.42578125" customWidth="1"/>
    <col min="4364" max="4364" width="56.42578125" customWidth="1"/>
    <col min="4365" max="4365" width="121.28515625" customWidth="1"/>
    <col min="4366" max="4366" width="6" customWidth="1"/>
    <col min="4367" max="4367" width="33.42578125" customWidth="1"/>
    <col min="4368" max="4368" width="14.28515625" customWidth="1"/>
    <col min="4369" max="4369" width="12.7109375" customWidth="1"/>
    <col min="4370" max="4370" width="20.85546875" customWidth="1"/>
    <col min="4371" max="4371" width="16" customWidth="1"/>
    <col min="4372" max="4372" width="5.85546875" customWidth="1"/>
    <col min="4373" max="4373" width="35.42578125" customWidth="1"/>
    <col min="4374" max="4374" width="17.42578125" customWidth="1"/>
    <col min="4375" max="4375" width="14.140625" customWidth="1"/>
    <col min="4376" max="4376" width="22" customWidth="1"/>
    <col min="4379" max="4379" width="22.42578125" customWidth="1"/>
    <col min="4382" max="4382" width="14.42578125" customWidth="1"/>
    <col min="4383" max="4383" width="20" customWidth="1"/>
    <col min="4617" max="4617" width="43.7109375" customWidth="1"/>
    <col min="4618" max="4618" width="18.28515625" customWidth="1"/>
    <col min="4619" max="4619" width="35.42578125" customWidth="1"/>
    <col min="4620" max="4620" width="56.42578125" customWidth="1"/>
    <col min="4621" max="4621" width="121.28515625" customWidth="1"/>
    <col min="4622" max="4622" width="6" customWidth="1"/>
    <col min="4623" max="4623" width="33.42578125" customWidth="1"/>
    <col min="4624" max="4624" width="14.28515625" customWidth="1"/>
    <col min="4625" max="4625" width="12.7109375" customWidth="1"/>
    <col min="4626" max="4626" width="20.85546875" customWidth="1"/>
    <col min="4627" max="4627" width="16" customWidth="1"/>
    <col min="4628" max="4628" width="5.85546875" customWidth="1"/>
    <col min="4629" max="4629" width="35.42578125" customWidth="1"/>
    <col min="4630" max="4630" width="17.42578125" customWidth="1"/>
    <col min="4631" max="4631" width="14.140625" customWidth="1"/>
    <col min="4632" max="4632" width="22" customWidth="1"/>
    <col min="4635" max="4635" width="22.42578125" customWidth="1"/>
    <col min="4638" max="4638" width="14.42578125" customWidth="1"/>
    <col min="4639" max="4639" width="20" customWidth="1"/>
    <col min="4873" max="4873" width="43.7109375" customWidth="1"/>
    <col min="4874" max="4874" width="18.28515625" customWidth="1"/>
    <col min="4875" max="4875" width="35.42578125" customWidth="1"/>
    <col min="4876" max="4876" width="56.42578125" customWidth="1"/>
    <col min="4877" max="4877" width="121.28515625" customWidth="1"/>
    <col min="4878" max="4878" width="6" customWidth="1"/>
    <col min="4879" max="4879" width="33.42578125" customWidth="1"/>
    <col min="4880" max="4880" width="14.28515625" customWidth="1"/>
    <col min="4881" max="4881" width="12.7109375" customWidth="1"/>
    <col min="4882" max="4882" width="20.85546875" customWidth="1"/>
    <col min="4883" max="4883" width="16" customWidth="1"/>
    <col min="4884" max="4884" width="5.85546875" customWidth="1"/>
    <col min="4885" max="4885" width="35.42578125" customWidth="1"/>
    <col min="4886" max="4886" width="17.42578125" customWidth="1"/>
    <col min="4887" max="4887" width="14.140625" customWidth="1"/>
    <col min="4888" max="4888" width="22" customWidth="1"/>
    <col min="4891" max="4891" width="22.42578125" customWidth="1"/>
    <col min="4894" max="4894" width="14.42578125" customWidth="1"/>
    <col min="4895" max="4895" width="20" customWidth="1"/>
    <col min="5129" max="5129" width="43.7109375" customWidth="1"/>
    <col min="5130" max="5130" width="18.28515625" customWidth="1"/>
    <col min="5131" max="5131" width="35.42578125" customWidth="1"/>
    <col min="5132" max="5132" width="56.42578125" customWidth="1"/>
    <col min="5133" max="5133" width="121.28515625" customWidth="1"/>
    <col min="5134" max="5134" width="6" customWidth="1"/>
    <col min="5135" max="5135" width="33.42578125" customWidth="1"/>
    <col min="5136" max="5136" width="14.28515625" customWidth="1"/>
    <col min="5137" max="5137" width="12.7109375" customWidth="1"/>
    <col min="5138" max="5138" width="20.85546875" customWidth="1"/>
    <col min="5139" max="5139" width="16" customWidth="1"/>
    <col min="5140" max="5140" width="5.85546875" customWidth="1"/>
    <col min="5141" max="5141" width="35.42578125" customWidth="1"/>
    <col min="5142" max="5142" width="17.42578125" customWidth="1"/>
    <col min="5143" max="5143" width="14.140625" customWidth="1"/>
    <col min="5144" max="5144" width="22" customWidth="1"/>
    <col min="5147" max="5147" width="22.42578125" customWidth="1"/>
    <col min="5150" max="5150" width="14.42578125" customWidth="1"/>
    <col min="5151" max="5151" width="20" customWidth="1"/>
    <col min="5385" max="5385" width="43.7109375" customWidth="1"/>
    <col min="5386" max="5386" width="18.28515625" customWidth="1"/>
    <col min="5387" max="5387" width="35.42578125" customWidth="1"/>
    <col min="5388" max="5388" width="56.42578125" customWidth="1"/>
    <col min="5389" max="5389" width="121.28515625" customWidth="1"/>
    <col min="5390" max="5390" width="6" customWidth="1"/>
    <col min="5391" max="5391" width="33.42578125" customWidth="1"/>
    <col min="5392" max="5392" width="14.28515625" customWidth="1"/>
    <col min="5393" max="5393" width="12.7109375" customWidth="1"/>
    <col min="5394" max="5394" width="20.85546875" customWidth="1"/>
    <col min="5395" max="5395" width="16" customWidth="1"/>
    <col min="5396" max="5396" width="5.85546875" customWidth="1"/>
    <col min="5397" max="5397" width="35.42578125" customWidth="1"/>
    <col min="5398" max="5398" width="17.42578125" customWidth="1"/>
    <col min="5399" max="5399" width="14.140625" customWidth="1"/>
    <col min="5400" max="5400" width="22" customWidth="1"/>
    <col min="5403" max="5403" width="22.42578125" customWidth="1"/>
    <col min="5406" max="5406" width="14.42578125" customWidth="1"/>
    <col min="5407" max="5407" width="20" customWidth="1"/>
    <col min="5641" max="5641" width="43.7109375" customWidth="1"/>
    <col min="5642" max="5642" width="18.28515625" customWidth="1"/>
    <col min="5643" max="5643" width="35.42578125" customWidth="1"/>
    <col min="5644" max="5644" width="56.42578125" customWidth="1"/>
    <col min="5645" max="5645" width="121.28515625" customWidth="1"/>
    <col min="5646" max="5646" width="6" customWidth="1"/>
    <col min="5647" max="5647" width="33.42578125" customWidth="1"/>
    <col min="5648" max="5648" width="14.28515625" customWidth="1"/>
    <col min="5649" max="5649" width="12.7109375" customWidth="1"/>
    <col min="5650" max="5650" width="20.85546875" customWidth="1"/>
    <col min="5651" max="5651" width="16" customWidth="1"/>
    <col min="5652" max="5652" width="5.85546875" customWidth="1"/>
    <col min="5653" max="5653" width="35.42578125" customWidth="1"/>
    <col min="5654" max="5654" width="17.42578125" customWidth="1"/>
    <col min="5655" max="5655" width="14.140625" customWidth="1"/>
    <col min="5656" max="5656" width="22" customWidth="1"/>
    <col min="5659" max="5659" width="22.42578125" customWidth="1"/>
    <col min="5662" max="5662" width="14.42578125" customWidth="1"/>
    <col min="5663" max="5663" width="20" customWidth="1"/>
    <col min="5897" max="5897" width="43.7109375" customWidth="1"/>
    <col min="5898" max="5898" width="18.28515625" customWidth="1"/>
    <col min="5899" max="5899" width="35.42578125" customWidth="1"/>
    <col min="5900" max="5900" width="56.42578125" customWidth="1"/>
    <col min="5901" max="5901" width="121.28515625" customWidth="1"/>
    <col min="5902" max="5902" width="6" customWidth="1"/>
    <col min="5903" max="5903" width="33.42578125" customWidth="1"/>
    <col min="5904" max="5904" width="14.28515625" customWidth="1"/>
    <col min="5905" max="5905" width="12.7109375" customWidth="1"/>
    <col min="5906" max="5906" width="20.85546875" customWidth="1"/>
    <col min="5907" max="5907" width="16" customWidth="1"/>
    <col min="5908" max="5908" width="5.85546875" customWidth="1"/>
    <col min="5909" max="5909" width="35.42578125" customWidth="1"/>
    <col min="5910" max="5910" width="17.42578125" customWidth="1"/>
    <col min="5911" max="5911" width="14.140625" customWidth="1"/>
    <col min="5912" max="5912" width="22" customWidth="1"/>
    <col min="5915" max="5915" width="22.42578125" customWidth="1"/>
    <col min="5918" max="5918" width="14.42578125" customWidth="1"/>
    <col min="5919" max="5919" width="20" customWidth="1"/>
    <col min="6153" max="6153" width="43.7109375" customWidth="1"/>
    <col min="6154" max="6154" width="18.28515625" customWidth="1"/>
    <col min="6155" max="6155" width="35.42578125" customWidth="1"/>
    <col min="6156" max="6156" width="56.42578125" customWidth="1"/>
    <col min="6157" max="6157" width="121.28515625" customWidth="1"/>
    <col min="6158" max="6158" width="6" customWidth="1"/>
    <col min="6159" max="6159" width="33.42578125" customWidth="1"/>
    <col min="6160" max="6160" width="14.28515625" customWidth="1"/>
    <col min="6161" max="6161" width="12.7109375" customWidth="1"/>
    <col min="6162" max="6162" width="20.85546875" customWidth="1"/>
    <col min="6163" max="6163" width="16" customWidth="1"/>
    <col min="6164" max="6164" width="5.85546875" customWidth="1"/>
    <col min="6165" max="6165" width="35.42578125" customWidth="1"/>
    <col min="6166" max="6166" width="17.42578125" customWidth="1"/>
    <col min="6167" max="6167" width="14.140625" customWidth="1"/>
    <col min="6168" max="6168" width="22" customWidth="1"/>
    <col min="6171" max="6171" width="22.42578125" customWidth="1"/>
    <col min="6174" max="6174" width="14.42578125" customWidth="1"/>
    <col min="6175" max="6175" width="20" customWidth="1"/>
    <col min="6409" max="6409" width="43.7109375" customWidth="1"/>
    <col min="6410" max="6410" width="18.28515625" customWidth="1"/>
    <col min="6411" max="6411" width="35.42578125" customWidth="1"/>
    <col min="6412" max="6412" width="56.42578125" customWidth="1"/>
    <col min="6413" max="6413" width="121.28515625" customWidth="1"/>
    <col min="6414" max="6414" width="6" customWidth="1"/>
    <col min="6415" max="6415" width="33.42578125" customWidth="1"/>
    <col min="6416" max="6416" width="14.28515625" customWidth="1"/>
    <col min="6417" max="6417" width="12.7109375" customWidth="1"/>
    <col min="6418" max="6418" width="20.85546875" customWidth="1"/>
    <col min="6419" max="6419" width="16" customWidth="1"/>
    <col min="6420" max="6420" width="5.85546875" customWidth="1"/>
    <col min="6421" max="6421" width="35.42578125" customWidth="1"/>
    <col min="6422" max="6422" width="17.42578125" customWidth="1"/>
    <col min="6423" max="6423" width="14.140625" customWidth="1"/>
    <col min="6424" max="6424" width="22" customWidth="1"/>
    <col min="6427" max="6427" width="22.42578125" customWidth="1"/>
    <col min="6430" max="6430" width="14.42578125" customWidth="1"/>
    <col min="6431" max="6431" width="20" customWidth="1"/>
    <col min="6665" max="6665" width="43.7109375" customWidth="1"/>
    <col min="6666" max="6666" width="18.28515625" customWidth="1"/>
    <col min="6667" max="6667" width="35.42578125" customWidth="1"/>
    <col min="6668" max="6668" width="56.42578125" customWidth="1"/>
    <col min="6669" max="6669" width="121.28515625" customWidth="1"/>
    <col min="6670" max="6670" width="6" customWidth="1"/>
    <col min="6671" max="6671" width="33.42578125" customWidth="1"/>
    <col min="6672" max="6672" width="14.28515625" customWidth="1"/>
    <col min="6673" max="6673" width="12.7109375" customWidth="1"/>
    <col min="6674" max="6674" width="20.85546875" customWidth="1"/>
    <col min="6675" max="6675" width="16" customWidth="1"/>
    <col min="6676" max="6676" width="5.85546875" customWidth="1"/>
    <col min="6677" max="6677" width="35.42578125" customWidth="1"/>
    <col min="6678" max="6678" width="17.42578125" customWidth="1"/>
    <col min="6679" max="6679" width="14.140625" customWidth="1"/>
    <col min="6680" max="6680" width="22" customWidth="1"/>
    <col min="6683" max="6683" width="22.42578125" customWidth="1"/>
    <col min="6686" max="6686" width="14.42578125" customWidth="1"/>
    <col min="6687" max="6687" width="20" customWidth="1"/>
    <col min="6921" max="6921" width="43.7109375" customWidth="1"/>
    <col min="6922" max="6922" width="18.28515625" customWidth="1"/>
    <col min="6923" max="6923" width="35.42578125" customWidth="1"/>
    <col min="6924" max="6924" width="56.42578125" customWidth="1"/>
    <col min="6925" max="6925" width="121.28515625" customWidth="1"/>
    <col min="6926" max="6926" width="6" customWidth="1"/>
    <col min="6927" max="6927" width="33.42578125" customWidth="1"/>
    <col min="6928" max="6928" width="14.28515625" customWidth="1"/>
    <col min="6929" max="6929" width="12.7109375" customWidth="1"/>
    <col min="6930" max="6930" width="20.85546875" customWidth="1"/>
    <col min="6931" max="6931" width="16" customWidth="1"/>
    <col min="6932" max="6932" width="5.85546875" customWidth="1"/>
    <col min="6933" max="6933" width="35.42578125" customWidth="1"/>
    <col min="6934" max="6934" width="17.42578125" customWidth="1"/>
    <col min="6935" max="6935" width="14.140625" customWidth="1"/>
    <col min="6936" max="6936" width="22" customWidth="1"/>
    <col min="6939" max="6939" width="22.42578125" customWidth="1"/>
    <col min="6942" max="6942" width="14.42578125" customWidth="1"/>
    <col min="6943" max="6943" width="20" customWidth="1"/>
    <col min="7177" max="7177" width="43.7109375" customWidth="1"/>
    <col min="7178" max="7178" width="18.28515625" customWidth="1"/>
    <col min="7179" max="7179" width="35.42578125" customWidth="1"/>
    <col min="7180" max="7180" width="56.42578125" customWidth="1"/>
    <col min="7181" max="7181" width="121.28515625" customWidth="1"/>
    <col min="7182" max="7182" width="6" customWidth="1"/>
    <col min="7183" max="7183" width="33.42578125" customWidth="1"/>
    <col min="7184" max="7184" width="14.28515625" customWidth="1"/>
    <col min="7185" max="7185" width="12.7109375" customWidth="1"/>
    <col min="7186" max="7186" width="20.85546875" customWidth="1"/>
    <col min="7187" max="7187" width="16" customWidth="1"/>
    <col min="7188" max="7188" width="5.85546875" customWidth="1"/>
    <col min="7189" max="7189" width="35.42578125" customWidth="1"/>
    <col min="7190" max="7190" width="17.42578125" customWidth="1"/>
    <col min="7191" max="7191" width="14.140625" customWidth="1"/>
    <col min="7192" max="7192" width="22" customWidth="1"/>
    <col min="7195" max="7195" width="22.42578125" customWidth="1"/>
    <col min="7198" max="7198" width="14.42578125" customWidth="1"/>
    <col min="7199" max="7199" width="20" customWidth="1"/>
    <col min="7433" max="7433" width="43.7109375" customWidth="1"/>
    <col min="7434" max="7434" width="18.28515625" customWidth="1"/>
    <col min="7435" max="7435" width="35.42578125" customWidth="1"/>
    <col min="7436" max="7436" width="56.42578125" customWidth="1"/>
    <col min="7437" max="7437" width="121.28515625" customWidth="1"/>
    <col min="7438" max="7438" width="6" customWidth="1"/>
    <col min="7439" max="7439" width="33.42578125" customWidth="1"/>
    <col min="7440" max="7440" width="14.28515625" customWidth="1"/>
    <col min="7441" max="7441" width="12.7109375" customWidth="1"/>
    <col min="7442" max="7442" width="20.85546875" customWidth="1"/>
    <col min="7443" max="7443" width="16" customWidth="1"/>
    <col min="7444" max="7444" width="5.85546875" customWidth="1"/>
    <col min="7445" max="7445" width="35.42578125" customWidth="1"/>
    <col min="7446" max="7446" width="17.42578125" customWidth="1"/>
    <col min="7447" max="7447" width="14.140625" customWidth="1"/>
    <col min="7448" max="7448" width="22" customWidth="1"/>
    <col min="7451" max="7451" width="22.42578125" customWidth="1"/>
    <col min="7454" max="7454" width="14.42578125" customWidth="1"/>
    <col min="7455" max="7455" width="20" customWidth="1"/>
    <col min="7689" max="7689" width="43.7109375" customWidth="1"/>
    <col min="7690" max="7690" width="18.28515625" customWidth="1"/>
    <col min="7691" max="7691" width="35.42578125" customWidth="1"/>
    <col min="7692" max="7692" width="56.42578125" customWidth="1"/>
    <col min="7693" max="7693" width="121.28515625" customWidth="1"/>
    <col min="7694" max="7694" width="6" customWidth="1"/>
    <col min="7695" max="7695" width="33.42578125" customWidth="1"/>
    <col min="7696" max="7696" width="14.28515625" customWidth="1"/>
    <col min="7697" max="7697" width="12.7109375" customWidth="1"/>
    <col min="7698" max="7698" width="20.85546875" customWidth="1"/>
    <col min="7699" max="7699" width="16" customWidth="1"/>
    <col min="7700" max="7700" width="5.85546875" customWidth="1"/>
    <col min="7701" max="7701" width="35.42578125" customWidth="1"/>
    <col min="7702" max="7702" width="17.42578125" customWidth="1"/>
    <col min="7703" max="7703" width="14.140625" customWidth="1"/>
    <col min="7704" max="7704" width="22" customWidth="1"/>
    <col min="7707" max="7707" width="22.42578125" customWidth="1"/>
    <col min="7710" max="7710" width="14.42578125" customWidth="1"/>
    <col min="7711" max="7711" width="20" customWidth="1"/>
    <col min="7945" max="7945" width="43.7109375" customWidth="1"/>
    <col min="7946" max="7946" width="18.28515625" customWidth="1"/>
    <col min="7947" max="7947" width="35.42578125" customWidth="1"/>
    <col min="7948" max="7948" width="56.42578125" customWidth="1"/>
    <col min="7949" max="7949" width="121.28515625" customWidth="1"/>
    <col min="7950" max="7950" width="6" customWidth="1"/>
    <col min="7951" max="7951" width="33.42578125" customWidth="1"/>
    <col min="7952" max="7952" width="14.28515625" customWidth="1"/>
    <col min="7953" max="7953" width="12.7109375" customWidth="1"/>
    <col min="7954" max="7954" width="20.85546875" customWidth="1"/>
    <col min="7955" max="7955" width="16" customWidth="1"/>
    <col min="7956" max="7956" width="5.85546875" customWidth="1"/>
    <col min="7957" max="7957" width="35.42578125" customWidth="1"/>
    <col min="7958" max="7958" width="17.42578125" customWidth="1"/>
    <col min="7959" max="7959" width="14.140625" customWidth="1"/>
    <col min="7960" max="7960" width="22" customWidth="1"/>
    <col min="7963" max="7963" width="22.42578125" customWidth="1"/>
    <col min="7966" max="7966" width="14.42578125" customWidth="1"/>
    <col min="7967" max="7967" width="20" customWidth="1"/>
    <col min="8201" max="8201" width="43.7109375" customWidth="1"/>
    <col min="8202" max="8202" width="18.28515625" customWidth="1"/>
    <col min="8203" max="8203" width="35.42578125" customWidth="1"/>
    <col min="8204" max="8204" width="56.42578125" customWidth="1"/>
    <col min="8205" max="8205" width="121.28515625" customWidth="1"/>
    <col min="8206" max="8206" width="6" customWidth="1"/>
    <col min="8207" max="8207" width="33.42578125" customWidth="1"/>
    <col min="8208" max="8208" width="14.28515625" customWidth="1"/>
    <col min="8209" max="8209" width="12.7109375" customWidth="1"/>
    <col min="8210" max="8210" width="20.85546875" customWidth="1"/>
    <col min="8211" max="8211" width="16" customWidth="1"/>
    <col min="8212" max="8212" width="5.85546875" customWidth="1"/>
    <col min="8213" max="8213" width="35.42578125" customWidth="1"/>
    <col min="8214" max="8214" width="17.42578125" customWidth="1"/>
    <col min="8215" max="8215" width="14.140625" customWidth="1"/>
    <col min="8216" max="8216" width="22" customWidth="1"/>
    <col min="8219" max="8219" width="22.42578125" customWidth="1"/>
    <col min="8222" max="8222" width="14.42578125" customWidth="1"/>
    <col min="8223" max="8223" width="20" customWidth="1"/>
    <col min="8457" max="8457" width="43.7109375" customWidth="1"/>
    <col min="8458" max="8458" width="18.28515625" customWidth="1"/>
    <col min="8459" max="8459" width="35.42578125" customWidth="1"/>
    <col min="8460" max="8460" width="56.42578125" customWidth="1"/>
    <col min="8461" max="8461" width="121.28515625" customWidth="1"/>
    <col min="8462" max="8462" width="6" customWidth="1"/>
    <col min="8463" max="8463" width="33.42578125" customWidth="1"/>
    <col min="8464" max="8464" width="14.28515625" customWidth="1"/>
    <col min="8465" max="8465" width="12.7109375" customWidth="1"/>
    <col min="8466" max="8466" width="20.85546875" customWidth="1"/>
    <col min="8467" max="8467" width="16" customWidth="1"/>
    <col min="8468" max="8468" width="5.85546875" customWidth="1"/>
    <col min="8469" max="8469" width="35.42578125" customWidth="1"/>
    <col min="8470" max="8470" width="17.42578125" customWidth="1"/>
    <col min="8471" max="8471" width="14.140625" customWidth="1"/>
    <col min="8472" max="8472" width="22" customWidth="1"/>
    <col min="8475" max="8475" width="22.42578125" customWidth="1"/>
    <col min="8478" max="8478" width="14.42578125" customWidth="1"/>
    <col min="8479" max="8479" width="20" customWidth="1"/>
    <col min="8713" max="8713" width="43.7109375" customWidth="1"/>
    <col min="8714" max="8714" width="18.28515625" customWidth="1"/>
    <col min="8715" max="8715" width="35.42578125" customWidth="1"/>
    <col min="8716" max="8716" width="56.42578125" customWidth="1"/>
    <col min="8717" max="8717" width="121.28515625" customWidth="1"/>
    <col min="8718" max="8718" width="6" customWidth="1"/>
    <col min="8719" max="8719" width="33.42578125" customWidth="1"/>
    <col min="8720" max="8720" width="14.28515625" customWidth="1"/>
    <col min="8721" max="8721" width="12.7109375" customWidth="1"/>
    <col min="8722" max="8722" width="20.85546875" customWidth="1"/>
    <col min="8723" max="8723" width="16" customWidth="1"/>
    <col min="8724" max="8724" width="5.85546875" customWidth="1"/>
    <col min="8725" max="8725" width="35.42578125" customWidth="1"/>
    <col min="8726" max="8726" width="17.42578125" customWidth="1"/>
    <col min="8727" max="8727" width="14.140625" customWidth="1"/>
    <col min="8728" max="8728" width="22" customWidth="1"/>
    <col min="8731" max="8731" width="22.42578125" customWidth="1"/>
    <col min="8734" max="8734" width="14.42578125" customWidth="1"/>
    <col min="8735" max="8735" width="20" customWidth="1"/>
    <col min="8969" max="8969" width="43.7109375" customWidth="1"/>
    <col min="8970" max="8970" width="18.28515625" customWidth="1"/>
    <col min="8971" max="8971" width="35.42578125" customWidth="1"/>
    <col min="8972" max="8972" width="56.42578125" customWidth="1"/>
    <col min="8973" max="8973" width="121.28515625" customWidth="1"/>
    <col min="8974" max="8974" width="6" customWidth="1"/>
    <col min="8975" max="8975" width="33.42578125" customWidth="1"/>
    <col min="8976" max="8976" width="14.28515625" customWidth="1"/>
    <col min="8977" max="8977" width="12.7109375" customWidth="1"/>
    <col min="8978" max="8978" width="20.85546875" customWidth="1"/>
    <col min="8979" max="8979" width="16" customWidth="1"/>
    <col min="8980" max="8980" width="5.85546875" customWidth="1"/>
    <col min="8981" max="8981" width="35.42578125" customWidth="1"/>
    <col min="8982" max="8982" width="17.42578125" customWidth="1"/>
    <col min="8983" max="8983" width="14.140625" customWidth="1"/>
    <col min="8984" max="8984" width="22" customWidth="1"/>
    <col min="8987" max="8987" width="22.42578125" customWidth="1"/>
    <col min="8990" max="8990" width="14.42578125" customWidth="1"/>
    <col min="8991" max="8991" width="20" customWidth="1"/>
    <col min="9225" max="9225" width="43.7109375" customWidth="1"/>
    <col min="9226" max="9226" width="18.28515625" customWidth="1"/>
    <col min="9227" max="9227" width="35.42578125" customWidth="1"/>
    <col min="9228" max="9228" width="56.42578125" customWidth="1"/>
    <col min="9229" max="9229" width="121.28515625" customWidth="1"/>
    <col min="9230" max="9230" width="6" customWidth="1"/>
    <col min="9231" max="9231" width="33.42578125" customWidth="1"/>
    <col min="9232" max="9232" width="14.28515625" customWidth="1"/>
    <col min="9233" max="9233" width="12.7109375" customWidth="1"/>
    <col min="9234" max="9234" width="20.85546875" customWidth="1"/>
    <col min="9235" max="9235" width="16" customWidth="1"/>
    <col min="9236" max="9236" width="5.85546875" customWidth="1"/>
    <col min="9237" max="9237" width="35.42578125" customWidth="1"/>
    <col min="9238" max="9238" width="17.42578125" customWidth="1"/>
    <col min="9239" max="9239" width="14.140625" customWidth="1"/>
    <col min="9240" max="9240" width="22" customWidth="1"/>
    <col min="9243" max="9243" width="22.42578125" customWidth="1"/>
    <col min="9246" max="9246" width="14.42578125" customWidth="1"/>
    <col min="9247" max="9247" width="20" customWidth="1"/>
    <col min="9481" max="9481" width="43.7109375" customWidth="1"/>
    <col min="9482" max="9482" width="18.28515625" customWidth="1"/>
    <col min="9483" max="9483" width="35.42578125" customWidth="1"/>
    <col min="9484" max="9484" width="56.42578125" customWidth="1"/>
    <col min="9485" max="9485" width="121.28515625" customWidth="1"/>
    <col min="9486" max="9486" width="6" customWidth="1"/>
    <col min="9487" max="9487" width="33.42578125" customWidth="1"/>
    <col min="9488" max="9488" width="14.28515625" customWidth="1"/>
    <col min="9489" max="9489" width="12.7109375" customWidth="1"/>
    <col min="9490" max="9490" width="20.85546875" customWidth="1"/>
    <col min="9491" max="9491" width="16" customWidth="1"/>
    <col min="9492" max="9492" width="5.85546875" customWidth="1"/>
    <col min="9493" max="9493" width="35.42578125" customWidth="1"/>
    <col min="9494" max="9494" width="17.42578125" customWidth="1"/>
    <col min="9495" max="9495" width="14.140625" customWidth="1"/>
    <col min="9496" max="9496" width="22" customWidth="1"/>
    <col min="9499" max="9499" width="22.42578125" customWidth="1"/>
    <col min="9502" max="9502" width="14.42578125" customWidth="1"/>
    <col min="9503" max="9503" width="20" customWidth="1"/>
    <col min="9737" max="9737" width="43.7109375" customWidth="1"/>
    <col min="9738" max="9738" width="18.28515625" customWidth="1"/>
    <col min="9739" max="9739" width="35.42578125" customWidth="1"/>
    <col min="9740" max="9740" width="56.42578125" customWidth="1"/>
    <col min="9741" max="9741" width="121.28515625" customWidth="1"/>
    <col min="9742" max="9742" width="6" customWidth="1"/>
    <col min="9743" max="9743" width="33.42578125" customWidth="1"/>
    <col min="9744" max="9744" width="14.28515625" customWidth="1"/>
    <col min="9745" max="9745" width="12.7109375" customWidth="1"/>
    <col min="9746" max="9746" width="20.85546875" customWidth="1"/>
    <col min="9747" max="9747" width="16" customWidth="1"/>
    <col min="9748" max="9748" width="5.85546875" customWidth="1"/>
    <col min="9749" max="9749" width="35.42578125" customWidth="1"/>
    <col min="9750" max="9750" width="17.42578125" customWidth="1"/>
    <col min="9751" max="9751" width="14.140625" customWidth="1"/>
    <col min="9752" max="9752" width="22" customWidth="1"/>
    <col min="9755" max="9755" width="22.42578125" customWidth="1"/>
    <col min="9758" max="9758" width="14.42578125" customWidth="1"/>
    <col min="9759" max="9759" width="20" customWidth="1"/>
    <col min="9993" max="9993" width="43.7109375" customWidth="1"/>
    <col min="9994" max="9994" width="18.28515625" customWidth="1"/>
    <col min="9995" max="9995" width="35.42578125" customWidth="1"/>
    <col min="9996" max="9996" width="56.42578125" customWidth="1"/>
    <col min="9997" max="9997" width="121.28515625" customWidth="1"/>
    <col min="9998" max="9998" width="6" customWidth="1"/>
    <col min="9999" max="9999" width="33.42578125" customWidth="1"/>
    <col min="10000" max="10000" width="14.28515625" customWidth="1"/>
    <col min="10001" max="10001" width="12.7109375" customWidth="1"/>
    <col min="10002" max="10002" width="20.85546875" customWidth="1"/>
    <col min="10003" max="10003" width="16" customWidth="1"/>
    <col min="10004" max="10004" width="5.85546875" customWidth="1"/>
    <col min="10005" max="10005" width="35.42578125" customWidth="1"/>
    <col min="10006" max="10006" width="17.42578125" customWidth="1"/>
    <col min="10007" max="10007" width="14.140625" customWidth="1"/>
    <col min="10008" max="10008" width="22" customWidth="1"/>
    <col min="10011" max="10011" width="22.42578125" customWidth="1"/>
    <col min="10014" max="10014" width="14.42578125" customWidth="1"/>
    <col min="10015" max="10015" width="20" customWidth="1"/>
    <col min="10249" max="10249" width="43.7109375" customWidth="1"/>
    <col min="10250" max="10250" width="18.28515625" customWidth="1"/>
    <col min="10251" max="10251" width="35.42578125" customWidth="1"/>
    <col min="10252" max="10252" width="56.42578125" customWidth="1"/>
    <col min="10253" max="10253" width="121.28515625" customWidth="1"/>
    <col min="10254" max="10254" width="6" customWidth="1"/>
    <col min="10255" max="10255" width="33.42578125" customWidth="1"/>
    <col min="10256" max="10256" width="14.28515625" customWidth="1"/>
    <col min="10257" max="10257" width="12.7109375" customWidth="1"/>
    <col min="10258" max="10258" width="20.85546875" customWidth="1"/>
    <col min="10259" max="10259" width="16" customWidth="1"/>
    <col min="10260" max="10260" width="5.85546875" customWidth="1"/>
    <col min="10261" max="10261" width="35.42578125" customWidth="1"/>
    <col min="10262" max="10262" width="17.42578125" customWidth="1"/>
    <col min="10263" max="10263" width="14.140625" customWidth="1"/>
    <col min="10264" max="10264" width="22" customWidth="1"/>
    <col min="10267" max="10267" width="22.42578125" customWidth="1"/>
    <col min="10270" max="10270" width="14.42578125" customWidth="1"/>
    <col min="10271" max="10271" width="20" customWidth="1"/>
    <col min="10505" max="10505" width="43.7109375" customWidth="1"/>
    <col min="10506" max="10506" width="18.28515625" customWidth="1"/>
    <col min="10507" max="10507" width="35.42578125" customWidth="1"/>
    <col min="10508" max="10508" width="56.42578125" customWidth="1"/>
    <col min="10509" max="10509" width="121.28515625" customWidth="1"/>
    <col min="10510" max="10510" width="6" customWidth="1"/>
    <col min="10511" max="10511" width="33.42578125" customWidth="1"/>
    <col min="10512" max="10512" width="14.28515625" customWidth="1"/>
    <col min="10513" max="10513" width="12.7109375" customWidth="1"/>
    <col min="10514" max="10514" width="20.85546875" customWidth="1"/>
    <col min="10515" max="10515" width="16" customWidth="1"/>
    <col min="10516" max="10516" width="5.85546875" customWidth="1"/>
    <col min="10517" max="10517" width="35.42578125" customWidth="1"/>
    <col min="10518" max="10518" width="17.42578125" customWidth="1"/>
    <col min="10519" max="10519" width="14.140625" customWidth="1"/>
    <col min="10520" max="10520" width="22" customWidth="1"/>
    <col min="10523" max="10523" width="22.42578125" customWidth="1"/>
    <col min="10526" max="10526" width="14.42578125" customWidth="1"/>
    <col min="10527" max="10527" width="20" customWidth="1"/>
    <col min="10761" max="10761" width="43.7109375" customWidth="1"/>
    <col min="10762" max="10762" width="18.28515625" customWidth="1"/>
    <col min="10763" max="10763" width="35.42578125" customWidth="1"/>
    <col min="10764" max="10764" width="56.42578125" customWidth="1"/>
    <col min="10765" max="10765" width="121.28515625" customWidth="1"/>
    <col min="10766" max="10766" width="6" customWidth="1"/>
    <col min="10767" max="10767" width="33.42578125" customWidth="1"/>
    <col min="10768" max="10768" width="14.28515625" customWidth="1"/>
    <col min="10769" max="10769" width="12.7109375" customWidth="1"/>
    <col min="10770" max="10770" width="20.85546875" customWidth="1"/>
    <col min="10771" max="10771" width="16" customWidth="1"/>
    <col min="10772" max="10772" width="5.85546875" customWidth="1"/>
    <col min="10773" max="10773" width="35.42578125" customWidth="1"/>
    <col min="10774" max="10774" width="17.42578125" customWidth="1"/>
    <col min="10775" max="10775" width="14.140625" customWidth="1"/>
    <col min="10776" max="10776" width="22" customWidth="1"/>
    <col min="10779" max="10779" width="22.42578125" customWidth="1"/>
    <col min="10782" max="10782" width="14.42578125" customWidth="1"/>
    <col min="10783" max="10783" width="20" customWidth="1"/>
    <col min="11017" max="11017" width="43.7109375" customWidth="1"/>
    <col min="11018" max="11018" width="18.28515625" customWidth="1"/>
    <col min="11019" max="11019" width="35.42578125" customWidth="1"/>
    <col min="11020" max="11020" width="56.42578125" customWidth="1"/>
    <col min="11021" max="11021" width="121.28515625" customWidth="1"/>
    <col min="11022" max="11022" width="6" customWidth="1"/>
    <col min="11023" max="11023" width="33.42578125" customWidth="1"/>
    <col min="11024" max="11024" width="14.28515625" customWidth="1"/>
    <col min="11025" max="11025" width="12.7109375" customWidth="1"/>
    <col min="11026" max="11026" width="20.85546875" customWidth="1"/>
    <col min="11027" max="11027" width="16" customWidth="1"/>
    <col min="11028" max="11028" width="5.85546875" customWidth="1"/>
    <col min="11029" max="11029" width="35.42578125" customWidth="1"/>
    <col min="11030" max="11030" width="17.42578125" customWidth="1"/>
    <col min="11031" max="11031" width="14.140625" customWidth="1"/>
    <col min="11032" max="11032" width="22" customWidth="1"/>
    <col min="11035" max="11035" width="22.42578125" customWidth="1"/>
    <col min="11038" max="11038" width="14.42578125" customWidth="1"/>
    <col min="11039" max="11039" width="20" customWidth="1"/>
    <col min="11273" max="11273" width="43.7109375" customWidth="1"/>
    <col min="11274" max="11274" width="18.28515625" customWidth="1"/>
    <col min="11275" max="11275" width="35.42578125" customWidth="1"/>
    <col min="11276" max="11276" width="56.42578125" customWidth="1"/>
    <col min="11277" max="11277" width="121.28515625" customWidth="1"/>
    <col min="11278" max="11278" width="6" customWidth="1"/>
    <col min="11279" max="11279" width="33.42578125" customWidth="1"/>
    <col min="11280" max="11280" width="14.28515625" customWidth="1"/>
    <col min="11281" max="11281" width="12.7109375" customWidth="1"/>
    <col min="11282" max="11282" width="20.85546875" customWidth="1"/>
    <col min="11283" max="11283" width="16" customWidth="1"/>
    <col min="11284" max="11284" width="5.85546875" customWidth="1"/>
    <col min="11285" max="11285" width="35.42578125" customWidth="1"/>
    <col min="11286" max="11286" width="17.42578125" customWidth="1"/>
    <col min="11287" max="11287" width="14.140625" customWidth="1"/>
    <col min="11288" max="11288" width="22" customWidth="1"/>
    <col min="11291" max="11291" width="22.42578125" customWidth="1"/>
    <col min="11294" max="11294" width="14.42578125" customWidth="1"/>
    <col min="11295" max="11295" width="20" customWidth="1"/>
    <col min="11529" max="11529" width="43.7109375" customWidth="1"/>
    <col min="11530" max="11530" width="18.28515625" customWidth="1"/>
    <col min="11531" max="11531" width="35.42578125" customWidth="1"/>
    <col min="11532" max="11532" width="56.42578125" customWidth="1"/>
    <col min="11533" max="11533" width="121.28515625" customWidth="1"/>
    <col min="11534" max="11534" width="6" customWidth="1"/>
    <col min="11535" max="11535" width="33.42578125" customWidth="1"/>
    <col min="11536" max="11536" width="14.28515625" customWidth="1"/>
    <col min="11537" max="11537" width="12.7109375" customWidth="1"/>
    <col min="11538" max="11538" width="20.85546875" customWidth="1"/>
    <col min="11539" max="11539" width="16" customWidth="1"/>
    <col min="11540" max="11540" width="5.85546875" customWidth="1"/>
    <col min="11541" max="11541" width="35.42578125" customWidth="1"/>
    <col min="11542" max="11542" width="17.42578125" customWidth="1"/>
    <col min="11543" max="11543" width="14.140625" customWidth="1"/>
    <col min="11544" max="11544" width="22" customWidth="1"/>
    <col min="11547" max="11547" width="22.42578125" customWidth="1"/>
    <col min="11550" max="11550" width="14.42578125" customWidth="1"/>
    <col min="11551" max="11551" width="20" customWidth="1"/>
    <col min="11785" max="11785" width="43.7109375" customWidth="1"/>
    <col min="11786" max="11786" width="18.28515625" customWidth="1"/>
    <col min="11787" max="11787" width="35.42578125" customWidth="1"/>
    <col min="11788" max="11788" width="56.42578125" customWidth="1"/>
    <col min="11789" max="11789" width="121.28515625" customWidth="1"/>
    <col min="11790" max="11790" width="6" customWidth="1"/>
    <col min="11791" max="11791" width="33.42578125" customWidth="1"/>
    <col min="11792" max="11792" width="14.28515625" customWidth="1"/>
    <col min="11793" max="11793" width="12.7109375" customWidth="1"/>
    <col min="11794" max="11794" width="20.85546875" customWidth="1"/>
    <col min="11795" max="11795" width="16" customWidth="1"/>
    <col min="11796" max="11796" width="5.85546875" customWidth="1"/>
    <col min="11797" max="11797" width="35.42578125" customWidth="1"/>
    <col min="11798" max="11798" width="17.42578125" customWidth="1"/>
    <col min="11799" max="11799" width="14.140625" customWidth="1"/>
    <col min="11800" max="11800" width="22" customWidth="1"/>
    <col min="11803" max="11803" width="22.42578125" customWidth="1"/>
    <col min="11806" max="11806" width="14.42578125" customWidth="1"/>
    <col min="11807" max="11807" width="20" customWidth="1"/>
    <col min="12041" max="12041" width="43.7109375" customWidth="1"/>
    <col min="12042" max="12042" width="18.28515625" customWidth="1"/>
    <col min="12043" max="12043" width="35.42578125" customWidth="1"/>
    <col min="12044" max="12044" width="56.42578125" customWidth="1"/>
    <col min="12045" max="12045" width="121.28515625" customWidth="1"/>
    <col min="12046" max="12046" width="6" customWidth="1"/>
    <col min="12047" max="12047" width="33.42578125" customWidth="1"/>
    <col min="12048" max="12048" width="14.28515625" customWidth="1"/>
    <col min="12049" max="12049" width="12.7109375" customWidth="1"/>
    <col min="12050" max="12050" width="20.85546875" customWidth="1"/>
    <col min="12051" max="12051" width="16" customWidth="1"/>
    <col min="12052" max="12052" width="5.85546875" customWidth="1"/>
    <col min="12053" max="12053" width="35.42578125" customWidth="1"/>
    <col min="12054" max="12054" width="17.42578125" customWidth="1"/>
    <col min="12055" max="12055" width="14.140625" customWidth="1"/>
    <col min="12056" max="12056" width="22" customWidth="1"/>
    <col min="12059" max="12059" width="22.42578125" customWidth="1"/>
    <col min="12062" max="12062" width="14.42578125" customWidth="1"/>
    <col min="12063" max="12063" width="20" customWidth="1"/>
    <col min="12297" max="12297" width="43.7109375" customWidth="1"/>
    <col min="12298" max="12298" width="18.28515625" customWidth="1"/>
    <col min="12299" max="12299" width="35.42578125" customWidth="1"/>
    <col min="12300" max="12300" width="56.42578125" customWidth="1"/>
    <col min="12301" max="12301" width="121.28515625" customWidth="1"/>
    <col min="12302" max="12302" width="6" customWidth="1"/>
    <col min="12303" max="12303" width="33.42578125" customWidth="1"/>
    <col min="12304" max="12304" width="14.28515625" customWidth="1"/>
    <col min="12305" max="12305" width="12.7109375" customWidth="1"/>
    <col min="12306" max="12306" width="20.85546875" customWidth="1"/>
    <col min="12307" max="12307" width="16" customWidth="1"/>
    <col min="12308" max="12308" width="5.85546875" customWidth="1"/>
    <col min="12309" max="12309" width="35.42578125" customWidth="1"/>
    <col min="12310" max="12310" width="17.42578125" customWidth="1"/>
    <col min="12311" max="12311" width="14.140625" customWidth="1"/>
    <col min="12312" max="12312" width="22" customWidth="1"/>
    <col min="12315" max="12315" width="22.42578125" customWidth="1"/>
    <col min="12318" max="12318" width="14.42578125" customWidth="1"/>
    <col min="12319" max="12319" width="20" customWidth="1"/>
    <col min="12553" max="12553" width="43.7109375" customWidth="1"/>
    <col min="12554" max="12554" width="18.28515625" customWidth="1"/>
    <col min="12555" max="12555" width="35.42578125" customWidth="1"/>
    <col min="12556" max="12556" width="56.42578125" customWidth="1"/>
    <col min="12557" max="12557" width="121.28515625" customWidth="1"/>
    <col min="12558" max="12558" width="6" customWidth="1"/>
    <col min="12559" max="12559" width="33.42578125" customWidth="1"/>
    <col min="12560" max="12560" width="14.28515625" customWidth="1"/>
    <col min="12561" max="12561" width="12.7109375" customWidth="1"/>
    <col min="12562" max="12562" width="20.85546875" customWidth="1"/>
    <col min="12563" max="12563" width="16" customWidth="1"/>
    <col min="12564" max="12564" width="5.85546875" customWidth="1"/>
    <col min="12565" max="12565" width="35.42578125" customWidth="1"/>
    <col min="12566" max="12566" width="17.42578125" customWidth="1"/>
    <col min="12567" max="12567" width="14.140625" customWidth="1"/>
    <col min="12568" max="12568" width="22" customWidth="1"/>
    <col min="12571" max="12571" width="22.42578125" customWidth="1"/>
    <col min="12574" max="12574" width="14.42578125" customWidth="1"/>
    <col min="12575" max="12575" width="20" customWidth="1"/>
    <col min="12809" max="12809" width="43.7109375" customWidth="1"/>
    <col min="12810" max="12810" width="18.28515625" customWidth="1"/>
    <col min="12811" max="12811" width="35.42578125" customWidth="1"/>
    <col min="12812" max="12812" width="56.42578125" customWidth="1"/>
    <col min="12813" max="12813" width="121.28515625" customWidth="1"/>
    <col min="12814" max="12814" width="6" customWidth="1"/>
    <col min="12815" max="12815" width="33.42578125" customWidth="1"/>
    <col min="12816" max="12816" width="14.28515625" customWidth="1"/>
    <col min="12817" max="12817" width="12.7109375" customWidth="1"/>
    <col min="12818" max="12818" width="20.85546875" customWidth="1"/>
    <col min="12819" max="12819" width="16" customWidth="1"/>
    <col min="12820" max="12820" width="5.85546875" customWidth="1"/>
    <col min="12821" max="12821" width="35.42578125" customWidth="1"/>
    <col min="12822" max="12822" width="17.42578125" customWidth="1"/>
    <col min="12823" max="12823" width="14.140625" customWidth="1"/>
    <col min="12824" max="12824" width="22" customWidth="1"/>
    <col min="12827" max="12827" width="22.42578125" customWidth="1"/>
    <col min="12830" max="12830" width="14.42578125" customWidth="1"/>
    <col min="12831" max="12831" width="20" customWidth="1"/>
    <col min="13065" max="13065" width="43.7109375" customWidth="1"/>
    <col min="13066" max="13066" width="18.28515625" customWidth="1"/>
    <col min="13067" max="13067" width="35.42578125" customWidth="1"/>
    <col min="13068" max="13068" width="56.42578125" customWidth="1"/>
    <col min="13069" max="13069" width="121.28515625" customWidth="1"/>
    <col min="13070" max="13070" width="6" customWidth="1"/>
    <col min="13071" max="13071" width="33.42578125" customWidth="1"/>
    <col min="13072" max="13072" width="14.28515625" customWidth="1"/>
    <col min="13073" max="13073" width="12.7109375" customWidth="1"/>
    <col min="13074" max="13074" width="20.85546875" customWidth="1"/>
    <col min="13075" max="13075" width="16" customWidth="1"/>
    <col min="13076" max="13076" width="5.85546875" customWidth="1"/>
    <col min="13077" max="13077" width="35.42578125" customWidth="1"/>
    <col min="13078" max="13078" width="17.42578125" customWidth="1"/>
    <col min="13079" max="13079" width="14.140625" customWidth="1"/>
    <col min="13080" max="13080" width="22" customWidth="1"/>
    <col min="13083" max="13083" width="22.42578125" customWidth="1"/>
    <col min="13086" max="13086" width="14.42578125" customWidth="1"/>
    <col min="13087" max="13087" width="20" customWidth="1"/>
    <col min="13321" max="13321" width="43.7109375" customWidth="1"/>
    <col min="13322" max="13322" width="18.28515625" customWidth="1"/>
    <col min="13323" max="13323" width="35.42578125" customWidth="1"/>
    <col min="13324" max="13324" width="56.42578125" customWidth="1"/>
    <col min="13325" max="13325" width="121.28515625" customWidth="1"/>
    <col min="13326" max="13326" width="6" customWidth="1"/>
    <col min="13327" max="13327" width="33.42578125" customWidth="1"/>
    <col min="13328" max="13328" width="14.28515625" customWidth="1"/>
    <col min="13329" max="13329" width="12.7109375" customWidth="1"/>
    <col min="13330" max="13330" width="20.85546875" customWidth="1"/>
    <col min="13331" max="13331" width="16" customWidth="1"/>
    <col min="13332" max="13332" width="5.85546875" customWidth="1"/>
    <col min="13333" max="13333" width="35.42578125" customWidth="1"/>
    <col min="13334" max="13334" width="17.42578125" customWidth="1"/>
    <col min="13335" max="13335" width="14.140625" customWidth="1"/>
    <col min="13336" max="13336" width="22" customWidth="1"/>
    <col min="13339" max="13339" width="22.42578125" customWidth="1"/>
    <col min="13342" max="13342" width="14.42578125" customWidth="1"/>
    <col min="13343" max="13343" width="20" customWidth="1"/>
    <col min="13577" max="13577" width="43.7109375" customWidth="1"/>
    <col min="13578" max="13578" width="18.28515625" customWidth="1"/>
    <col min="13579" max="13579" width="35.42578125" customWidth="1"/>
    <col min="13580" max="13580" width="56.42578125" customWidth="1"/>
    <col min="13581" max="13581" width="121.28515625" customWidth="1"/>
    <col min="13582" max="13582" width="6" customWidth="1"/>
    <col min="13583" max="13583" width="33.42578125" customWidth="1"/>
    <col min="13584" max="13584" width="14.28515625" customWidth="1"/>
    <col min="13585" max="13585" width="12.7109375" customWidth="1"/>
    <col min="13586" max="13586" width="20.85546875" customWidth="1"/>
    <col min="13587" max="13587" width="16" customWidth="1"/>
    <col min="13588" max="13588" width="5.85546875" customWidth="1"/>
    <col min="13589" max="13589" width="35.42578125" customWidth="1"/>
    <col min="13590" max="13590" width="17.42578125" customWidth="1"/>
    <col min="13591" max="13591" width="14.140625" customWidth="1"/>
    <col min="13592" max="13592" width="22" customWidth="1"/>
    <col min="13595" max="13595" width="22.42578125" customWidth="1"/>
    <col min="13598" max="13598" width="14.42578125" customWidth="1"/>
    <col min="13599" max="13599" width="20" customWidth="1"/>
    <col min="13833" max="13833" width="43.7109375" customWidth="1"/>
    <col min="13834" max="13834" width="18.28515625" customWidth="1"/>
    <col min="13835" max="13835" width="35.42578125" customWidth="1"/>
    <col min="13836" max="13836" width="56.42578125" customWidth="1"/>
    <col min="13837" max="13837" width="121.28515625" customWidth="1"/>
    <col min="13838" max="13838" width="6" customWidth="1"/>
    <col min="13839" max="13839" width="33.42578125" customWidth="1"/>
    <col min="13840" max="13840" width="14.28515625" customWidth="1"/>
    <col min="13841" max="13841" width="12.7109375" customWidth="1"/>
    <col min="13842" max="13842" width="20.85546875" customWidth="1"/>
    <col min="13843" max="13843" width="16" customWidth="1"/>
    <col min="13844" max="13844" width="5.85546875" customWidth="1"/>
    <col min="13845" max="13845" width="35.42578125" customWidth="1"/>
    <col min="13846" max="13846" width="17.42578125" customWidth="1"/>
    <col min="13847" max="13847" width="14.140625" customWidth="1"/>
    <col min="13848" max="13848" width="22" customWidth="1"/>
    <col min="13851" max="13851" width="22.42578125" customWidth="1"/>
    <col min="13854" max="13854" width="14.42578125" customWidth="1"/>
    <col min="13855" max="13855" width="20" customWidth="1"/>
    <col min="14089" max="14089" width="43.7109375" customWidth="1"/>
    <col min="14090" max="14090" width="18.28515625" customWidth="1"/>
    <col min="14091" max="14091" width="35.42578125" customWidth="1"/>
    <col min="14092" max="14092" width="56.42578125" customWidth="1"/>
    <col min="14093" max="14093" width="121.28515625" customWidth="1"/>
    <col min="14094" max="14094" width="6" customWidth="1"/>
    <col min="14095" max="14095" width="33.42578125" customWidth="1"/>
    <col min="14096" max="14096" width="14.28515625" customWidth="1"/>
    <col min="14097" max="14097" width="12.7109375" customWidth="1"/>
    <col min="14098" max="14098" width="20.85546875" customWidth="1"/>
    <col min="14099" max="14099" width="16" customWidth="1"/>
    <col min="14100" max="14100" width="5.85546875" customWidth="1"/>
    <col min="14101" max="14101" width="35.42578125" customWidth="1"/>
    <col min="14102" max="14102" width="17.42578125" customWidth="1"/>
    <col min="14103" max="14103" width="14.140625" customWidth="1"/>
    <col min="14104" max="14104" width="22" customWidth="1"/>
    <col min="14107" max="14107" width="22.42578125" customWidth="1"/>
    <col min="14110" max="14110" width="14.42578125" customWidth="1"/>
    <col min="14111" max="14111" width="20" customWidth="1"/>
    <col min="14345" max="14345" width="43.7109375" customWidth="1"/>
    <col min="14346" max="14346" width="18.28515625" customWidth="1"/>
    <col min="14347" max="14347" width="35.42578125" customWidth="1"/>
    <col min="14348" max="14348" width="56.42578125" customWidth="1"/>
    <col min="14349" max="14349" width="121.28515625" customWidth="1"/>
    <col min="14350" max="14350" width="6" customWidth="1"/>
    <col min="14351" max="14351" width="33.42578125" customWidth="1"/>
    <col min="14352" max="14352" width="14.28515625" customWidth="1"/>
    <col min="14353" max="14353" width="12.7109375" customWidth="1"/>
    <col min="14354" max="14354" width="20.85546875" customWidth="1"/>
    <col min="14355" max="14355" width="16" customWidth="1"/>
    <col min="14356" max="14356" width="5.85546875" customWidth="1"/>
    <col min="14357" max="14357" width="35.42578125" customWidth="1"/>
    <col min="14358" max="14358" width="17.42578125" customWidth="1"/>
    <col min="14359" max="14359" width="14.140625" customWidth="1"/>
    <col min="14360" max="14360" width="22" customWidth="1"/>
    <col min="14363" max="14363" width="22.42578125" customWidth="1"/>
    <col min="14366" max="14366" width="14.42578125" customWidth="1"/>
    <col min="14367" max="14367" width="20" customWidth="1"/>
    <col min="14601" max="14601" width="43.7109375" customWidth="1"/>
    <col min="14602" max="14602" width="18.28515625" customWidth="1"/>
    <col min="14603" max="14603" width="35.42578125" customWidth="1"/>
    <col min="14604" max="14604" width="56.42578125" customWidth="1"/>
    <col min="14605" max="14605" width="121.28515625" customWidth="1"/>
    <col min="14606" max="14606" width="6" customWidth="1"/>
    <col min="14607" max="14607" width="33.42578125" customWidth="1"/>
    <col min="14608" max="14608" width="14.28515625" customWidth="1"/>
    <col min="14609" max="14609" width="12.7109375" customWidth="1"/>
    <col min="14610" max="14610" width="20.85546875" customWidth="1"/>
    <col min="14611" max="14611" width="16" customWidth="1"/>
    <col min="14612" max="14612" width="5.85546875" customWidth="1"/>
    <col min="14613" max="14613" width="35.42578125" customWidth="1"/>
    <col min="14614" max="14614" width="17.42578125" customWidth="1"/>
    <col min="14615" max="14615" width="14.140625" customWidth="1"/>
    <col min="14616" max="14616" width="22" customWidth="1"/>
    <col min="14619" max="14619" width="22.42578125" customWidth="1"/>
    <col min="14622" max="14622" width="14.42578125" customWidth="1"/>
    <col min="14623" max="14623" width="20" customWidth="1"/>
    <col min="14857" max="14857" width="43.7109375" customWidth="1"/>
    <col min="14858" max="14858" width="18.28515625" customWidth="1"/>
    <col min="14859" max="14859" width="35.42578125" customWidth="1"/>
    <col min="14860" max="14860" width="56.42578125" customWidth="1"/>
    <col min="14861" max="14861" width="121.28515625" customWidth="1"/>
    <col min="14862" max="14862" width="6" customWidth="1"/>
    <col min="14863" max="14863" width="33.42578125" customWidth="1"/>
    <col min="14864" max="14864" width="14.28515625" customWidth="1"/>
    <col min="14865" max="14865" width="12.7109375" customWidth="1"/>
    <col min="14866" max="14866" width="20.85546875" customWidth="1"/>
    <col min="14867" max="14867" width="16" customWidth="1"/>
    <col min="14868" max="14868" width="5.85546875" customWidth="1"/>
    <col min="14869" max="14869" width="35.42578125" customWidth="1"/>
    <col min="14870" max="14870" width="17.42578125" customWidth="1"/>
    <col min="14871" max="14871" width="14.140625" customWidth="1"/>
    <col min="14872" max="14872" width="22" customWidth="1"/>
    <col min="14875" max="14875" width="22.42578125" customWidth="1"/>
    <col min="14878" max="14878" width="14.42578125" customWidth="1"/>
    <col min="14879" max="14879" width="20" customWidth="1"/>
    <col min="15113" max="15113" width="43.7109375" customWidth="1"/>
    <col min="15114" max="15114" width="18.28515625" customWidth="1"/>
    <col min="15115" max="15115" width="35.42578125" customWidth="1"/>
    <col min="15116" max="15116" width="56.42578125" customWidth="1"/>
    <col min="15117" max="15117" width="121.28515625" customWidth="1"/>
    <col min="15118" max="15118" width="6" customWidth="1"/>
    <col min="15119" max="15119" width="33.42578125" customWidth="1"/>
    <col min="15120" max="15120" width="14.28515625" customWidth="1"/>
    <col min="15121" max="15121" width="12.7109375" customWidth="1"/>
    <col min="15122" max="15122" width="20.85546875" customWidth="1"/>
    <col min="15123" max="15123" width="16" customWidth="1"/>
    <col min="15124" max="15124" width="5.85546875" customWidth="1"/>
    <col min="15125" max="15125" width="35.42578125" customWidth="1"/>
    <col min="15126" max="15126" width="17.42578125" customWidth="1"/>
    <col min="15127" max="15127" width="14.140625" customWidth="1"/>
    <col min="15128" max="15128" width="22" customWidth="1"/>
    <col min="15131" max="15131" width="22.42578125" customWidth="1"/>
    <col min="15134" max="15134" width="14.42578125" customWidth="1"/>
    <col min="15135" max="15135" width="20" customWidth="1"/>
    <col min="15369" max="15369" width="43.7109375" customWidth="1"/>
    <col min="15370" max="15370" width="18.28515625" customWidth="1"/>
    <col min="15371" max="15371" width="35.42578125" customWidth="1"/>
    <col min="15372" max="15372" width="56.42578125" customWidth="1"/>
    <col min="15373" max="15373" width="121.28515625" customWidth="1"/>
    <col min="15374" max="15374" width="6" customWidth="1"/>
    <col min="15375" max="15375" width="33.42578125" customWidth="1"/>
    <col min="15376" max="15376" width="14.28515625" customWidth="1"/>
    <col min="15377" max="15377" width="12.7109375" customWidth="1"/>
    <col min="15378" max="15378" width="20.85546875" customWidth="1"/>
    <col min="15379" max="15379" width="16" customWidth="1"/>
    <col min="15380" max="15380" width="5.85546875" customWidth="1"/>
    <col min="15381" max="15381" width="35.42578125" customWidth="1"/>
    <col min="15382" max="15382" width="17.42578125" customWidth="1"/>
    <col min="15383" max="15383" width="14.140625" customWidth="1"/>
    <col min="15384" max="15384" width="22" customWidth="1"/>
    <col min="15387" max="15387" width="22.42578125" customWidth="1"/>
    <col min="15390" max="15390" width="14.42578125" customWidth="1"/>
    <col min="15391" max="15391" width="20" customWidth="1"/>
    <col min="15625" max="15625" width="43.7109375" customWidth="1"/>
    <col min="15626" max="15626" width="18.28515625" customWidth="1"/>
    <col min="15627" max="15627" width="35.42578125" customWidth="1"/>
    <col min="15628" max="15628" width="56.42578125" customWidth="1"/>
    <col min="15629" max="15629" width="121.28515625" customWidth="1"/>
    <col min="15630" max="15630" width="6" customWidth="1"/>
    <col min="15631" max="15631" width="33.42578125" customWidth="1"/>
    <col min="15632" max="15632" width="14.28515625" customWidth="1"/>
    <col min="15633" max="15633" width="12.7109375" customWidth="1"/>
    <col min="15634" max="15634" width="20.85546875" customWidth="1"/>
    <col min="15635" max="15635" width="16" customWidth="1"/>
    <col min="15636" max="15636" width="5.85546875" customWidth="1"/>
    <col min="15637" max="15637" width="35.42578125" customWidth="1"/>
    <col min="15638" max="15638" width="17.42578125" customWidth="1"/>
    <col min="15639" max="15639" width="14.140625" customWidth="1"/>
    <col min="15640" max="15640" width="22" customWidth="1"/>
    <col min="15643" max="15643" width="22.42578125" customWidth="1"/>
    <col min="15646" max="15646" width="14.42578125" customWidth="1"/>
    <col min="15647" max="15647" width="20" customWidth="1"/>
    <col min="15881" max="15881" width="43.7109375" customWidth="1"/>
    <col min="15882" max="15882" width="18.28515625" customWidth="1"/>
    <col min="15883" max="15883" width="35.42578125" customWidth="1"/>
    <col min="15884" max="15884" width="56.42578125" customWidth="1"/>
    <col min="15885" max="15885" width="121.28515625" customWidth="1"/>
    <col min="15886" max="15886" width="6" customWidth="1"/>
    <col min="15887" max="15887" width="33.42578125" customWidth="1"/>
    <col min="15888" max="15888" width="14.28515625" customWidth="1"/>
    <col min="15889" max="15889" width="12.7109375" customWidth="1"/>
    <col min="15890" max="15890" width="20.85546875" customWidth="1"/>
    <col min="15891" max="15891" width="16" customWidth="1"/>
    <col min="15892" max="15892" width="5.85546875" customWidth="1"/>
    <col min="15893" max="15893" width="35.42578125" customWidth="1"/>
    <col min="15894" max="15894" width="17.42578125" customWidth="1"/>
    <col min="15895" max="15895" width="14.140625" customWidth="1"/>
    <col min="15896" max="15896" width="22" customWidth="1"/>
    <col min="15899" max="15899" width="22.42578125" customWidth="1"/>
    <col min="15902" max="15902" width="14.42578125" customWidth="1"/>
    <col min="15903" max="15903" width="20" customWidth="1"/>
    <col min="16137" max="16137" width="43.7109375" customWidth="1"/>
    <col min="16138" max="16138" width="18.28515625" customWidth="1"/>
    <col min="16139" max="16139" width="35.42578125" customWidth="1"/>
    <col min="16140" max="16140" width="56.42578125" customWidth="1"/>
    <col min="16141" max="16141" width="121.28515625" customWidth="1"/>
    <col min="16142" max="16142" width="6" customWidth="1"/>
    <col min="16143" max="16143" width="33.42578125" customWidth="1"/>
    <col min="16144" max="16144" width="14.28515625" customWidth="1"/>
    <col min="16145" max="16145" width="12.7109375" customWidth="1"/>
    <col min="16146" max="16146" width="20.85546875" customWidth="1"/>
    <col min="16147" max="16147" width="16" customWidth="1"/>
    <col min="16148" max="16148" width="5.85546875" customWidth="1"/>
    <col min="16149" max="16149" width="35.42578125" customWidth="1"/>
    <col min="16150" max="16150" width="17.42578125" customWidth="1"/>
    <col min="16151" max="16151" width="14.140625" customWidth="1"/>
    <col min="16152" max="16152" width="22" customWidth="1"/>
    <col min="16155" max="16155" width="22.42578125" customWidth="1"/>
    <col min="16158" max="16158" width="14.42578125" customWidth="1"/>
    <col min="16159" max="16159" width="20" customWidth="1"/>
  </cols>
  <sheetData>
    <row r="1" spans="1:31" ht="15.75" x14ac:dyDescent="0.25">
      <c r="A1" s="381" t="s">
        <v>0</v>
      </c>
      <c r="B1" s="381"/>
      <c r="C1" s="381"/>
      <c r="D1" s="381"/>
      <c r="E1" s="381"/>
      <c r="F1" s="381"/>
      <c r="G1" s="381"/>
      <c r="H1" s="1"/>
      <c r="I1" s="1"/>
      <c r="J1" s="1"/>
      <c r="K1" s="1"/>
      <c r="L1" s="1"/>
      <c r="M1" s="1"/>
      <c r="N1" s="1"/>
      <c r="O1" s="1"/>
      <c r="P1" s="1"/>
      <c r="Q1" s="1"/>
      <c r="R1" s="1"/>
      <c r="S1" s="1"/>
      <c r="T1" s="1"/>
      <c r="U1" s="1"/>
      <c r="V1" s="1"/>
      <c r="W1" s="1"/>
      <c r="X1" s="1"/>
      <c r="Y1" s="1"/>
      <c r="Z1" s="2"/>
      <c r="AA1" s="2"/>
      <c r="AB1" s="2"/>
      <c r="AC1" s="2"/>
      <c r="AD1" s="2"/>
      <c r="AE1" s="2"/>
    </row>
    <row r="2" spans="1:31" ht="15.75" x14ac:dyDescent="0.25">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Z2" s="2"/>
      <c r="AA2" s="378"/>
      <c r="AB2" s="378"/>
      <c r="AC2" s="378"/>
      <c r="AD2" s="378"/>
      <c r="AE2" s="378"/>
    </row>
    <row r="3" spans="1:31" ht="28.5" customHeight="1" x14ac:dyDescent="0.25">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Z3" s="2"/>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+IF(C4=0,0,IF(F4="","",VLOOKUP(F4,$H$140:$I$186,2,FALSE))*C4)</f>
        <v>514916</v>
      </c>
      <c r="H4" s="1"/>
      <c r="I4" s="17" t="s">
        <v>12</v>
      </c>
      <c r="J4" s="113" t="s">
        <v>237</v>
      </c>
      <c r="K4" s="103">
        <v>0</v>
      </c>
      <c r="L4" s="14">
        <v>1</v>
      </c>
      <c r="M4" s="15" t="s">
        <v>365</v>
      </c>
      <c r="N4" s="47" t="str">
        <f t="shared" ref="N4:N6" si="0">+IF(O4=0,0,CONCATENATE(MID(O4,FIND("-",O4,1)+1,4),"ORAS"))</f>
        <v>15 HORAS</v>
      </c>
      <c r="O4" s="12" t="s">
        <v>349</v>
      </c>
      <c r="P4" s="11">
        <f>+IF(O4="","",VLOOKUP(O4,$H$140:$I$186,2,FALSE))</f>
        <v>239262</v>
      </c>
      <c r="Q4" s="1"/>
      <c r="R4" s="17" t="s">
        <v>12</v>
      </c>
      <c r="S4" s="180" t="s">
        <v>13</v>
      </c>
      <c r="T4" s="103" t="str">
        <f t="shared" ref="T4:T6" si="1">+IF(X4=0,0,MID(X4,LEN(X4)-3,1))</f>
        <v>4</v>
      </c>
      <c r="U4" s="177">
        <v>1</v>
      </c>
      <c r="V4" s="20" t="s">
        <v>365</v>
      </c>
      <c r="W4" s="47" t="str">
        <f>+IF(X4=0,0,CONCATENATE(MID(X4,FIND("-",X4,1)+1,4),"ORAS"))</f>
        <v>15 HORAS</v>
      </c>
      <c r="X4" s="12" t="s">
        <v>334</v>
      </c>
      <c r="Y4" s="11">
        <f>+IF(X4="","",VLOOKUP(X4,$H$140:$I$186,2,FALSE))</f>
        <v>501739</v>
      </c>
      <c r="Z4" s="2"/>
      <c r="AA4" s="21"/>
      <c r="AB4" s="22"/>
      <c r="AC4" s="22"/>
      <c r="AD4" s="23"/>
      <c r="AE4" s="24"/>
    </row>
    <row r="5" spans="1:31" ht="15.75" x14ac:dyDescent="0.25">
      <c r="A5" s="25" t="s">
        <v>14</v>
      </c>
      <c r="B5" s="128" t="str">
        <f t="shared" ref="B5:B9" si="2">+IF(F5=0,0,MID(F5,LEN(F5)-3,1))</f>
        <v>3</v>
      </c>
      <c r="C5" s="15">
        <v>1</v>
      </c>
      <c r="D5" s="15" t="s">
        <v>365</v>
      </c>
      <c r="E5" s="47" t="str">
        <f t="shared" ref="E5:E9" si="3">+IF(F5=0,0,CONCATENATE(MID(F5,FIND("-",F5,1)+1,4),"ORAS"))</f>
        <v>15 HORAS</v>
      </c>
      <c r="F5" s="12" t="s">
        <v>320</v>
      </c>
      <c r="G5" s="11">
        <f>+IF(F5="","",VLOOKUP(F5,$H$140:$I$186,2,FALSE))</f>
        <v>514916</v>
      </c>
      <c r="H5" s="1"/>
      <c r="I5" s="4" t="s">
        <v>11</v>
      </c>
      <c r="J5" s="12" t="s">
        <v>448</v>
      </c>
      <c r="K5" s="103">
        <v>2</v>
      </c>
      <c r="L5" s="14">
        <v>1</v>
      </c>
      <c r="M5" s="15" t="s">
        <v>365</v>
      </c>
      <c r="N5" s="47" t="str">
        <f t="shared" si="0"/>
        <v>15 HORAS</v>
      </c>
      <c r="O5" s="12" t="s">
        <v>336</v>
      </c>
      <c r="P5" s="11">
        <f>+IF(O5="","",VLOOKUP(O5,$H$140:$I$186,2,FALSE))</f>
        <v>388652</v>
      </c>
      <c r="Q5" s="1"/>
      <c r="R5" s="17" t="s">
        <v>12</v>
      </c>
      <c r="S5" s="180" t="s">
        <v>15</v>
      </c>
      <c r="T5" s="103" t="str">
        <f t="shared" si="1"/>
        <v>4</v>
      </c>
      <c r="U5" s="177">
        <v>1</v>
      </c>
      <c r="V5" s="20" t="s">
        <v>365</v>
      </c>
      <c r="W5" s="47" t="str">
        <f>+IF(X5=0,0,CONCATENATE(MID(X5,FIND("-",X5,1)+1,4),"ORAS"))</f>
        <v>15 HORAS</v>
      </c>
      <c r="X5" s="12" t="s">
        <v>334</v>
      </c>
      <c r="Y5" s="11">
        <f>+IF(X5="","",VLOOKUP(X5,$H$140:$I$186,2,FALSE))</f>
        <v>501739</v>
      </c>
      <c r="Z5" s="2"/>
      <c r="AA5" s="21"/>
      <c r="AB5" s="22"/>
      <c r="AC5" s="22"/>
      <c r="AD5" s="23"/>
      <c r="AE5" s="24"/>
    </row>
    <row r="6" spans="1:31" ht="15.75" x14ac:dyDescent="0.25">
      <c r="A6" s="25" t="s">
        <v>16</v>
      </c>
      <c r="B6" s="128" t="str">
        <f t="shared" si="2"/>
        <v>3</v>
      </c>
      <c r="C6" s="15">
        <v>1</v>
      </c>
      <c r="D6" s="15" t="s">
        <v>365</v>
      </c>
      <c r="E6" s="47" t="str">
        <f t="shared" si="3"/>
        <v>15 HORAS</v>
      </c>
      <c r="F6" s="12" t="s">
        <v>320</v>
      </c>
      <c r="G6" s="11">
        <f>+IF(F6="","",VLOOKUP(F6,$H$140:$I$186,2,FALSE))</f>
        <v>514916</v>
      </c>
      <c r="H6" s="1"/>
      <c r="I6" s="4" t="s">
        <v>11</v>
      </c>
      <c r="J6" s="113" t="s">
        <v>396</v>
      </c>
      <c r="K6" s="103">
        <v>2</v>
      </c>
      <c r="L6" s="14">
        <v>1</v>
      </c>
      <c r="M6" s="15" t="s">
        <v>365</v>
      </c>
      <c r="N6" s="47" t="str">
        <f t="shared" si="0"/>
        <v>15 HORAS</v>
      </c>
      <c r="O6" s="12" t="s">
        <v>349</v>
      </c>
      <c r="P6" s="11">
        <f>+IF(O6="","",VLOOKUP(O6,$H$140:$I$186,2,FALSE))</f>
        <v>239262</v>
      </c>
      <c r="Q6" s="1"/>
      <c r="R6" s="17" t="s">
        <v>12</v>
      </c>
      <c r="S6" s="180" t="s">
        <v>17</v>
      </c>
      <c r="T6" s="103" t="str">
        <f t="shared" si="1"/>
        <v>4</v>
      </c>
      <c r="U6" s="177">
        <v>1</v>
      </c>
      <c r="V6" s="20" t="s">
        <v>365</v>
      </c>
      <c r="W6" s="47" t="str">
        <f>+IF(X6=0,0,CONCATENATE(MID(X6,FIND("-",X6,1)+1,4),"ORAS"))</f>
        <v>15 HORAS</v>
      </c>
      <c r="X6" s="12" t="s">
        <v>334</v>
      </c>
      <c r="Y6" s="11">
        <f>+IF(X6="","",VLOOKUP(X6,$H$140:$I$186,2,FALSE))</f>
        <v>501739</v>
      </c>
      <c r="Z6" s="2"/>
      <c r="AA6" s="21"/>
      <c r="AB6" s="22"/>
      <c r="AC6" s="22"/>
      <c r="AD6" s="23"/>
      <c r="AE6" s="24"/>
    </row>
    <row r="7" spans="1:31" ht="15.75" x14ac:dyDescent="0.25">
      <c r="A7" s="25" t="s">
        <v>28</v>
      </c>
      <c r="B7" s="128" t="str">
        <f t="shared" si="2"/>
        <v>3</v>
      </c>
      <c r="C7" s="15">
        <v>1</v>
      </c>
      <c r="D7" s="15" t="s">
        <v>365</v>
      </c>
      <c r="E7" s="47" t="str">
        <f t="shared" si="3"/>
        <v>15 HORAS</v>
      </c>
      <c r="F7" s="12" t="s">
        <v>320</v>
      </c>
      <c r="G7" s="11">
        <f>+IF(F7="","",VLOOKUP(F7,$H$140:$I$186,2,FALSE))</f>
        <v>514916</v>
      </c>
      <c r="H7" s="1"/>
      <c r="I7" s="26"/>
      <c r="J7" s="12"/>
      <c r="K7" s="103"/>
      <c r="L7" s="14"/>
      <c r="M7" s="15"/>
      <c r="N7" s="47"/>
      <c r="O7" s="12"/>
      <c r="P7" s="11" t="str">
        <f>+IF(O7="","",VLOOKUP(O7,$H$140:$I$186,2,FALSE))</f>
        <v/>
      </c>
      <c r="Q7" s="1"/>
      <c r="R7" s="29"/>
      <c r="S7" s="178"/>
      <c r="T7" s="103"/>
      <c r="U7" s="179"/>
      <c r="V7" s="10"/>
      <c r="W7" s="47"/>
      <c r="X7" s="12"/>
      <c r="Y7" s="11" t="str">
        <f>+IF(X7="","",VLOOKUP(X7,$H$140:$I$186,2,FALSE))</f>
        <v/>
      </c>
      <c r="Z7" s="2"/>
      <c r="AA7" s="21"/>
      <c r="AB7" s="21"/>
      <c r="AC7" s="21"/>
      <c r="AD7" s="21"/>
      <c r="AE7" s="21"/>
    </row>
    <row r="8" spans="1:31" ht="15.75" x14ac:dyDescent="0.25">
      <c r="A8" s="127" t="s">
        <v>366</v>
      </c>
      <c r="B8" s="128" t="str">
        <f t="shared" si="2"/>
        <v>4</v>
      </c>
      <c r="C8" s="15">
        <v>1</v>
      </c>
      <c r="D8" s="15" t="s">
        <v>365</v>
      </c>
      <c r="E8" s="47" t="str">
        <f t="shared" si="3"/>
        <v>15 HORAS</v>
      </c>
      <c r="F8" s="12" t="s">
        <v>319</v>
      </c>
      <c r="G8" s="11">
        <f>+IF(C8=0,0,IF(F8="","",VLOOKUP(F8,$H$140:$I$186,2,FALSE))*C8)</f>
        <v>582964</v>
      </c>
      <c r="H8" s="1"/>
      <c r="I8" s="26"/>
      <c r="J8" s="12"/>
      <c r="K8" s="103"/>
      <c r="L8" s="14"/>
      <c r="M8" s="15"/>
      <c r="N8" s="47"/>
      <c r="O8" s="12"/>
      <c r="P8" s="11" t="str">
        <f>+IF(O8="","",VLOOKUP(O8,$H$140:$I$186,2,FALSE))</f>
        <v/>
      </c>
      <c r="Q8" s="1"/>
      <c r="R8" s="17"/>
      <c r="S8" s="180"/>
      <c r="T8" s="177"/>
      <c r="U8" s="177">
        <f>+U4+U5+U6+U7</f>
        <v>3</v>
      </c>
      <c r="V8" s="15"/>
      <c r="W8" s="12"/>
      <c r="X8" s="12"/>
      <c r="Y8" s="139"/>
      <c r="Z8" s="2"/>
      <c r="AA8" s="21"/>
      <c r="AB8" s="21"/>
      <c r="AC8" s="21"/>
      <c r="AD8" s="21"/>
      <c r="AE8" s="21"/>
    </row>
    <row r="9" spans="1:31" ht="15.75" x14ac:dyDescent="0.25">
      <c r="A9" s="127" t="s">
        <v>248</v>
      </c>
      <c r="B9" s="128" t="str">
        <f t="shared" si="2"/>
        <v>3</v>
      </c>
      <c r="C9" s="15">
        <v>1</v>
      </c>
      <c r="D9" s="15" t="s">
        <v>365</v>
      </c>
      <c r="E9" s="47" t="str">
        <f t="shared" si="3"/>
        <v>15 HORAS</v>
      </c>
      <c r="F9" s="12" t="s">
        <v>320</v>
      </c>
      <c r="G9" s="11">
        <f>+IF(F9="","",VLOOKUP(F9,$H$140:$I$186,2,FALSE))</f>
        <v>514916</v>
      </c>
      <c r="H9" s="1"/>
      <c r="I9" s="26"/>
      <c r="J9" s="113"/>
      <c r="K9" s="103"/>
      <c r="L9" s="14"/>
      <c r="M9" s="15"/>
      <c r="N9" s="47"/>
      <c r="O9" s="12"/>
      <c r="P9" s="110"/>
      <c r="Q9" s="1"/>
      <c r="R9" s="33"/>
      <c r="S9" s="181"/>
      <c r="T9" s="181"/>
      <c r="U9" s="181"/>
      <c r="V9" s="35"/>
      <c r="W9" s="35"/>
      <c r="X9" s="35"/>
      <c r="Y9" s="1"/>
      <c r="Z9" s="2"/>
      <c r="AA9" s="21"/>
      <c r="AB9" s="21"/>
      <c r="AC9" s="21"/>
      <c r="AD9" s="21"/>
      <c r="AE9" s="21"/>
    </row>
    <row r="10" spans="1:31" ht="15.75" x14ac:dyDescent="0.25">
      <c r="A10" s="127"/>
      <c r="B10" s="128"/>
      <c r="C10" s="15"/>
      <c r="D10" s="15"/>
      <c r="E10" s="47"/>
      <c r="F10" s="12"/>
      <c r="G10" s="11" t="str">
        <f>+IF(F10="","",VLOOKUP(F10,$H$140:$I$186,2,FALSE))</f>
        <v/>
      </c>
      <c r="H10" s="1"/>
      <c r="I10" s="26"/>
      <c r="J10" s="12"/>
      <c r="K10" s="103"/>
      <c r="L10" s="56"/>
      <c r="M10" s="56"/>
      <c r="N10" s="12"/>
      <c r="O10" s="12"/>
      <c r="P10" s="110"/>
      <c r="Q10" s="1"/>
      <c r="R10" s="33"/>
      <c r="S10" s="181"/>
      <c r="T10" s="181"/>
      <c r="U10" s="181"/>
      <c r="V10" s="35"/>
      <c r="W10" s="35"/>
      <c r="X10" s="35"/>
      <c r="Y10" s="1"/>
      <c r="Z10" s="2"/>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Z11" s="2"/>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Z12" s="2"/>
      <c r="AA12" s="21"/>
      <c r="AB12" s="21"/>
      <c r="AC12" s="21"/>
      <c r="AD12" s="21"/>
      <c r="AE12" s="21"/>
    </row>
    <row r="13" spans="1:31" ht="15.75" x14ac:dyDescent="0.25">
      <c r="A13" s="37"/>
      <c r="B13" s="128">
        <f>+B10+B9+B8+B7+B6+B5+B4</f>
        <v>19</v>
      </c>
      <c r="C13" s="128">
        <f>+C10+C9+C8+C7+C6+C5+C4</f>
        <v>6</v>
      </c>
      <c r="D13" s="28"/>
      <c r="E13" s="28"/>
      <c r="F13" s="12"/>
      <c r="G13" s="52" t="e">
        <f>+G4+G5+G6+G7+G8+G9+G10</f>
        <v>#VALUE!</v>
      </c>
      <c r="H13" s="1"/>
      <c r="I13" s="26"/>
      <c r="J13" s="12"/>
      <c r="K13" s="103"/>
      <c r="L13" s="14"/>
      <c r="M13" s="56"/>
      <c r="N13" s="12"/>
      <c r="O13" s="12"/>
      <c r="P13" s="36"/>
      <c r="Q13" s="1"/>
      <c r="R13" s="382" t="s">
        <v>21</v>
      </c>
      <c r="S13" s="383"/>
      <c r="T13" s="383"/>
      <c r="U13" s="383"/>
      <c r="V13" s="383"/>
      <c r="W13" s="383"/>
      <c r="X13" s="383"/>
      <c r="Y13" s="384"/>
      <c r="Z13" s="2"/>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c r="AA14" s="2"/>
      <c r="AB14" s="2"/>
      <c r="AC14" s="2"/>
      <c r="AD14" s="2"/>
      <c r="AE14" s="2"/>
    </row>
    <row r="15" spans="1:31" ht="15.75" x14ac:dyDescent="0.25">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+IF(X15="","",VLOOKUP(X15,$H$140:$I$186,2,FALSE))*T15</f>
        <v>160731</v>
      </c>
      <c r="Z15" s="2"/>
      <c r="AA15" s="2"/>
      <c r="AB15" s="2"/>
      <c r="AC15" s="2"/>
      <c r="AD15" s="2"/>
      <c r="AE15" s="2"/>
    </row>
    <row r="16" spans="1:31" ht="18.75" customHeight="1" x14ac:dyDescent="0.25">
      <c r="A16" s="127"/>
      <c r="B16" s="102"/>
      <c r="C16" s="179"/>
      <c r="D16" s="10"/>
      <c r="E16" s="47"/>
      <c r="F16" s="47"/>
      <c r="G16" s="11">
        <f>+IF(C16=0,0,IF(F16="","",VLOOKUP(F16,$H$140:$I$186,2,FALSE))*C16)</f>
        <v>0</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+IF(X16="","",VLOOKUP(X16,$H$140:$I$186,2,FALSE))*T16</f>
        <v>107154</v>
      </c>
      <c r="Z16" s="2"/>
      <c r="AA16" s="2"/>
      <c r="AB16" s="2"/>
      <c r="AC16" s="2"/>
      <c r="AD16" s="2"/>
      <c r="AE16" s="2"/>
    </row>
    <row r="17" spans="1:31" ht="23.25" customHeight="1" x14ac:dyDescent="0.25">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c r="Z17" s="2"/>
      <c r="AA17" s="2"/>
      <c r="AB17" s="2"/>
      <c r="AC17" s="2"/>
      <c r="AD17" s="2"/>
      <c r="AE17" s="2"/>
    </row>
    <row r="18" spans="1:31" ht="15.75" x14ac:dyDescent="0.25">
      <c r="A18" s="129"/>
      <c r="B18" s="103"/>
      <c r="C18" s="177"/>
      <c r="D18" s="15"/>
      <c r="E18" s="12"/>
      <c r="F18" s="12"/>
      <c r="G18" s="11"/>
      <c r="H18" s="1"/>
      <c r="I18" s="4" t="s">
        <v>11</v>
      </c>
      <c r="J18" s="12" t="s">
        <v>390</v>
      </c>
      <c r="K18" s="103" t="str">
        <f t="shared" ref="K18:K20" si="4">+IF(O18=0,0,MID(O18,LEN(O18)-3,1))</f>
        <v>3</v>
      </c>
      <c r="L18" s="27">
        <v>1</v>
      </c>
      <c r="M18" s="15" t="s">
        <v>365</v>
      </c>
      <c r="N18" s="47" t="str">
        <f>+IF(O18=0,0,CONCATENATE(MID(O18,FIND("-",O18,1)+1,4),"ORAS"))</f>
        <v>15 HORAS</v>
      </c>
      <c r="O18" s="12" t="s">
        <v>320</v>
      </c>
      <c r="P18" s="11">
        <f>+IF(O18="","",VLOOKUP(O18,$H$140:$I$186,2,FALSE))</f>
        <v>514916</v>
      </c>
      <c r="Q18" s="1"/>
      <c r="R18" s="382" t="s">
        <v>376</v>
      </c>
      <c r="S18" s="383"/>
      <c r="T18" s="383"/>
      <c r="U18" s="383"/>
      <c r="V18" s="383"/>
      <c r="W18" s="383"/>
      <c r="X18" s="383"/>
      <c r="Y18" s="384"/>
      <c r="Z18" s="2"/>
      <c r="AA18" s="2"/>
      <c r="AB18" s="2"/>
      <c r="AC18" s="2"/>
      <c r="AD18" s="2"/>
      <c r="AE18" s="2"/>
    </row>
    <row r="19" spans="1:31" ht="15.75" x14ac:dyDescent="0.25">
      <c r="A19" s="69"/>
      <c r="B19" s="103"/>
      <c r="C19" s="15"/>
      <c r="D19" s="15"/>
      <c r="E19" s="12"/>
      <c r="F19" s="12"/>
      <c r="G19" s="11"/>
      <c r="H19" s="1"/>
      <c r="I19" s="4" t="s">
        <v>11</v>
      </c>
      <c r="J19" s="12" t="s">
        <v>446</v>
      </c>
      <c r="K19" s="103" t="str">
        <f t="shared" si="4"/>
        <v>2</v>
      </c>
      <c r="L19" s="27">
        <v>1</v>
      </c>
      <c r="M19" s="15" t="s">
        <v>365</v>
      </c>
      <c r="N19" s="47" t="str">
        <f>+IF(O19=0,0,CONCATENATE(MID(O19,FIND("-",O19,1)+1,4),"ORAS"))</f>
        <v>15 HORAS</v>
      </c>
      <c r="O19" s="12" t="s">
        <v>321</v>
      </c>
      <c r="P19" s="11">
        <f>+IF(O19="","",VLOOKUP(O19,$H$140:$I$186,2,FALSE))</f>
        <v>448638</v>
      </c>
      <c r="Q19" s="1"/>
      <c r="R19" s="5" t="s">
        <v>9</v>
      </c>
      <c r="S19" s="5" t="s">
        <v>4</v>
      </c>
      <c r="T19" s="6" t="s">
        <v>5</v>
      </c>
      <c r="U19" s="6" t="s">
        <v>6</v>
      </c>
      <c r="V19" s="6" t="s">
        <v>7</v>
      </c>
      <c r="W19" s="6" t="s">
        <v>52</v>
      </c>
      <c r="X19" s="6" t="s">
        <v>235</v>
      </c>
      <c r="Y19" s="6" t="s">
        <v>8</v>
      </c>
      <c r="Z19" s="2"/>
      <c r="AA19" s="21"/>
      <c r="AB19" s="21"/>
      <c r="AC19" s="21"/>
      <c r="AD19" s="21"/>
      <c r="AE19" s="21"/>
    </row>
    <row r="20" spans="1:31" s="2" customFormat="1" ht="15.75" x14ac:dyDescent="0.2">
      <c r="A20" s="130"/>
      <c r="B20" s="103"/>
      <c r="C20" s="67"/>
      <c r="D20" s="67"/>
      <c r="E20" s="12"/>
      <c r="F20" s="12"/>
      <c r="G20" s="11"/>
      <c r="H20" s="1"/>
      <c r="I20" s="4" t="s">
        <v>11</v>
      </c>
      <c r="J20" s="12" t="s">
        <v>447</v>
      </c>
      <c r="K20" s="103" t="str">
        <f t="shared" si="4"/>
        <v>2</v>
      </c>
      <c r="L20" s="27">
        <v>1</v>
      </c>
      <c r="M20" s="15" t="s">
        <v>365</v>
      </c>
      <c r="N20" s="47" t="str">
        <f>+IF(O20=0,0,CONCATENATE(MID(O20,FIND("-",O20,1)+1,4),"ORAS"))</f>
        <v>15 HORAS</v>
      </c>
      <c r="O20" s="12" t="s">
        <v>321</v>
      </c>
      <c r="P20" s="11">
        <f>+IF(O20="","",VLOOKUP(O20,$H$140:$I$186,2,FALSE))</f>
        <v>448638</v>
      </c>
      <c r="Q20" s="1"/>
      <c r="R20" s="4" t="s">
        <v>11</v>
      </c>
      <c r="S20" s="40" t="s">
        <v>23</v>
      </c>
      <c r="T20" s="103" t="s">
        <v>377</v>
      </c>
      <c r="U20" s="40" t="s">
        <v>377</v>
      </c>
      <c r="V20" s="10" t="s">
        <v>365</v>
      </c>
      <c r="W20" s="47" t="str">
        <f>+IF(X20=0,0,CONCATENATE(MID(X20,FIND("-",X20,1)+1,4),"ORAS"))</f>
        <v>15 HORAS</v>
      </c>
      <c r="X20" s="12" t="s">
        <v>352</v>
      </c>
      <c r="Y20" s="11">
        <f>+IF(X20="","",VLOOKUP(X20,$H$140:$I$186,2,FALSE))</f>
        <v>373234</v>
      </c>
      <c r="AA20" s="21"/>
      <c r="AB20" s="21"/>
      <c r="AC20" s="21"/>
      <c r="AD20" s="21"/>
      <c r="AE20" s="21"/>
    </row>
    <row r="21" spans="1:31" s="2" customFormat="1" ht="15.75" x14ac:dyDescent="0.2">
      <c r="A21" s="130"/>
      <c r="B21" s="103"/>
      <c r="C21" s="67"/>
      <c r="D21" s="67"/>
      <c r="E21" s="12"/>
      <c r="F21" s="12"/>
      <c r="G21" s="11"/>
      <c r="H21" s="1"/>
      <c r="I21" s="185"/>
      <c r="J21" s="47"/>
      <c r="K21" s="103"/>
      <c r="L21" s="186"/>
      <c r="M21" s="35"/>
      <c r="N21" s="47"/>
      <c r="O21" s="12"/>
      <c r="P21" s="187"/>
      <c r="Q21" s="1"/>
      <c r="R21" s="185" t="s">
        <v>11</v>
      </c>
      <c r="S21" s="40" t="s">
        <v>23</v>
      </c>
      <c r="T21" s="103" t="s">
        <v>377</v>
      </c>
      <c r="U21" s="40" t="s">
        <v>377</v>
      </c>
      <c r="V21" s="10" t="s">
        <v>365</v>
      </c>
      <c r="W21" s="47" t="str">
        <f>+IF(X21=0,0,CONCATENATE(MID(X21,FIND("-",X21,1)+1,4),"ORAS"))</f>
        <v>15 HORAS</v>
      </c>
      <c r="X21" s="12" t="s">
        <v>352</v>
      </c>
      <c r="Y21" s="11"/>
      <c r="AA21" s="21"/>
      <c r="AB21" s="21"/>
      <c r="AC21" s="21"/>
      <c r="AD21" s="21"/>
      <c r="AE21" s="21"/>
    </row>
    <row r="22" spans="1:31" s="2" customFormat="1" ht="15.75" x14ac:dyDescent="0.25">
      <c r="A22" s="130"/>
      <c r="B22" s="103"/>
      <c r="C22" s="67"/>
      <c r="D22" s="67"/>
      <c r="E22" s="12"/>
      <c r="F22" s="67"/>
      <c r="G22" s="11"/>
      <c r="H22" s="1"/>
      <c r="I22" s="26"/>
      <c r="J22" s="47"/>
      <c r="K22" s="103"/>
      <c r="L22" s="49"/>
      <c r="M22" s="20"/>
      <c r="N22" s="47"/>
      <c r="O22" s="12"/>
      <c r="P22" s="43"/>
      <c r="Q22" s="1"/>
      <c r="R22" s="39" t="s">
        <v>12</v>
      </c>
      <c r="S22" s="40" t="s">
        <v>23</v>
      </c>
      <c r="T22" s="103" t="s">
        <v>377</v>
      </c>
      <c r="U22" s="40">
        <v>1</v>
      </c>
      <c r="V22" s="10" t="s">
        <v>365</v>
      </c>
      <c r="W22" s="47" t="str">
        <f>+IF(X22=0,0,CONCATENATE(MID(X22,FIND("-",X22,1)+1,4),"ORAS"))</f>
        <v>15 HORAS</v>
      </c>
      <c r="X22" s="12" t="s">
        <v>349</v>
      </c>
      <c r="Y22" s="11">
        <f>+IF(X22="","",VLOOKUP(X22,$H$140:$I$186,2,FALSE))</f>
        <v>239262</v>
      </c>
      <c r="AA22" s="21"/>
      <c r="AB22" s="21"/>
      <c r="AC22" s="21"/>
      <c r="AD22" s="21"/>
      <c r="AE22" s="21"/>
    </row>
    <row r="23" spans="1:31" s="2" customFormat="1" ht="15.75" x14ac:dyDescent="0.25">
      <c r="A23" s="50" t="s">
        <v>29</v>
      </c>
      <c r="B23" s="133">
        <f>+B13+B16</f>
        <v>19</v>
      </c>
      <c r="C23" s="133">
        <f>+C4+C5+C6+C7+C8+C9+C10+C16</f>
        <v>6</v>
      </c>
      <c r="D23" s="51"/>
      <c r="E23" s="131"/>
      <c r="F23" s="51"/>
      <c r="G23" s="52" t="e">
        <f>+G13+G16+G17</f>
        <v>#VALUE!</v>
      </c>
      <c r="H23" s="1"/>
      <c r="I23" s="26"/>
      <c r="J23" s="12"/>
      <c r="K23" s="103"/>
      <c r="L23" s="27"/>
      <c r="M23" s="27"/>
      <c r="N23" s="47"/>
      <c r="O23" s="12"/>
      <c r="P23" s="43"/>
      <c r="Q23" s="1"/>
      <c r="R23" s="138" t="s">
        <v>57</v>
      </c>
      <c r="S23" s="40" t="s">
        <v>23</v>
      </c>
      <c r="T23" s="103" t="s">
        <v>377</v>
      </c>
      <c r="U23" s="40" t="s">
        <v>377</v>
      </c>
      <c r="V23" s="15" t="s">
        <v>365</v>
      </c>
      <c r="W23" s="12" t="str">
        <f>+IF(X23=0,0,CONCATENATE(MID(X23,FIND("-",X23,1)+1,4),"ORAS"))</f>
        <v>15 HORAS</v>
      </c>
      <c r="X23" s="12" t="s">
        <v>352</v>
      </c>
      <c r="Y23" s="139">
        <f>+IF(X23="","",VLOOKUP(X23,$H$140:$I$186,2,FALSE))</f>
        <v>373234</v>
      </c>
      <c r="AA23" s="21"/>
      <c r="AB23" s="21"/>
      <c r="AC23" s="21"/>
      <c r="AD23" s="21"/>
      <c r="AE23" s="21"/>
    </row>
    <row r="24" spans="1:31" s="2" customFormat="1" ht="15.75" x14ac:dyDescent="0.25">
      <c r="A24" s="399" t="s">
        <v>30</v>
      </c>
      <c r="B24" s="399"/>
      <c r="C24" s="399"/>
      <c r="D24" s="399"/>
      <c r="E24" s="399"/>
      <c r="F24" s="399"/>
      <c r="G24" s="399"/>
      <c r="H24" s="1"/>
      <c r="I24" s="53"/>
      <c r="J24" s="12"/>
      <c r="K24" s="103"/>
      <c r="L24" s="27"/>
      <c r="M24" s="20"/>
      <c r="N24" s="47"/>
      <c r="O24" s="12"/>
      <c r="P24" s="54"/>
      <c r="Q24" s="1"/>
      <c r="R24" s="1"/>
      <c r="S24" s="1"/>
      <c r="T24" s="1"/>
      <c r="U24" s="1"/>
      <c r="V24" s="1"/>
      <c r="W24" s="1"/>
      <c r="X24" s="1"/>
      <c r="Y24" s="1"/>
      <c r="AA24" s="21"/>
      <c r="AB24" s="21"/>
      <c r="AC24" s="21"/>
      <c r="AD24" s="21"/>
      <c r="AE24" s="21"/>
    </row>
    <row r="25" spans="1:31" s="2" customFormat="1" ht="15.75" x14ac:dyDescent="0.25">
      <c r="A25" s="399" t="s">
        <v>1</v>
      </c>
      <c r="B25" s="399"/>
      <c r="C25" s="399"/>
      <c r="D25" s="399"/>
      <c r="E25" s="399"/>
      <c r="F25" s="399"/>
      <c r="G25" s="399"/>
      <c r="H25" s="1"/>
      <c r="I25" s="26"/>
      <c r="J25" s="55"/>
      <c r="K25" s="103"/>
      <c r="L25" s="56"/>
      <c r="M25" s="56"/>
      <c r="N25" s="12"/>
      <c r="O25" s="12"/>
      <c r="P25" s="57"/>
      <c r="Q25" s="1"/>
      <c r="R25" s="1"/>
      <c r="S25" s="1"/>
      <c r="T25" s="1"/>
      <c r="U25" s="1"/>
      <c r="V25" s="1"/>
      <c r="W25" s="1"/>
      <c r="X25" s="1"/>
      <c r="Y25" s="1"/>
      <c r="AA25" s="21"/>
      <c r="AB25" s="21"/>
      <c r="AC25" s="21"/>
      <c r="AD25" s="21"/>
      <c r="AE25" s="21"/>
    </row>
    <row r="26" spans="1:31" s="2" customFormat="1" ht="15.75" x14ac:dyDescent="0.2">
      <c r="A26" s="58" t="s">
        <v>4</v>
      </c>
      <c r="B26" s="59" t="s">
        <v>5</v>
      </c>
      <c r="C26" s="59" t="s">
        <v>6</v>
      </c>
      <c r="D26" s="59" t="s">
        <v>7</v>
      </c>
      <c r="E26" s="59" t="s">
        <v>52</v>
      </c>
      <c r="F26" s="59" t="s">
        <v>235</v>
      </c>
      <c r="G26" s="59" t="s">
        <v>8</v>
      </c>
      <c r="H26" s="1"/>
      <c r="I26" s="1"/>
      <c r="J26" s="60" t="s">
        <v>31</v>
      </c>
      <c r="K26" s="136">
        <f>+K4+K5+K18+K19+K20+K6+K7+K8+K9</f>
        <v>11</v>
      </c>
      <c r="L26" s="136">
        <f>SUM(L4:L25)</f>
        <v>6</v>
      </c>
      <c r="M26" s="60"/>
      <c r="N26" s="60"/>
      <c r="O26" s="60"/>
      <c r="P26" s="137">
        <f>SUM(P4:P24)</f>
        <v>2279368</v>
      </c>
      <c r="Q26" s="1"/>
      <c r="R26" s="1"/>
      <c r="S26" s="62" t="s">
        <v>31</v>
      </c>
      <c r="T26" s="140">
        <f>T4+T5+T6+T15+T16</f>
        <v>17</v>
      </c>
      <c r="U26" s="140">
        <f>SUM(U4:U7,U20:U23)</f>
        <v>4</v>
      </c>
      <c r="V26" s="62"/>
      <c r="W26" s="62"/>
      <c r="X26" s="62"/>
      <c r="Y26" s="63">
        <f>SUM(Y4:Y23)</f>
        <v>2758832</v>
      </c>
      <c r="AA26" s="64"/>
      <c r="AB26" s="64"/>
      <c r="AC26" s="64"/>
      <c r="AD26" s="64"/>
      <c r="AE26" s="65"/>
    </row>
    <row r="27" spans="1:31" s="2" customFormat="1" ht="15.75" x14ac:dyDescent="0.2">
      <c r="A27" s="44" t="s">
        <v>36</v>
      </c>
      <c r="B27" s="128" t="str">
        <f>+IF(F27=0,0,MID(F27,LEN(F27)-3,1))</f>
        <v>3</v>
      </c>
      <c r="C27" s="10">
        <v>1</v>
      </c>
      <c r="D27" s="10" t="s">
        <v>365</v>
      </c>
      <c r="E27" s="47" t="str">
        <f>+IF(F27=0,0,CONCATENATE(MID(F27,FIND("-",F27,1)+1,4),"ORAS"))</f>
        <v>15 HORAS</v>
      </c>
      <c r="F27" s="12" t="s">
        <v>320</v>
      </c>
      <c r="G27" s="11">
        <f>+IF(C27=0,0,IF(F27="","",VLOOKUP(F27,$H$140:$I$186,2,FALSE))*C27)</f>
        <v>514916</v>
      </c>
      <c r="H27" s="1"/>
      <c r="I27" s="1"/>
      <c r="J27" s="1"/>
      <c r="K27" s="1"/>
      <c r="L27" s="1"/>
      <c r="M27" s="1"/>
      <c r="N27" s="1"/>
      <c r="O27" s="1"/>
      <c r="P27" s="1"/>
      <c r="Q27" s="1"/>
      <c r="R27" s="1"/>
      <c r="S27" s="1"/>
      <c r="T27" s="1"/>
      <c r="U27" s="1"/>
      <c r="V27" s="1"/>
      <c r="W27" s="1"/>
      <c r="X27" s="1"/>
      <c r="Y27" s="1"/>
      <c r="AA27" s="21"/>
      <c r="AB27" s="21"/>
      <c r="AC27" s="21"/>
      <c r="AD27" s="21"/>
      <c r="AE27" s="21"/>
    </row>
    <row r="28" spans="1:31" s="2" customFormat="1" ht="20.100000000000001" customHeight="1" x14ac:dyDescent="0.2">
      <c r="A28" s="44" t="s">
        <v>32</v>
      </c>
      <c r="B28" s="102" t="str">
        <f t="shared" ref="B28:B29" si="5">+IF(F28=0,0,MID(F28,LEN(F28)-3,1))</f>
        <v>4</v>
      </c>
      <c r="C28" s="68">
        <v>1</v>
      </c>
      <c r="D28" s="20" t="s">
        <v>365</v>
      </c>
      <c r="E28" s="47" t="str">
        <f t="shared" ref="E28:E29" si="6">+IF(F28=0,0,CONCATENATE(MID(F28,FIND("-",F28,1)+1,4),"ORAS"))</f>
        <v>15 HORAS</v>
      </c>
      <c r="F28" s="12" t="s">
        <v>319</v>
      </c>
      <c r="G28" s="11">
        <f>+IF(F28="","",VLOOKUP(F28,$H$140:$I$186,2,FALSE))</f>
        <v>582964</v>
      </c>
      <c r="H28" s="1"/>
      <c r="I28" s="1"/>
      <c r="J28" s="1"/>
      <c r="K28" s="1"/>
      <c r="L28" s="1"/>
      <c r="M28" s="1"/>
      <c r="N28" s="1"/>
      <c r="O28" s="1"/>
      <c r="P28" s="1"/>
      <c r="Q28" s="1"/>
      <c r="R28" s="1"/>
      <c r="S28" s="1"/>
      <c r="T28" s="1"/>
      <c r="U28" s="1"/>
      <c r="V28" s="1"/>
      <c r="W28" s="1"/>
      <c r="X28" s="1"/>
      <c r="Y28" s="1"/>
    </row>
    <row r="29" spans="1:31" s="2" customFormat="1" ht="15.75" customHeight="1" x14ac:dyDescent="0.2">
      <c r="A29" s="44" t="s">
        <v>34</v>
      </c>
      <c r="B29" s="102" t="str">
        <f t="shared" si="5"/>
        <v>3</v>
      </c>
      <c r="C29" s="68">
        <v>1</v>
      </c>
      <c r="D29" s="20" t="s">
        <v>365</v>
      </c>
      <c r="E29" s="47" t="str">
        <f t="shared" si="6"/>
        <v>15 HORAS</v>
      </c>
      <c r="F29" s="12" t="s">
        <v>320</v>
      </c>
      <c r="G29" s="11">
        <f>+IF(F29="","",VLOOKUP(F29,$H$140:$I$186,2,FALSE))</f>
        <v>514916</v>
      </c>
      <c r="H29" s="1"/>
      <c r="I29" s="1"/>
      <c r="J29" s="1"/>
      <c r="K29" s="1"/>
      <c r="L29" s="1"/>
      <c r="M29" s="1"/>
      <c r="N29" s="1"/>
      <c r="O29" s="1"/>
      <c r="P29" s="1"/>
      <c r="Q29" s="1"/>
      <c r="R29" s="1"/>
      <c r="S29" s="1"/>
      <c r="T29" s="1"/>
      <c r="U29" s="1"/>
      <c r="V29" s="1"/>
      <c r="W29" s="1"/>
      <c r="X29" s="1"/>
      <c r="Y29" s="1"/>
    </row>
    <row r="30" spans="1:31" s="2" customFormat="1" ht="15.75" x14ac:dyDescent="0.2">
      <c r="A30" s="44"/>
      <c r="B30" s="102"/>
      <c r="C30" s="68"/>
      <c r="D30" s="20"/>
      <c r="E30" s="47"/>
      <c r="F30" s="12"/>
      <c r="G30" s="11"/>
      <c r="H30" s="1"/>
      <c r="I30" s="1"/>
      <c r="J30" s="1"/>
      <c r="K30" s="1"/>
      <c r="L30" s="1"/>
      <c r="M30" s="1"/>
      <c r="N30" s="1"/>
      <c r="O30" s="1"/>
      <c r="P30" s="1"/>
      <c r="Q30" s="1"/>
      <c r="R30" s="1"/>
      <c r="S30" s="1"/>
      <c r="T30" s="1"/>
      <c r="U30" s="1"/>
      <c r="V30" s="1"/>
      <c r="W30" s="1"/>
      <c r="X30" s="1"/>
      <c r="Y30" s="1"/>
    </row>
    <row r="31" spans="1:31" s="2" customFormat="1" ht="15.75" x14ac:dyDescent="0.2">
      <c r="A31" s="44"/>
      <c r="B31" s="102"/>
      <c r="C31" s="68"/>
      <c r="D31" s="20"/>
      <c r="E31" s="47"/>
      <c r="F31" s="67"/>
      <c r="G31" s="11"/>
      <c r="H31" s="1"/>
      <c r="I31" s="1"/>
      <c r="J31" s="1"/>
      <c r="K31" s="1"/>
      <c r="L31" s="1"/>
      <c r="M31" s="1"/>
      <c r="N31" s="1"/>
      <c r="O31" s="1"/>
      <c r="P31" s="1"/>
      <c r="Q31" s="1"/>
      <c r="R31" s="1"/>
      <c r="S31" s="1"/>
      <c r="T31" s="1"/>
      <c r="U31" s="1"/>
      <c r="V31" s="1"/>
      <c r="W31" s="1"/>
      <c r="X31" s="1"/>
      <c r="Y31" s="1"/>
    </row>
    <row r="32" spans="1:31" s="2" customFormat="1" ht="15.75" x14ac:dyDescent="0.2">
      <c r="A32" s="44"/>
      <c r="B32" s="68"/>
      <c r="C32" s="68"/>
      <c r="D32" s="20"/>
      <c r="E32" s="47"/>
      <c r="F32" s="67"/>
      <c r="G32" s="11"/>
      <c r="H32" s="1"/>
      <c r="I32" s="1"/>
      <c r="J32" s="1"/>
      <c r="K32" s="1"/>
      <c r="L32" s="1"/>
      <c r="M32" s="1"/>
      <c r="N32" s="1"/>
      <c r="O32" s="1"/>
      <c r="P32" s="1"/>
      <c r="Q32" s="1"/>
      <c r="R32" s="1"/>
      <c r="S32" s="1"/>
      <c r="T32" s="1"/>
      <c r="U32" s="1"/>
      <c r="V32" s="1"/>
      <c r="W32" s="1"/>
      <c r="X32" s="1"/>
      <c r="Y32" s="1"/>
    </row>
    <row r="33" spans="1:31" s="2" customFormat="1" ht="15.75" x14ac:dyDescent="0.2">
      <c r="A33" s="400" t="s">
        <v>22</v>
      </c>
      <c r="B33" s="400"/>
      <c r="C33" s="400"/>
      <c r="D33" s="400"/>
      <c r="E33" s="400"/>
      <c r="F33" s="400"/>
      <c r="G33" s="400"/>
      <c r="H33" s="1"/>
      <c r="I33" s="1"/>
      <c r="J33" s="1"/>
      <c r="K33" s="1"/>
      <c r="L33" s="1"/>
      <c r="M33" s="1"/>
      <c r="N33" s="1"/>
      <c r="O33" s="1"/>
      <c r="P33" s="1"/>
      <c r="Q33" s="1"/>
      <c r="R33" s="1"/>
      <c r="S33" s="1"/>
      <c r="T33" s="1"/>
      <c r="U33" s="1"/>
      <c r="V33" s="1"/>
      <c r="W33" s="1"/>
      <c r="X33" s="1"/>
      <c r="Y33" s="1"/>
    </row>
    <row r="34" spans="1:31" s="2" customFormat="1" ht="15.75" x14ac:dyDescent="0.25">
      <c r="A34" s="58" t="s">
        <v>35</v>
      </c>
      <c r="B34" s="59" t="s">
        <v>5</v>
      </c>
      <c r="C34" s="59" t="s">
        <v>6</v>
      </c>
      <c r="D34" s="59" t="s">
        <v>7</v>
      </c>
      <c r="E34" s="59"/>
      <c r="F34" s="59" t="s">
        <v>235</v>
      </c>
      <c r="G34" s="59" t="s">
        <v>8</v>
      </c>
      <c r="H34" s="1"/>
      <c r="I34" s="1"/>
      <c r="J34" s="1"/>
      <c r="K34" s="1"/>
      <c r="L34" s="1"/>
      <c r="M34" s="1"/>
      <c r="N34" s="1"/>
      <c r="O34" s="1"/>
      <c r="P34" s="1"/>
      <c r="Q34" s="1"/>
      <c r="R34" s="1"/>
      <c r="S34" s="1"/>
      <c r="T34" s="1"/>
      <c r="U34" s="1"/>
      <c r="V34" s="1"/>
      <c r="W34" s="1"/>
      <c r="X34" s="1"/>
      <c r="Y34" s="111"/>
      <c r="Z34"/>
      <c r="AA34"/>
      <c r="AB34"/>
      <c r="AC34"/>
      <c r="AD34"/>
      <c r="AE34"/>
    </row>
    <row r="35" spans="1:31" s="2" customFormat="1" ht="15.75" x14ac:dyDescent="0.25">
      <c r="A35" s="9" t="s">
        <v>37</v>
      </c>
      <c r="B35" s="102" t="str">
        <f t="shared" ref="B35:B37" si="7">+IF(F35=0,0,MID(F35,LEN(F35)-3,1))</f>
        <v>3</v>
      </c>
      <c r="C35" s="182">
        <v>1</v>
      </c>
      <c r="D35" s="20" t="s">
        <v>365</v>
      </c>
      <c r="E35" s="47" t="str">
        <f>+IF(F35=0,0,CONCATENATE(MID(F35,FIND("-",F35,1)+1,4),"ORAS"))</f>
        <v>15 HORAS</v>
      </c>
      <c r="F35" s="12" t="s">
        <v>335</v>
      </c>
      <c r="G35" s="11">
        <f>+IF(F35="","",VLOOKUP(F35,$H$140:$I$186,2,FALSE))</f>
        <v>443323</v>
      </c>
      <c r="H35" s="1"/>
      <c r="I35" s="1"/>
      <c r="J35" s="1"/>
      <c r="K35" s="1"/>
      <c r="L35" s="1"/>
      <c r="M35" s="1"/>
      <c r="N35" s="1"/>
      <c r="O35" s="1"/>
      <c r="P35" s="1"/>
      <c r="Q35" s="1"/>
      <c r="R35" s="1"/>
      <c r="S35" s="1"/>
      <c r="T35" s="1"/>
      <c r="U35" s="1"/>
      <c r="V35" s="1"/>
      <c r="W35" s="1"/>
      <c r="X35" s="1"/>
      <c r="Y35" s="111"/>
      <c r="Z35"/>
      <c r="AA35"/>
      <c r="AB35"/>
      <c r="AC35"/>
      <c r="AD35"/>
      <c r="AE35"/>
    </row>
    <row r="36" spans="1:31" s="2" customFormat="1" ht="15.75" x14ac:dyDescent="0.25">
      <c r="A36" s="44" t="s">
        <v>38</v>
      </c>
      <c r="B36" s="102" t="str">
        <f t="shared" si="7"/>
        <v>3</v>
      </c>
      <c r="C36" s="182">
        <v>1</v>
      </c>
      <c r="D36" s="20" t="s">
        <v>365</v>
      </c>
      <c r="E36" s="47" t="str">
        <f t="shared" ref="E36:E37" si="8">+IF(F36=0,0,CONCATENATE(MID(F36,FIND("-",F36,1)+1,4),"ORAS"))</f>
        <v>15 HORAS</v>
      </c>
      <c r="F36" s="12" t="s">
        <v>335</v>
      </c>
      <c r="G36" s="11">
        <f>+IF(F36="","",VLOOKUP(F36,$H$140:$I$186,2,FALSE))</f>
        <v>443323</v>
      </c>
      <c r="H36" s="1"/>
      <c r="I36" s="1"/>
      <c r="J36" s="1"/>
      <c r="K36" s="1"/>
      <c r="L36" s="1"/>
      <c r="M36" s="1"/>
      <c r="N36" s="1"/>
      <c r="O36" s="1"/>
      <c r="P36" s="1"/>
      <c r="Q36" s="1"/>
      <c r="R36" s="1"/>
      <c r="S36" s="1"/>
      <c r="T36" s="1"/>
      <c r="U36" s="1"/>
      <c r="V36" s="1"/>
      <c r="W36" s="1"/>
      <c r="X36" s="1"/>
      <c r="Y36" s="1"/>
      <c r="Z36"/>
      <c r="AA36"/>
      <c r="AB36"/>
      <c r="AC36"/>
      <c r="AD36"/>
      <c r="AE36"/>
    </row>
    <row r="37" spans="1:31" s="2" customFormat="1" ht="15.75" x14ac:dyDescent="0.25">
      <c r="A37" s="44" t="s">
        <v>33</v>
      </c>
      <c r="B37" s="102" t="str">
        <f t="shared" si="7"/>
        <v>3</v>
      </c>
      <c r="C37" s="182">
        <v>1</v>
      </c>
      <c r="D37" s="20" t="s">
        <v>365</v>
      </c>
      <c r="E37" s="47" t="str">
        <f t="shared" si="8"/>
        <v>15 HORAS</v>
      </c>
      <c r="F37" s="12" t="s">
        <v>335</v>
      </c>
      <c r="G37" s="11">
        <f>+IF(F37="","",VLOOKUP(F37,$H$140:$I$186,2,FALSE))</f>
        <v>443323</v>
      </c>
      <c r="H37" s="1"/>
      <c r="I37" s="1"/>
      <c r="J37" s="1"/>
      <c r="K37" s="1"/>
      <c r="L37" s="1"/>
      <c r="M37" s="1"/>
      <c r="N37" s="1"/>
      <c r="O37" s="1"/>
      <c r="P37" s="1"/>
      <c r="Q37" s="1"/>
      <c r="R37" s="1"/>
      <c r="S37" s="1"/>
      <c r="T37" s="1"/>
      <c r="U37" s="1"/>
      <c r="V37" s="1"/>
      <c r="W37" s="1"/>
      <c r="X37" s="1"/>
      <c r="Y37" s="1"/>
      <c r="Z37"/>
      <c r="AA37"/>
      <c r="AB37"/>
      <c r="AC37"/>
      <c r="AD37"/>
      <c r="AE37"/>
    </row>
    <row r="38" spans="1:31" s="2" customFormat="1" ht="15.75" x14ac:dyDescent="0.25">
      <c r="A38" s="44"/>
      <c r="B38" s="102"/>
      <c r="C38" s="182"/>
      <c r="D38" s="20"/>
      <c r="E38" s="47"/>
      <c r="F38" s="12"/>
      <c r="G38" s="11" t="str">
        <f>+IF(F38="","",VLOOKUP(F38,$H$140:$I$186,2,FALSE))</f>
        <v/>
      </c>
      <c r="H38" s="1"/>
      <c r="I38" s="1"/>
      <c r="J38" s="1"/>
      <c r="K38" s="1"/>
      <c r="L38" s="1"/>
      <c r="M38" s="1"/>
      <c r="N38" s="1"/>
      <c r="O38" s="1"/>
      <c r="P38" s="1"/>
      <c r="Q38" s="1"/>
      <c r="R38" s="1"/>
      <c r="S38" s="1"/>
      <c r="T38" s="1"/>
      <c r="U38" s="1"/>
      <c r="V38" s="1"/>
      <c r="W38" s="1"/>
      <c r="X38" s="1"/>
      <c r="Y38" s="1"/>
      <c r="Z38"/>
      <c r="AA38"/>
      <c r="AB38"/>
      <c r="AC38"/>
      <c r="AD38"/>
      <c r="AE38"/>
    </row>
    <row r="39" spans="1:31" s="2" customFormat="1" ht="15.75" x14ac:dyDescent="0.25">
      <c r="A39" s="32"/>
      <c r="B39" s="102"/>
      <c r="C39" s="182"/>
      <c r="D39" s="20"/>
      <c r="E39" s="47"/>
      <c r="F39" s="12"/>
      <c r="G39" s="11" t="str">
        <f>+IF(F39="","",VLOOKUP(F39,$H$140:$I$186,2,FALSE))</f>
        <v/>
      </c>
      <c r="H39" s="1"/>
      <c r="I39" s="1"/>
      <c r="J39" s="1"/>
      <c r="K39" s="1"/>
      <c r="L39" s="1"/>
      <c r="M39" s="1"/>
      <c r="N39" s="1"/>
      <c r="O39" s="1"/>
      <c r="P39" s="1"/>
      <c r="Q39" s="1"/>
      <c r="R39" s="1"/>
      <c r="S39" s="1"/>
      <c r="T39" s="1"/>
      <c r="U39" s="1"/>
      <c r="V39" s="1"/>
      <c r="W39" s="1"/>
      <c r="X39" s="1"/>
      <c r="Y39" s="1"/>
      <c r="Z39"/>
      <c r="AA39"/>
      <c r="AB39"/>
      <c r="AC39"/>
      <c r="AD39"/>
      <c r="AE39"/>
    </row>
    <row r="40" spans="1:31" s="2" customFormat="1" ht="15.75" x14ac:dyDescent="0.25">
      <c r="A40" s="32"/>
      <c r="B40" s="103"/>
      <c r="C40" s="66"/>
      <c r="D40" s="28"/>
      <c r="E40" s="47"/>
      <c r="F40" s="67"/>
      <c r="G40" s="11"/>
      <c r="H40" s="1"/>
      <c r="I40" s="1"/>
      <c r="J40" s="1"/>
      <c r="K40" s="1"/>
      <c r="L40" s="1"/>
      <c r="M40" s="1"/>
      <c r="N40" s="1"/>
      <c r="O40" s="1"/>
      <c r="P40" s="1"/>
      <c r="Q40" s="1"/>
      <c r="R40" s="1"/>
      <c r="S40" s="1"/>
      <c r="T40" s="1"/>
      <c r="U40" s="1"/>
      <c r="V40" s="1"/>
      <c r="W40" s="1"/>
      <c r="X40" s="1"/>
      <c r="Y40" s="1"/>
      <c r="Z40"/>
      <c r="AA40"/>
      <c r="AB40"/>
      <c r="AC40"/>
      <c r="AD40"/>
      <c r="AE40"/>
    </row>
    <row r="41" spans="1:31" s="2" customFormat="1" ht="15.75" x14ac:dyDescent="0.25">
      <c r="A41" s="50" t="s">
        <v>29</v>
      </c>
      <c r="B41" s="133">
        <f>+B27+B28+B29+B35+B36+B37+B38+B39</f>
        <v>19</v>
      </c>
      <c r="C41" s="51">
        <f>SUM(C27:C32)+C35+C36+C37+C38+C39+C40</f>
        <v>6</v>
      </c>
      <c r="D41" s="51"/>
      <c r="E41" s="47">
        <f t="shared" ref="E41" si="9">+IF(F41=0,0,CONCATENATE(MID(F41,FIND("-",F41,1)+1,3),"ORAS"))</f>
        <v>0</v>
      </c>
      <c r="F41" s="51"/>
      <c r="G41" s="52" t="e">
        <f>+G27+G28+G29+G30+G31+G32+G35+G36+G37+G38+G39</f>
        <v>#VALUE!</v>
      </c>
      <c r="H41" s="1"/>
      <c r="I41" s="1"/>
      <c r="J41" s="1"/>
      <c r="K41" s="1"/>
      <c r="L41" s="1"/>
      <c r="M41" s="1"/>
      <c r="N41" s="1"/>
      <c r="O41" s="1"/>
      <c r="P41" s="1"/>
      <c r="Q41" s="1"/>
      <c r="R41" s="1"/>
      <c r="S41" s="1"/>
      <c r="T41" s="1"/>
      <c r="U41" s="1"/>
      <c r="V41" s="1"/>
      <c r="W41" s="1"/>
      <c r="X41" s="1"/>
      <c r="Y41" s="1"/>
      <c r="Z41"/>
      <c r="AA41"/>
      <c r="AB41"/>
      <c r="AC41"/>
      <c r="AD41"/>
      <c r="AE41"/>
    </row>
    <row r="42" spans="1:31" s="2" customFormat="1" ht="15.75" x14ac:dyDescent="0.25">
      <c r="A42" s="401" t="s">
        <v>40</v>
      </c>
      <c r="B42" s="401"/>
      <c r="C42" s="401"/>
      <c r="D42" s="401"/>
      <c r="E42" s="401"/>
      <c r="F42" s="401"/>
      <c r="G42" s="401"/>
      <c r="H42" s="1"/>
      <c r="I42" s="1"/>
      <c r="J42" s="1"/>
      <c r="K42" s="1"/>
      <c r="L42" s="1"/>
      <c r="M42" s="1"/>
      <c r="N42" s="1"/>
      <c r="O42" s="1"/>
      <c r="P42" s="1"/>
      <c r="Q42" s="1"/>
      <c r="R42" s="1"/>
      <c r="S42" s="1"/>
      <c r="T42" s="1"/>
      <c r="U42" s="1"/>
      <c r="V42" s="1"/>
      <c r="W42" s="1"/>
      <c r="X42" s="1"/>
      <c r="Y42" s="1"/>
      <c r="Z42"/>
      <c r="AA42"/>
      <c r="AB42"/>
      <c r="AC42"/>
      <c r="AD42"/>
      <c r="AE42"/>
    </row>
    <row r="43" spans="1:31" s="2" customFormat="1" ht="15.75" x14ac:dyDescent="0.25">
      <c r="A43" s="401" t="s">
        <v>1</v>
      </c>
      <c r="B43" s="401"/>
      <c r="C43" s="401"/>
      <c r="D43" s="401"/>
      <c r="E43" s="401"/>
      <c r="F43" s="401"/>
      <c r="G43" s="401"/>
      <c r="H43" s="1"/>
      <c r="I43" s="1"/>
      <c r="J43" s="1"/>
      <c r="K43" s="1"/>
      <c r="L43" s="1"/>
      <c r="M43" s="1"/>
      <c r="N43" s="1"/>
      <c r="O43" s="1"/>
      <c r="P43" s="1"/>
      <c r="Q43" s="1"/>
      <c r="R43" s="1"/>
      <c r="S43" s="1"/>
      <c r="T43" s="1"/>
      <c r="U43" s="1"/>
      <c r="V43" s="1"/>
      <c r="W43" s="1"/>
      <c r="X43" s="1"/>
      <c r="Y43" s="1"/>
      <c r="Z43"/>
      <c r="AA43"/>
      <c r="AB43"/>
      <c r="AC43"/>
      <c r="AD43"/>
      <c r="AE43"/>
    </row>
    <row r="44" spans="1:31" s="2" customFormat="1" ht="15.75" x14ac:dyDescent="0.25">
      <c r="A44" s="74" t="s">
        <v>4</v>
      </c>
      <c r="B44" s="75" t="s">
        <v>5</v>
      </c>
      <c r="C44" s="75" t="s">
        <v>6</v>
      </c>
      <c r="D44" s="75" t="s">
        <v>7</v>
      </c>
      <c r="E44" s="75" t="s">
        <v>52</v>
      </c>
      <c r="F44" s="75" t="s">
        <v>235</v>
      </c>
      <c r="G44" s="75" t="s">
        <v>8</v>
      </c>
      <c r="H44" s="1"/>
      <c r="I44" s="1"/>
      <c r="J44" s="1"/>
      <c r="K44" s="1"/>
      <c r="L44" s="1"/>
      <c r="M44" s="1"/>
      <c r="N44" s="1"/>
      <c r="O44" s="1"/>
      <c r="P44" s="1"/>
      <c r="Q44" s="1"/>
      <c r="R44" s="1"/>
      <c r="S44" s="1"/>
      <c r="T44" s="1"/>
      <c r="U44" s="1"/>
      <c r="V44" s="1"/>
      <c r="W44" s="1"/>
      <c r="X44" s="1"/>
      <c r="Y44" s="1"/>
      <c r="Z44"/>
      <c r="AA44"/>
      <c r="AB44"/>
      <c r="AC44"/>
      <c r="AD44"/>
      <c r="AE44"/>
    </row>
    <row r="45" spans="1:31" s="2" customFormat="1" ht="15.75" x14ac:dyDescent="0.25">
      <c r="A45" s="76"/>
      <c r="B45" s="77"/>
      <c r="C45" s="77"/>
      <c r="D45" s="78"/>
      <c r="E45" s="78"/>
      <c r="F45" s="78"/>
      <c r="G45" s="79"/>
      <c r="H45" s="1"/>
      <c r="I45" s="1"/>
      <c r="J45" s="1"/>
      <c r="K45" s="1"/>
      <c r="L45" s="1"/>
      <c r="M45" s="1"/>
      <c r="N45" s="1"/>
      <c r="O45" s="1"/>
      <c r="P45" s="1"/>
      <c r="Q45" s="1"/>
      <c r="R45" s="1"/>
      <c r="S45" s="1"/>
      <c r="T45" s="1"/>
      <c r="U45" s="1"/>
      <c r="V45" s="1"/>
      <c r="W45" s="1"/>
      <c r="X45" s="1"/>
      <c r="Y45" s="1"/>
      <c r="Z45"/>
      <c r="AA45"/>
      <c r="AB45"/>
      <c r="AC45"/>
      <c r="AD45"/>
      <c r="AE45"/>
    </row>
    <row r="46" spans="1:31" s="2" customFormat="1" ht="1.5" customHeight="1" x14ac:dyDescent="0.25">
      <c r="A46" s="76"/>
      <c r="B46" s="77"/>
      <c r="C46" s="77"/>
      <c r="D46" s="77"/>
      <c r="E46" s="77"/>
      <c r="F46" s="77"/>
      <c r="G46" s="77"/>
      <c r="H46" s="1"/>
      <c r="I46" s="1"/>
      <c r="J46" s="1"/>
      <c r="K46" s="1"/>
      <c r="L46" s="1"/>
      <c r="M46" s="1"/>
      <c r="N46" s="1"/>
      <c r="O46" s="1"/>
      <c r="P46" s="1"/>
      <c r="Q46" s="1"/>
      <c r="R46" s="1"/>
      <c r="S46" s="1"/>
      <c r="T46" s="1"/>
      <c r="U46" s="1"/>
      <c r="V46" s="1"/>
      <c r="W46" s="1"/>
      <c r="X46" s="1"/>
      <c r="Y46" s="1"/>
      <c r="Z46"/>
      <c r="AA46"/>
      <c r="AB46"/>
      <c r="AC46"/>
      <c r="AD46"/>
      <c r="AE46"/>
    </row>
    <row r="47" spans="1:31" s="2" customFormat="1" ht="15.75" x14ac:dyDescent="0.25">
      <c r="A47" s="69"/>
      <c r="B47" s="103"/>
      <c r="C47" s="182"/>
      <c r="D47" s="20"/>
      <c r="E47" s="47"/>
      <c r="F47" s="67"/>
      <c r="G47" s="67"/>
      <c r="H47" s="1"/>
      <c r="I47" s="1"/>
      <c r="J47" s="402"/>
      <c r="K47" s="402"/>
      <c r="L47" s="402"/>
      <c r="M47" s="402"/>
      <c r="N47" s="402"/>
      <c r="O47" s="402"/>
      <c r="P47" s="402"/>
      <c r="Q47" s="1"/>
      <c r="R47" s="1"/>
      <c r="S47" s="1"/>
      <c r="T47" s="1"/>
      <c r="U47" s="1"/>
      <c r="V47" s="1"/>
      <c r="W47" s="1"/>
      <c r="X47" s="1"/>
      <c r="Y47" s="1"/>
      <c r="Z47"/>
      <c r="AA47"/>
      <c r="AB47"/>
      <c r="AC47"/>
      <c r="AD47"/>
      <c r="AE47"/>
    </row>
    <row r="48" spans="1:31" s="2" customFormat="1" ht="15.75" x14ac:dyDescent="0.25">
      <c r="A48" s="80"/>
      <c r="B48" s="103"/>
      <c r="C48" s="67"/>
      <c r="D48" s="67"/>
      <c r="E48" s="47"/>
      <c r="F48" s="67"/>
      <c r="G48" s="67"/>
      <c r="H48" s="1"/>
      <c r="I48" s="1"/>
      <c r="J48" s="402"/>
      <c r="K48" s="402"/>
      <c r="L48" s="402"/>
      <c r="M48" s="402"/>
      <c r="N48" s="402"/>
      <c r="O48" s="402"/>
      <c r="P48" s="402"/>
      <c r="Q48" s="1"/>
      <c r="R48" s="1"/>
      <c r="S48" s="1"/>
      <c r="T48" s="1"/>
      <c r="U48" s="1"/>
      <c r="V48" s="1"/>
      <c r="W48" s="1"/>
      <c r="X48" s="1"/>
      <c r="Y48" s="1"/>
      <c r="Z48"/>
      <c r="AA48"/>
      <c r="AB48"/>
      <c r="AC48"/>
      <c r="AD48"/>
      <c r="AE48"/>
    </row>
    <row r="49" spans="1:31" s="2" customFormat="1" ht="15.75" x14ac:dyDescent="0.25">
      <c r="A49" s="80"/>
      <c r="B49" s="103"/>
      <c r="C49" s="67"/>
      <c r="D49" s="67"/>
      <c r="E49" s="47"/>
      <c r="F49" s="67"/>
      <c r="G49" s="67"/>
      <c r="H49" s="1"/>
      <c r="I49" s="1"/>
      <c r="J49" s="402"/>
      <c r="K49" s="402"/>
      <c r="L49" s="402"/>
      <c r="M49" s="402"/>
      <c r="N49" s="402"/>
      <c r="O49" s="402"/>
      <c r="P49" s="402"/>
      <c r="Q49" s="1"/>
      <c r="R49" s="1"/>
      <c r="S49" s="1"/>
      <c r="T49" s="1"/>
      <c r="U49" s="1"/>
      <c r="V49" s="1"/>
      <c r="W49" s="1"/>
      <c r="X49" s="1"/>
      <c r="Y49" s="1"/>
      <c r="Z49"/>
      <c r="AA49"/>
      <c r="AB49"/>
      <c r="AC49"/>
      <c r="AD49"/>
      <c r="AE49"/>
    </row>
    <row r="50" spans="1:31" s="2" customFormat="1" ht="15.75" x14ac:dyDescent="0.25">
      <c r="A50" s="80"/>
      <c r="B50" s="103"/>
      <c r="C50" s="67"/>
      <c r="D50" s="67"/>
      <c r="E50" s="47"/>
      <c r="F50" s="67"/>
      <c r="G50" s="67"/>
      <c r="H50" s="1"/>
      <c r="I50" s="1"/>
      <c r="J50" s="402"/>
      <c r="K50" s="402"/>
      <c r="L50" s="402"/>
      <c r="M50" s="402"/>
      <c r="N50" s="402"/>
      <c r="O50" s="402"/>
      <c r="P50" s="402"/>
      <c r="Q50" s="1"/>
      <c r="R50" s="1"/>
      <c r="S50" s="1"/>
      <c r="T50" s="1"/>
      <c r="U50" s="1"/>
      <c r="V50" s="1"/>
      <c r="W50" s="1"/>
      <c r="X50" s="1"/>
      <c r="Y50" s="1"/>
      <c r="Z50"/>
      <c r="AA50"/>
      <c r="AB50"/>
      <c r="AC50"/>
      <c r="AD50"/>
      <c r="AE50"/>
    </row>
    <row r="51" spans="1:31" s="2" customFormat="1" ht="15.75" x14ac:dyDescent="0.25">
      <c r="A51" s="80"/>
      <c r="B51" s="67"/>
      <c r="C51" s="67"/>
      <c r="D51" s="67"/>
      <c r="E51" s="47"/>
      <c r="F51" s="67"/>
      <c r="G51" s="67"/>
      <c r="H51" s="1"/>
      <c r="I51" s="1"/>
      <c r="J51" s="402"/>
      <c r="K51" s="402"/>
      <c r="L51" s="402"/>
      <c r="M51" s="402"/>
      <c r="N51" s="402"/>
      <c r="O51" s="402"/>
      <c r="P51" s="402"/>
      <c r="Q51" s="1"/>
      <c r="R51" s="1"/>
      <c r="S51" s="1"/>
      <c r="T51" s="1"/>
      <c r="U51" s="1"/>
      <c r="V51" s="1"/>
      <c r="W51" s="1"/>
      <c r="X51" s="1"/>
      <c r="Y51" s="1"/>
      <c r="Z51"/>
      <c r="AA51"/>
      <c r="AB51"/>
      <c r="AC51"/>
      <c r="AD51"/>
      <c r="AE51"/>
    </row>
    <row r="52" spans="1:31" s="2" customFormat="1" ht="15.75" x14ac:dyDescent="0.25">
      <c r="A52" s="80"/>
      <c r="B52" s="67"/>
      <c r="C52" s="67"/>
      <c r="D52" s="67"/>
      <c r="E52" s="47"/>
      <c r="F52" s="67"/>
      <c r="G52" s="67"/>
      <c r="H52" s="1"/>
      <c r="I52" s="1"/>
      <c r="J52" s="402"/>
      <c r="K52" s="402"/>
      <c r="L52" s="402"/>
      <c r="M52" s="402"/>
      <c r="N52" s="402"/>
      <c r="O52" s="402"/>
      <c r="P52" s="402"/>
      <c r="Q52" s="1"/>
      <c r="R52" s="1"/>
      <c r="S52" s="1"/>
      <c r="T52" s="1"/>
      <c r="U52" s="1"/>
      <c r="V52" s="1"/>
      <c r="W52" s="1"/>
      <c r="X52" s="1"/>
      <c r="Y52" s="1"/>
      <c r="Z52"/>
      <c r="AA52"/>
      <c r="AB52"/>
      <c r="AC52"/>
      <c r="AD52"/>
      <c r="AE52"/>
    </row>
    <row r="53" spans="1:31" s="2" customFormat="1" ht="15.75" x14ac:dyDescent="0.25">
      <c r="A53" s="403" t="s">
        <v>22</v>
      </c>
      <c r="B53" s="403"/>
      <c r="C53" s="403"/>
      <c r="D53" s="403"/>
      <c r="E53" s="403"/>
      <c r="F53" s="403"/>
      <c r="G53" s="403"/>
      <c r="H53" s="1"/>
      <c r="I53" s="1"/>
      <c r="J53" s="402"/>
      <c r="K53" s="402"/>
      <c r="L53" s="402"/>
      <c r="M53" s="402"/>
      <c r="N53" s="402"/>
      <c r="O53" s="402"/>
      <c r="P53" s="402"/>
      <c r="Q53" s="1"/>
      <c r="R53" s="1"/>
      <c r="S53" s="1"/>
      <c r="T53" s="1"/>
      <c r="U53" s="1"/>
      <c r="V53" s="1"/>
      <c r="W53" s="1"/>
      <c r="X53" s="1"/>
      <c r="Y53" s="1"/>
      <c r="Z53"/>
      <c r="AA53"/>
      <c r="AB53"/>
      <c r="AC53"/>
      <c r="AD53"/>
      <c r="AE53"/>
    </row>
    <row r="54" spans="1:31" s="2" customFormat="1" ht="15.75" x14ac:dyDescent="0.25">
      <c r="A54" s="74" t="s">
        <v>4</v>
      </c>
      <c r="B54" s="75" t="s">
        <v>5</v>
      </c>
      <c r="C54" s="75" t="s">
        <v>6</v>
      </c>
      <c r="D54" s="75" t="s">
        <v>7</v>
      </c>
      <c r="E54" s="75" t="s">
        <v>52</v>
      </c>
      <c r="F54" s="75" t="s">
        <v>235</v>
      </c>
      <c r="G54" s="75" t="s">
        <v>8</v>
      </c>
      <c r="H54" s="1"/>
      <c r="I54" s="1"/>
      <c r="J54" s="402"/>
      <c r="K54" s="402"/>
      <c r="L54" s="402"/>
      <c r="M54" s="402"/>
      <c r="N54" s="402"/>
      <c r="O54" s="402"/>
      <c r="P54" s="402"/>
      <c r="Q54" s="1"/>
      <c r="R54" s="1"/>
      <c r="S54" s="1"/>
      <c r="T54" s="1"/>
      <c r="U54" s="1"/>
      <c r="V54" s="1"/>
      <c r="W54" s="1"/>
      <c r="X54" s="1"/>
      <c r="Y54" s="1"/>
      <c r="Z54"/>
      <c r="AA54"/>
      <c r="AB54"/>
      <c r="AC54"/>
      <c r="AD54"/>
      <c r="AE54"/>
    </row>
    <row r="55" spans="1:31" s="2" customFormat="1" ht="15.75" x14ac:dyDescent="0.25">
      <c r="A55" s="25" t="s">
        <v>372</v>
      </c>
      <c r="B55" s="103" t="str">
        <f t="shared" ref="B55:B56" si="10">+IF(F55=0,0,MID(F55,LEN(F55)-3,1))</f>
        <v>3</v>
      </c>
      <c r="C55" s="182">
        <v>1</v>
      </c>
      <c r="D55" s="20" t="s">
        <v>365</v>
      </c>
      <c r="E55" s="47" t="str">
        <f t="shared" ref="E55:E56" si="11">+IF(F55=0,0,CONCATENATE(MID(F55,FIND("-",F55,1)+1,4),"ORAS"))</f>
        <v>15 HORAS</v>
      </c>
      <c r="F55" s="12" t="s">
        <v>335</v>
      </c>
      <c r="G55" s="11">
        <f t="shared" ref="G55:G64" si="12">+IF(F55="","",VLOOKUP(F55,$H$140:$I$186,2,FALSE))</f>
        <v>443323</v>
      </c>
      <c r="H55" s="1"/>
      <c r="I55" s="1"/>
      <c r="J55" s="402"/>
      <c r="K55" s="402"/>
      <c r="L55" s="402"/>
      <c r="M55" s="402"/>
      <c r="N55" s="402"/>
      <c r="O55" s="402"/>
      <c r="P55" s="402"/>
      <c r="Q55" s="1"/>
      <c r="R55" s="1"/>
      <c r="S55" s="1"/>
      <c r="T55" s="1"/>
      <c r="U55" s="1"/>
      <c r="V55" s="1"/>
      <c r="W55" s="1"/>
      <c r="X55" s="1"/>
      <c r="Y55" s="1"/>
      <c r="Z55"/>
      <c r="AA55"/>
      <c r="AB55"/>
      <c r="AC55"/>
      <c r="AD55"/>
      <c r="AE55"/>
    </row>
    <row r="56" spans="1:31" s="2" customFormat="1" ht="15.75" x14ac:dyDescent="0.25">
      <c r="A56" s="25" t="s">
        <v>373</v>
      </c>
      <c r="B56" s="103" t="str">
        <f t="shared" si="10"/>
        <v>3</v>
      </c>
      <c r="C56" s="182">
        <v>1</v>
      </c>
      <c r="D56" s="20" t="s">
        <v>365</v>
      </c>
      <c r="E56" s="47" t="str">
        <f t="shared" si="11"/>
        <v>15 HORAS</v>
      </c>
      <c r="F56" s="12" t="s">
        <v>335</v>
      </c>
      <c r="G56" s="11">
        <f t="shared" si="12"/>
        <v>443323</v>
      </c>
      <c r="H56" s="1"/>
      <c r="I56" s="1"/>
      <c r="J56" s="402"/>
      <c r="K56" s="402"/>
      <c r="L56" s="402"/>
      <c r="M56" s="402"/>
      <c r="N56" s="402"/>
      <c r="O56" s="402"/>
      <c r="P56" s="402"/>
      <c r="Q56" s="1"/>
      <c r="R56" s="1"/>
      <c r="S56" s="1"/>
      <c r="T56" s="1"/>
      <c r="U56" s="1"/>
      <c r="V56" s="1"/>
      <c r="W56" s="1"/>
      <c r="X56" s="1"/>
      <c r="Y56" s="1"/>
      <c r="Z56"/>
      <c r="AA56"/>
      <c r="AB56"/>
      <c r="AC56"/>
      <c r="AD56"/>
      <c r="AE56"/>
    </row>
    <row r="57" spans="1:31" s="2" customFormat="1" ht="15.75" x14ac:dyDescent="0.25">
      <c r="A57" s="69"/>
      <c r="B57" s="103"/>
      <c r="C57" s="182"/>
      <c r="D57" s="20"/>
      <c r="E57" s="47"/>
      <c r="F57" s="12"/>
      <c r="G57" s="11" t="str">
        <f t="shared" si="12"/>
        <v/>
      </c>
      <c r="H57" s="1"/>
      <c r="I57" s="1"/>
      <c r="J57" s="402"/>
      <c r="K57" s="402"/>
      <c r="L57" s="402"/>
      <c r="M57" s="402"/>
      <c r="N57" s="402"/>
      <c r="O57" s="402"/>
      <c r="P57" s="402"/>
      <c r="Q57" s="1"/>
      <c r="R57" s="1"/>
      <c r="S57" s="1"/>
      <c r="T57" s="1"/>
      <c r="U57" s="1"/>
      <c r="V57" s="1"/>
      <c r="W57" s="1"/>
      <c r="X57" s="1"/>
      <c r="Y57" s="1"/>
      <c r="Z57"/>
      <c r="AA57"/>
      <c r="AB57"/>
      <c r="AC57"/>
      <c r="AD57"/>
      <c r="AE57"/>
    </row>
    <row r="58" spans="1:31" s="2" customFormat="1" ht="15.75" x14ac:dyDescent="0.25">
      <c r="A58" s="69"/>
      <c r="B58" s="103"/>
      <c r="C58" s="182"/>
      <c r="D58" s="20"/>
      <c r="E58" s="47"/>
      <c r="F58" s="12"/>
      <c r="G58" s="11" t="str">
        <f t="shared" si="12"/>
        <v/>
      </c>
      <c r="H58" s="1"/>
      <c r="I58" s="1"/>
      <c r="J58" s="402"/>
      <c r="K58" s="402"/>
      <c r="L58" s="402"/>
      <c r="M58" s="402"/>
      <c r="N58" s="402"/>
      <c r="O58" s="402"/>
      <c r="P58" s="402"/>
      <c r="Q58" s="1"/>
      <c r="R58" s="1"/>
      <c r="S58" s="1"/>
      <c r="T58" s="1"/>
      <c r="U58" s="1"/>
      <c r="V58" s="1"/>
      <c r="W58" s="1"/>
      <c r="X58" s="1"/>
      <c r="Y58" s="1"/>
      <c r="Z58"/>
      <c r="AA58"/>
      <c r="AB58"/>
      <c r="AC58"/>
      <c r="AD58"/>
      <c r="AE58"/>
    </row>
    <row r="59" spans="1:31" s="2" customFormat="1" ht="15.75" x14ac:dyDescent="0.25">
      <c r="A59" s="134"/>
      <c r="B59" s="103"/>
      <c r="C59" s="182"/>
      <c r="D59" s="20"/>
      <c r="E59" s="47"/>
      <c r="F59" s="12"/>
      <c r="G59" s="11" t="str">
        <f t="shared" si="12"/>
        <v/>
      </c>
      <c r="H59" s="1"/>
      <c r="I59" s="1"/>
      <c r="J59" s="402"/>
      <c r="K59" s="402"/>
      <c r="L59" s="402"/>
      <c r="M59" s="402"/>
      <c r="N59" s="402"/>
      <c r="O59" s="402"/>
      <c r="P59" s="402"/>
      <c r="Q59" s="1"/>
      <c r="R59" s="1"/>
      <c r="S59" s="1"/>
      <c r="T59" s="1"/>
      <c r="U59" s="1"/>
      <c r="V59" s="1"/>
      <c r="W59" s="1"/>
      <c r="X59" s="1"/>
      <c r="Y59" s="1"/>
      <c r="Z59"/>
      <c r="AA59"/>
      <c r="AB59"/>
      <c r="AC59"/>
      <c r="AD59"/>
      <c r="AE59"/>
    </row>
    <row r="60" spans="1:31" s="2" customFormat="1" ht="15.75" x14ac:dyDescent="0.25">
      <c r="A60" s="134"/>
      <c r="B60" s="103"/>
      <c r="C60" s="182"/>
      <c r="D60" s="20"/>
      <c r="E60" s="47"/>
      <c r="F60" s="12"/>
      <c r="G60" s="11" t="str">
        <f t="shared" si="12"/>
        <v/>
      </c>
      <c r="H60" s="1"/>
      <c r="I60" s="1"/>
      <c r="J60" s="402"/>
      <c r="K60" s="402"/>
      <c r="L60" s="402"/>
      <c r="M60" s="402"/>
      <c r="N60" s="402"/>
      <c r="O60" s="402"/>
      <c r="P60" s="402"/>
      <c r="Q60" s="1"/>
      <c r="R60" s="1"/>
      <c r="S60" s="1"/>
      <c r="T60" s="1"/>
      <c r="U60" s="1"/>
      <c r="V60" s="1"/>
      <c r="W60" s="1"/>
      <c r="X60" s="1"/>
      <c r="Y60" s="1"/>
      <c r="Z60"/>
      <c r="AA60"/>
      <c r="AB60"/>
      <c r="AC60"/>
      <c r="AD60"/>
      <c r="AE60"/>
    </row>
    <row r="61" spans="1:31" s="2" customFormat="1" ht="15.75" x14ac:dyDescent="0.25">
      <c r="A61" s="134"/>
      <c r="B61" s="103"/>
      <c r="C61" s="182"/>
      <c r="D61" s="20"/>
      <c r="E61" s="47"/>
      <c r="F61" s="12"/>
      <c r="G61" s="11" t="str">
        <f t="shared" si="12"/>
        <v/>
      </c>
      <c r="H61" s="1"/>
      <c r="I61" s="1"/>
      <c r="J61" s="402"/>
      <c r="K61" s="402"/>
      <c r="L61" s="402"/>
      <c r="M61" s="402"/>
      <c r="N61" s="402"/>
      <c r="O61" s="402"/>
      <c r="P61" s="402"/>
      <c r="Q61" s="1"/>
      <c r="R61" s="1"/>
      <c r="S61" s="1"/>
      <c r="T61" s="1"/>
      <c r="U61" s="1"/>
      <c r="V61" s="1"/>
      <c r="W61" s="1"/>
      <c r="X61" s="1"/>
      <c r="Y61" s="1"/>
      <c r="Z61"/>
      <c r="AA61"/>
      <c r="AB61"/>
      <c r="AC61"/>
      <c r="AD61"/>
      <c r="AE61"/>
    </row>
    <row r="62" spans="1:31" s="2" customFormat="1" ht="15.75" x14ac:dyDescent="0.25">
      <c r="A62" s="134"/>
      <c r="B62" s="103"/>
      <c r="C62" s="182"/>
      <c r="D62" s="20"/>
      <c r="E62" s="47"/>
      <c r="F62" s="12"/>
      <c r="G62" s="11" t="str">
        <f t="shared" si="12"/>
        <v/>
      </c>
      <c r="H62" s="1"/>
      <c r="I62" s="1"/>
      <c r="J62" s="402"/>
      <c r="K62" s="402"/>
      <c r="L62" s="402"/>
      <c r="M62" s="402"/>
      <c r="N62" s="402"/>
      <c r="O62" s="402"/>
      <c r="P62" s="402"/>
      <c r="Q62" s="1"/>
      <c r="R62" s="1"/>
      <c r="S62" s="1"/>
      <c r="T62" s="1"/>
      <c r="U62" s="1"/>
      <c r="V62" s="1"/>
      <c r="W62" s="1"/>
      <c r="X62" s="1"/>
      <c r="Y62" s="1"/>
      <c r="Z62"/>
      <c r="AA62"/>
      <c r="AB62"/>
      <c r="AC62"/>
      <c r="AD62"/>
      <c r="AE62"/>
    </row>
    <row r="63" spans="1:31" s="2" customFormat="1" ht="15.75" x14ac:dyDescent="0.25">
      <c r="A63" s="25"/>
      <c r="B63" s="103"/>
      <c r="C63" s="182"/>
      <c r="D63" s="20"/>
      <c r="E63" s="47"/>
      <c r="F63" s="12"/>
      <c r="G63" s="11" t="str">
        <f t="shared" si="12"/>
        <v/>
      </c>
      <c r="H63" s="1"/>
      <c r="I63" s="1"/>
      <c r="J63" s="402"/>
      <c r="K63" s="402"/>
      <c r="L63" s="402"/>
      <c r="M63" s="402"/>
      <c r="N63" s="402"/>
      <c r="O63" s="402"/>
      <c r="P63" s="402"/>
      <c r="Q63" s="1"/>
      <c r="R63" s="1"/>
      <c r="S63" s="1"/>
      <c r="T63" s="1"/>
      <c r="U63" s="1"/>
      <c r="V63" s="1"/>
      <c r="W63" s="1"/>
      <c r="X63" s="1"/>
      <c r="Y63" s="1"/>
      <c r="Z63"/>
      <c r="AA63"/>
      <c r="AB63"/>
      <c r="AC63"/>
      <c r="AD63"/>
      <c r="AE63"/>
    </row>
    <row r="64" spans="1:31" s="2" customFormat="1" ht="15.75" x14ac:dyDescent="0.25">
      <c r="A64" s="25"/>
      <c r="B64" s="103"/>
      <c r="C64" s="182"/>
      <c r="D64" s="20"/>
      <c r="E64" s="47"/>
      <c r="F64" s="12"/>
      <c r="G64" s="11" t="str">
        <f t="shared" si="12"/>
        <v/>
      </c>
      <c r="H64" s="1"/>
      <c r="I64" s="1"/>
      <c r="J64" s="402"/>
      <c r="K64" s="402"/>
      <c r="L64" s="402"/>
      <c r="M64" s="402"/>
      <c r="N64" s="402"/>
      <c r="O64" s="402"/>
      <c r="P64" s="402"/>
      <c r="Q64" s="1"/>
      <c r="R64" s="1"/>
      <c r="S64" s="1"/>
      <c r="T64" s="1"/>
      <c r="U64" s="1"/>
      <c r="V64" s="1"/>
      <c r="W64" s="1"/>
      <c r="X64" s="1"/>
      <c r="Y64" s="1"/>
      <c r="Z64"/>
      <c r="AA64"/>
      <c r="AB64"/>
      <c r="AC64"/>
      <c r="AD64"/>
      <c r="AE64"/>
    </row>
    <row r="65" spans="1:31" s="2" customFormat="1" ht="15.75" x14ac:dyDescent="0.25">
      <c r="A65" s="80"/>
      <c r="B65" s="103"/>
      <c r="C65" s="182"/>
      <c r="D65" s="135"/>
      <c r="E65" s="12"/>
      <c r="F65" s="12"/>
      <c r="G65" s="11"/>
      <c r="H65" s="1"/>
      <c r="I65" s="1"/>
      <c r="J65" s="402"/>
      <c r="K65" s="402"/>
      <c r="L65" s="402"/>
      <c r="M65" s="402"/>
      <c r="N65" s="402"/>
      <c r="O65" s="402"/>
      <c r="P65" s="402"/>
      <c r="Q65" s="1"/>
      <c r="R65" s="1"/>
      <c r="S65" s="1"/>
      <c r="T65" s="1"/>
      <c r="U65" s="1"/>
      <c r="V65" s="1"/>
      <c r="W65" s="1"/>
      <c r="X65" s="1"/>
      <c r="Y65" s="1"/>
      <c r="Z65"/>
      <c r="AA65"/>
      <c r="AB65"/>
      <c r="AC65"/>
      <c r="AD65"/>
      <c r="AE65"/>
    </row>
    <row r="66" spans="1:31" s="2" customFormat="1" ht="15.75" x14ac:dyDescent="0.2">
      <c r="A66" s="80" t="s">
        <v>29</v>
      </c>
      <c r="B66" s="51">
        <f>+B55+B56+B57+B58+B59+B65+B60+B61+B62+B63+B64+B47+B48+B49+B50+B51+B52</f>
        <v>6</v>
      </c>
      <c r="C66" s="51">
        <f>C60+C61+C62+C63+C64+C47+C48+C49+C50+C51+C55+C56+C57+C58+C59+C65</f>
        <v>2</v>
      </c>
      <c r="D66" s="51"/>
      <c r="E66" s="125"/>
      <c r="F66" s="51"/>
      <c r="G66" s="52" t="e">
        <f>+G55+G56+G57+G58+G59+G60+G61+G62+G63+G64</f>
        <v>#VALUE!</v>
      </c>
      <c r="H66" s="1"/>
      <c r="I66" s="1"/>
      <c r="J66" s="402"/>
      <c r="K66" s="402"/>
      <c r="L66" s="402"/>
      <c r="M66" s="402"/>
      <c r="N66" s="402"/>
      <c r="O66" s="402"/>
      <c r="P66" s="402"/>
      <c r="Q66" s="1"/>
      <c r="R66" s="1"/>
      <c r="S66" s="1"/>
      <c r="T66" s="1"/>
      <c r="U66" s="1"/>
      <c r="V66" s="1"/>
      <c r="W66" s="1"/>
      <c r="X66" s="1"/>
      <c r="Y66" s="1"/>
    </row>
    <row r="67" spans="1:31" s="2" customFormat="1" x14ac:dyDescent="0.2">
      <c r="A67" s="1"/>
      <c r="B67" s="1"/>
      <c r="C67" s="1"/>
      <c r="D67" s="1"/>
      <c r="E67" s="1"/>
      <c r="F67" s="1"/>
      <c r="G67" s="1"/>
      <c r="H67" s="1"/>
      <c r="I67" s="1"/>
      <c r="J67" s="1"/>
      <c r="K67" s="1"/>
      <c r="L67" s="1"/>
      <c r="M67" s="1"/>
      <c r="N67" s="1"/>
      <c r="O67" s="1"/>
      <c r="P67" s="1"/>
      <c r="Q67" s="1"/>
      <c r="R67" s="1"/>
      <c r="S67" s="1"/>
      <c r="T67" s="1"/>
      <c r="U67" s="1"/>
      <c r="V67" s="1"/>
      <c r="W67" s="1"/>
      <c r="X67" s="1"/>
      <c r="Y67" s="1"/>
    </row>
    <row r="68" spans="1:31" s="2" customFormat="1" x14ac:dyDescent="0.2">
      <c r="A68" s="62" t="s">
        <v>31</v>
      </c>
      <c r="B68" s="143">
        <f>B66+B41+B23</f>
        <v>44</v>
      </c>
      <c r="C68" s="143">
        <f>C66+C41+C23</f>
        <v>14</v>
      </c>
      <c r="D68" s="62">
        <f>D66+D41+D23</f>
        <v>0</v>
      </c>
      <c r="E68" s="1"/>
      <c r="F68" s="1"/>
      <c r="G68" s="52" t="e">
        <f>G66+G41+G23</f>
        <v>#VALUE!</v>
      </c>
      <c r="H68" s="1"/>
      <c r="I68" s="1"/>
      <c r="J68" s="1"/>
      <c r="K68" s="1"/>
      <c r="L68" s="1"/>
      <c r="M68" s="1"/>
      <c r="N68" s="1"/>
      <c r="O68" s="1"/>
      <c r="P68" s="1"/>
      <c r="Q68" s="1"/>
      <c r="R68" s="1"/>
      <c r="S68" s="1"/>
      <c r="T68" s="1"/>
      <c r="U68" s="1"/>
      <c r="V68" s="1"/>
      <c r="W68" s="1"/>
      <c r="X68" s="1"/>
      <c r="Y68" s="1"/>
    </row>
    <row r="69" spans="1:31" s="2" customFormat="1" ht="15.75" x14ac:dyDescent="0.25">
      <c r="A69" s="1"/>
      <c r="B69" s="1"/>
      <c r="C69" s="1"/>
      <c r="D69" s="1"/>
      <c r="E69" s="1"/>
      <c r="F69" s="1"/>
      <c r="G69" s="1"/>
      <c r="H69" s="1"/>
      <c r="I69" s="167"/>
      <c r="J69" s="81" t="s">
        <v>378</v>
      </c>
      <c r="K69" s="144">
        <f>K26+B68+T26+AB26</f>
        <v>72</v>
      </c>
      <c r="L69" s="82"/>
      <c r="M69" s="83"/>
      <c r="N69" s="83"/>
      <c r="O69" s="83"/>
      <c r="P69" s="83"/>
      <c r="Q69" s="1"/>
      <c r="R69" s="1"/>
      <c r="S69" s="1"/>
      <c r="T69" s="1"/>
      <c r="U69" s="1"/>
      <c r="V69" s="1"/>
      <c r="W69" s="1"/>
      <c r="X69" s="1"/>
      <c r="Y69" s="1"/>
    </row>
    <row r="70" spans="1:31" s="2" customFormat="1" ht="15.75" x14ac:dyDescent="0.25">
      <c r="A70" s="1"/>
      <c r="B70" s="1"/>
      <c r="C70" s="1"/>
      <c r="D70" s="1"/>
      <c r="E70" s="1"/>
      <c r="F70" s="1"/>
      <c r="G70" s="1"/>
      <c r="H70" s="1"/>
      <c r="I70" s="1"/>
      <c r="J70" s="81" t="s">
        <v>47</v>
      </c>
      <c r="K70" s="145">
        <f>L26+C68+U26+AC26</f>
        <v>24</v>
      </c>
      <c r="L70" s="1"/>
      <c r="M70" s="84" t="s">
        <v>0</v>
      </c>
      <c r="N70" s="84" t="s">
        <v>30</v>
      </c>
      <c r="O70" s="84" t="s">
        <v>40</v>
      </c>
      <c r="P70" s="85"/>
      <c r="R70" s="107"/>
      <c r="T70" s="1"/>
      <c r="U70" s="1"/>
      <c r="V70" s="1"/>
      <c r="W70" s="1"/>
      <c r="X70" s="1"/>
      <c r="Y70" s="1"/>
    </row>
    <row r="71" spans="1:31" s="2" customFormat="1" ht="27" hidden="1" customHeight="1" thickBot="1" x14ac:dyDescent="0.3">
      <c r="A71" s="1"/>
      <c r="B71" s="1"/>
      <c r="C71" s="1"/>
      <c r="D71" s="1"/>
      <c r="E71" s="1"/>
      <c r="F71" s="1"/>
      <c r="G71" s="1"/>
      <c r="H71" s="1"/>
      <c r="I71" s="1"/>
      <c r="J71" s="86" t="s">
        <v>48</v>
      </c>
      <c r="K71" s="379" t="e">
        <f>G68+P26+Y26</f>
        <v>#VALUE!</v>
      </c>
      <c r="L71" s="380"/>
      <c r="M71" s="98" t="e">
        <f>G23+P18+Y20</f>
        <v>#VALUE!</v>
      </c>
      <c r="N71" s="142" t="e">
        <f>G41+P4+P5+Y4+Y5+Y6+Y7+Y15+Y16+Y22</f>
        <v>#VALUE!</v>
      </c>
      <c r="O71" s="98" t="e">
        <f>G66+Y23</f>
        <v>#VALUE!</v>
      </c>
      <c r="P71" s="109" t="e">
        <f>SUM(M71:O71)</f>
        <v>#VALUE!</v>
      </c>
      <c r="R71" s="108"/>
      <c r="S71" s="99"/>
      <c r="T71" s="1"/>
      <c r="U71" s="1"/>
      <c r="V71" s="1"/>
      <c r="W71" s="1"/>
      <c r="X71" s="1"/>
      <c r="Y71" s="1"/>
    </row>
    <row r="72" spans="1:31" s="2" customFormat="1" ht="13.5" thickBot="1" x14ac:dyDescent="0.25"/>
    <row r="73" spans="1:31" s="2" customFormat="1" ht="36" customHeight="1" thickBot="1" x14ac:dyDescent="0.25">
      <c r="A73" s="408" t="s">
        <v>379</v>
      </c>
      <c r="B73" s="409"/>
      <c r="C73" s="409"/>
      <c r="D73" s="409"/>
      <c r="E73" s="409"/>
      <c r="F73" s="409"/>
      <c r="G73" s="409"/>
      <c r="H73" s="409"/>
      <c r="I73" s="409"/>
      <c r="J73" s="409"/>
      <c r="K73" s="409"/>
      <c r="L73" s="409"/>
      <c r="M73" s="409"/>
      <c r="N73" s="409"/>
      <c r="O73" s="409"/>
      <c r="P73" s="409"/>
      <c r="Q73" s="409"/>
      <c r="R73" s="409"/>
      <c r="S73" s="409"/>
      <c r="T73" s="409"/>
      <c r="U73" s="409"/>
      <c r="V73" s="409"/>
      <c r="W73" s="409"/>
      <c r="X73" s="409"/>
      <c r="Y73" s="409"/>
      <c r="Z73" s="409"/>
      <c r="AA73" s="409"/>
      <c r="AB73" s="409"/>
      <c r="AC73" s="409"/>
      <c r="AD73" s="409"/>
      <c r="AE73" s="410"/>
    </row>
    <row r="74" spans="1:31" s="2" customFormat="1" ht="286.5" customHeight="1" x14ac:dyDescent="0.2">
      <c r="A74" s="406" t="s">
        <v>449</v>
      </c>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s="2" customFormat="1" ht="222.7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s="2" customFormat="1" ht="109.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s="2" customFormat="1" ht="148.5"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s="2" customFormat="1" ht="90"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s="2" customFormat="1" ht="156"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s="2" customFormat="1" ht="258" customHeight="1" x14ac:dyDescent="0.2">
      <c r="A80" s="406"/>
      <c r="B80" s="407"/>
      <c r="C80" s="407"/>
      <c r="D80" s="407"/>
      <c r="E80" s="407"/>
      <c r="F80" s="407"/>
      <c r="G80" s="407"/>
      <c r="H80" s="407"/>
      <c r="I80" s="407"/>
      <c r="J80" s="407"/>
      <c r="K80" s="407"/>
      <c r="L80" s="407"/>
      <c r="M80" s="407"/>
      <c r="N80" s="407"/>
      <c r="O80" s="407"/>
      <c r="P80" s="407"/>
      <c r="Q80" s="407"/>
      <c r="R80" s="407"/>
      <c r="S80" s="407"/>
      <c r="T80" s="407"/>
      <c r="U80" s="407"/>
      <c r="V80" s="407"/>
      <c r="W80" s="407"/>
      <c r="X80" s="407"/>
      <c r="Y80" s="407"/>
      <c r="Z80" s="407"/>
      <c r="AA80" s="407"/>
      <c r="AB80" s="407"/>
      <c r="AC80" s="407"/>
      <c r="AD80" s="407"/>
      <c r="AE80" s="407"/>
    </row>
    <row r="81" spans="1:31" s="2" customFormat="1" ht="18.75" x14ac:dyDescent="0.2">
      <c r="S81" s="87"/>
      <c r="T81" s="88"/>
      <c r="U81" s="87"/>
    </row>
    <row r="82" spans="1:31" s="2" customFormat="1" ht="18.75" x14ac:dyDescent="0.25">
      <c r="S82" s="87"/>
      <c r="T82" s="88"/>
      <c r="U82" s="87"/>
      <c r="V82"/>
      <c r="W82"/>
      <c r="X82"/>
      <c r="Y82"/>
      <c r="Z82"/>
      <c r="AA82"/>
      <c r="AB82"/>
      <c r="AC82"/>
      <c r="AD82"/>
      <c r="AE82"/>
    </row>
    <row r="83" spans="1:31" s="2" customFormat="1" ht="18.75" x14ac:dyDescent="0.25">
      <c r="A83" s="389"/>
      <c r="S83" s="87"/>
      <c r="T83" s="88"/>
      <c r="U83" s="87"/>
      <c r="V83"/>
      <c r="W83"/>
      <c r="X83"/>
      <c r="Y83"/>
      <c r="Z83"/>
      <c r="AA83"/>
      <c r="AB83"/>
      <c r="AC83"/>
      <c r="AD83"/>
      <c r="AE83"/>
    </row>
    <row r="84" spans="1:31" s="2" customFormat="1" ht="18.75" x14ac:dyDescent="0.25">
      <c r="A84" s="389"/>
      <c r="S84" s="87"/>
      <c r="T84" s="88"/>
      <c r="U84" s="87"/>
      <c r="V84"/>
      <c r="W84"/>
      <c r="X84"/>
      <c r="Y84"/>
      <c r="Z84"/>
      <c r="AA84"/>
      <c r="AB84"/>
      <c r="AC84"/>
      <c r="AD84"/>
      <c r="AE84"/>
    </row>
    <row r="85" spans="1:31" s="2" customFormat="1" ht="18.75" x14ac:dyDescent="0.25">
      <c r="A85" s="389"/>
      <c r="S85" s="87"/>
      <c r="T85" s="88"/>
      <c r="U85" s="87"/>
      <c r="V85"/>
      <c r="W85"/>
      <c r="X85"/>
      <c r="Y85"/>
      <c r="Z85"/>
      <c r="AA85"/>
      <c r="AB85"/>
      <c r="AC85"/>
      <c r="AD85"/>
      <c r="AE85"/>
    </row>
    <row r="86" spans="1:31" s="2" customFormat="1" ht="18.75" x14ac:dyDescent="0.25">
      <c r="A86" s="89"/>
      <c r="S86" s="87"/>
      <c r="T86" s="88"/>
      <c r="U86" s="87"/>
      <c r="V86"/>
      <c r="W86"/>
      <c r="X86"/>
      <c r="Y86"/>
      <c r="Z86"/>
      <c r="AA86"/>
      <c r="AB86"/>
      <c r="AC86"/>
      <c r="AD86"/>
      <c r="AE86"/>
    </row>
    <row r="87" spans="1:31" s="2" customFormat="1" ht="18.75" x14ac:dyDescent="0.25">
      <c r="A87" s="89"/>
      <c r="S87" s="87"/>
      <c r="T87" s="88"/>
      <c r="U87" s="87"/>
      <c r="V87"/>
      <c r="W87"/>
      <c r="X87"/>
      <c r="Y87"/>
      <c r="Z87"/>
      <c r="AA87"/>
      <c r="AB87"/>
      <c r="AC87"/>
      <c r="AD87"/>
      <c r="AE87"/>
    </row>
    <row r="88" spans="1:31" s="2" customFormat="1" ht="18.75" x14ac:dyDescent="0.25">
      <c r="A88" s="90"/>
      <c r="S88" s="87"/>
      <c r="T88" s="88"/>
      <c r="U88" s="87"/>
      <c r="V88"/>
      <c r="W88"/>
      <c r="X88"/>
      <c r="Y88"/>
      <c r="Z88"/>
      <c r="AA88"/>
      <c r="AB88"/>
      <c r="AC88"/>
      <c r="AD88"/>
      <c r="AE88"/>
    </row>
    <row r="89" spans="1:31" s="2" customFormat="1" ht="18.75" x14ac:dyDescent="0.25">
      <c r="A89" s="389" t="s">
        <v>50</v>
      </c>
      <c r="B89" s="391"/>
      <c r="S89" s="87"/>
      <c r="T89" s="88"/>
      <c r="U89" s="87"/>
      <c r="V89"/>
      <c r="W89"/>
      <c r="X89"/>
      <c r="Y89"/>
      <c r="Z89"/>
      <c r="AA89"/>
      <c r="AB89"/>
      <c r="AC89"/>
      <c r="AD89"/>
      <c r="AE89"/>
    </row>
    <row r="90" spans="1:31" s="2" customFormat="1" ht="18.75" x14ac:dyDescent="0.25">
      <c r="A90" s="390"/>
      <c r="B90" s="391"/>
      <c r="S90" s="87"/>
      <c r="T90" s="88"/>
      <c r="U90" s="87"/>
      <c r="V90"/>
      <c r="W90"/>
      <c r="X90"/>
      <c r="Y90"/>
      <c r="Z90"/>
      <c r="AA90"/>
      <c r="AB90"/>
      <c r="AC90"/>
      <c r="AD90"/>
      <c r="AE90"/>
    </row>
    <row r="91" spans="1:31" s="2" customFormat="1" ht="18.75" x14ac:dyDescent="0.25">
      <c r="A91" s="390"/>
      <c r="B91" s="391"/>
      <c r="S91" s="87"/>
      <c r="T91" s="88"/>
      <c r="U91" s="87"/>
      <c r="V91"/>
      <c r="W91"/>
      <c r="X91"/>
      <c r="Y91"/>
      <c r="Z91"/>
      <c r="AA91"/>
      <c r="AB91"/>
      <c r="AC91"/>
      <c r="AD91"/>
      <c r="AE91"/>
    </row>
    <row r="92" spans="1:31" s="2" customFormat="1" ht="18.75" x14ac:dyDescent="0.25">
      <c r="A92" s="89"/>
      <c r="B92" s="91"/>
      <c r="S92" s="87"/>
      <c r="T92" s="88"/>
      <c r="U92" s="87"/>
      <c r="V92"/>
      <c r="W92"/>
      <c r="X92"/>
      <c r="Y92"/>
      <c r="Z92"/>
      <c r="AA92"/>
      <c r="AB92"/>
      <c r="AC92"/>
      <c r="AD92"/>
      <c r="AE92"/>
    </row>
    <row r="93" spans="1:31" s="2" customFormat="1" ht="12.75" customHeight="1" x14ac:dyDescent="0.25">
      <c r="A93" s="92"/>
      <c r="V93"/>
      <c r="W93"/>
      <c r="X93"/>
      <c r="Y93"/>
      <c r="Z93"/>
      <c r="AA93"/>
      <c r="AB93"/>
      <c r="AC93"/>
      <c r="AD93"/>
      <c r="AE93"/>
    </row>
    <row r="94" spans="1:31" s="2" customFormat="1" ht="12.75" customHeight="1" x14ac:dyDescent="0.25">
      <c r="A94" s="385" t="s">
        <v>51</v>
      </c>
      <c r="V94"/>
      <c r="W94"/>
      <c r="X94"/>
      <c r="Y94"/>
      <c r="Z94"/>
      <c r="AA94"/>
      <c r="AB94"/>
      <c r="AC94"/>
      <c r="AD94"/>
      <c r="AE94"/>
    </row>
    <row r="95" spans="1:31" s="2" customFormat="1" ht="12.75" customHeight="1" x14ac:dyDescent="0.25">
      <c r="A95" s="386"/>
      <c r="V95"/>
      <c r="W95"/>
      <c r="X95"/>
      <c r="Y95"/>
      <c r="Z95"/>
      <c r="AA95"/>
      <c r="AB95"/>
      <c r="AC95"/>
      <c r="AD95"/>
      <c r="AE95"/>
    </row>
    <row r="96" spans="1:31" s="2" customFormat="1" ht="12.75" customHeight="1" x14ac:dyDescent="0.25">
      <c r="A96" s="386"/>
      <c r="V96"/>
      <c r="W96"/>
      <c r="X96"/>
      <c r="Y96"/>
      <c r="Z96"/>
      <c r="AA96"/>
      <c r="AB96"/>
      <c r="AC96"/>
      <c r="AD96"/>
      <c r="AE96"/>
    </row>
    <row r="97" spans="1:31" s="2" customFormat="1" ht="249.75" customHeight="1" x14ac:dyDescent="0.25">
      <c r="A97" s="93"/>
      <c r="V97"/>
      <c r="W97"/>
      <c r="X97"/>
      <c r="Y97"/>
      <c r="Z97"/>
      <c r="AA97"/>
      <c r="AB97"/>
      <c r="AC97"/>
      <c r="AD97"/>
      <c r="AE97"/>
    </row>
    <row r="98" spans="1:31" s="2" customFormat="1" x14ac:dyDescent="0.25">
      <c r="A98" s="94"/>
      <c r="B98"/>
      <c r="C98"/>
      <c r="D98"/>
      <c r="E98"/>
      <c r="F98"/>
      <c r="G98"/>
      <c r="H98"/>
      <c r="I98"/>
      <c r="J98"/>
      <c r="K98"/>
      <c r="L98"/>
      <c r="M98"/>
      <c r="N98"/>
      <c r="O98"/>
      <c r="P98"/>
      <c r="Q98"/>
      <c r="R98"/>
      <c r="S98"/>
      <c r="T98"/>
      <c r="U98"/>
      <c r="V98"/>
      <c r="W98"/>
      <c r="X98"/>
      <c r="Y98"/>
      <c r="Z98"/>
      <c r="AA98"/>
      <c r="AB98"/>
      <c r="AC98"/>
      <c r="AD98"/>
      <c r="AE98"/>
    </row>
    <row r="99" spans="1:31" s="2" customFormat="1" x14ac:dyDescent="0.25">
      <c r="A99" s="94"/>
      <c r="B99"/>
      <c r="C99"/>
      <c r="D99"/>
      <c r="E99"/>
      <c r="F99"/>
      <c r="G99"/>
      <c r="H99"/>
      <c r="I99"/>
      <c r="J99"/>
      <c r="K99"/>
      <c r="L99"/>
      <c r="M99"/>
      <c r="N99"/>
      <c r="O99"/>
      <c r="P99"/>
      <c r="Q99"/>
      <c r="R99"/>
      <c r="S99"/>
      <c r="T99"/>
      <c r="U99"/>
      <c r="V99"/>
      <c r="W99"/>
      <c r="X99"/>
      <c r="Y99"/>
      <c r="Z99"/>
      <c r="AA99"/>
      <c r="AB99"/>
      <c r="AC99"/>
      <c r="AD99"/>
      <c r="AE99"/>
    </row>
    <row r="100" spans="1:31" s="2" customFormat="1" x14ac:dyDescent="0.25">
      <c r="A100" s="94"/>
      <c r="B100"/>
      <c r="C100"/>
      <c r="D100"/>
      <c r="E100"/>
      <c r="F100"/>
      <c r="G100"/>
      <c r="H100"/>
      <c r="I100"/>
      <c r="J100"/>
      <c r="K100"/>
      <c r="L100"/>
      <c r="M100"/>
      <c r="N100"/>
      <c r="O100"/>
      <c r="P100"/>
      <c r="Q100"/>
      <c r="R100"/>
      <c r="S100"/>
      <c r="T100"/>
      <c r="U100"/>
      <c r="V100"/>
      <c r="W100"/>
      <c r="X100"/>
      <c r="Y100"/>
      <c r="Z100"/>
      <c r="AA100"/>
      <c r="AB100"/>
      <c r="AC100"/>
      <c r="AD100"/>
      <c r="AE100"/>
    </row>
    <row r="101" spans="1:31" s="2" customFormat="1" x14ac:dyDescent="0.25">
      <c r="A101" s="94"/>
      <c r="B101"/>
      <c r="C101"/>
      <c r="D101"/>
      <c r="E101"/>
      <c r="F101"/>
      <c r="G101"/>
      <c r="H101"/>
      <c r="I101"/>
      <c r="J101"/>
      <c r="K101"/>
      <c r="L101"/>
      <c r="M101"/>
      <c r="N101"/>
      <c r="O101"/>
      <c r="P101"/>
      <c r="Q101"/>
      <c r="R101"/>
      <c r="S101"/>
      <c r="T101"/>
      <c r="U101"/>
      <c r="V101"/>
      <c r="W101"/>
      <c r="X101"/>
      <c r="Y101"/>
      <c r="Z101"/>
      <c r="AA101"/>
      <c r="AB101"/>
      <c r="AC101"/>
      <c r="AD101"/>
      <c r="AE101"/>
    </row>
    <row r="102" spans="1:31" s="2" customFormat="1" x14ac:dyDescent="0.25">
      <c r="A102" s="94"/>
      <c r="B102"/>
      <c r="C102"/>
      <c r="D102"/>
      <c r="E102"/>
      <c r="F102"/>
      <c r="G102"/>
      <c r="H102"/>
      <c r="I102"/>
      <c r="J102"/>
      <c r="K102"/>
      <c r="L102"/>
      <c r="M102"/>
      <c r="N102"/>
      <c r="O102"/>
      <c r="P102"/>
      <c r="Q102"/>
      <c r="R102"/>
      <c r="S102"/>
      <c r="T102"/>
      <c r="U102"/>
      <c r="V102"/>
      <c r="W102"/>
      <c r="X102"/>
      <c r="Y102"/>
      <c r="Z102"/>
      <c r="AA102"/>
      <c r="AB102"/>
      <c r="AC102"/>
      <c r="AD102"/>
      <c r="AE102"/>
    </row>
    <row r="103" spans="1:31" s="2" customFormat="1" x14ac:dyDescent="0.25">
      <c r="A103" s="94"/>
      <c r="B103"/>
      <c r="C103"/>
      <c r="D103"/>
      <c r="E103"/>
      <c r="F103"/>
      <c r="G103"/>
      <c r="H103"/>
      <c r="I103"/>
      <c r="J103"/>
      <c r="K103"/>
      <c r="L103"/>
      <c r="M103"/>
      <c r="N103"/>
      <c r="O103"/>
      <c r="P103"/>
      <c r="Q103"/>
      <c r="R103"/>
      <c r="S103"/>
      <c r="T103"/>
      <c r="U103"/>
      <c r="V103"/>
      <c r="W103"/>
      <c r="X103"/>
      <c r="Y103"/>
      <c r="Z103"/>
      <c r="AA103"/>
      <c r="AB103"/>
      <c r="AC103"/>
      <c r="AD103"/>
      <c r="AE103"/>
    </row>
    <row r="104" spans="1:31" s="2" customFormat="1" x14ac:dyDescent="0.25">
      <c r="A104" s="94"/>
      <c r="B104"/>
      <c r="C104"/>
      <c r="D104"/>
      <c r="E104"/>
      <c r="F104"/>
      <c r="G104"/>
      <c r="H104"/>
      <c r="I104"/>
      <c r="J104"/>
      <c r="K104"/>
      <c r="L104"/>
      <c r="M104"/>
      <c r="N104"/>
      <c r="O104"/>
      <c r="P104"/>
      <c r="Q104"/>
      <c r="R104"/>
      <c r="S104"/>
      <c r="T104"/>
      <c r="U104"/>
      <c r="V104"/>
      <c r="W104"/>
      <c r="X104"/>
      <c r="Y104"/>
      <c r="Z104"/>
      <c r="AA104"/>
      <c r="AB104"/>
      <c r="AC104"/>
      <c r="AD104"/>
      <c r="AE104"/>
    </row>
    <row r="139" spans="1:31" s="2" customFormat="1" x14ac:dyDescent="0.25">
      <c r="A139"/>
      <c r="B139"/>
      <c r="C139"/>
      <c r="D139"/>
      <c r="E139"/>
      <c r="J139" s="2" t="s">
        <v>234</v>
      </c>
      <c r="K139" s="2" t="s">
        <v>148</v>
      </c>
      <c r="O139"/>
      <c r="P139"/>
      <c r="Q139"/>
      <c r="R139"/>
      <c r="S139"/>
      <c r="T139"/>
      <c r="U139"/>
      <c r="V139"/>
      <c r="W139"/>
      <c r="X139"/>
      <c r="Y139"/>
      <c r="Z139"/>
      <c r="AA139"/>
      <c r="AB139"/>
      <c r="AC139"/>
      <c r="AD139"/>
      <c r="AE139"/>
    </row>
    <row r="140" spans="1:31" s="114" customFormat="1" ht="12.75" hidden="1" x14ac:dyDescent="0.2">
      <c r="F140" s="114">
        <v>0</v>
      </c>
      <c r="G140" s="114">
        <v>0</v>
      </c>
      <c r="H140" s="114">
        <v>0</v>
      </c>
      <c r="I140" s="114">
        <v>0</v>
      </c>
      <c r="J140" s="114">
        <v>0</v>
      </c>
      <c r="K140" s="114">
        <v>0</v>
      </c>
      <c r="L140" s="114">
        <v>0</v>
      </c>
      <c r="M140" s="114">
        <v>0</v>
      </c>
      <c r="N140" s="114" t="str">
        <f>+CONCATENATE(G140,"VEHICULO",M140)</f>
        <v>0VEHICULO0</v>
      </c>
    </row>
    <row r="141" spans="1:31" s="114" customFormat="1" ht="12.75" hidden="1" x14ac:dyDescent="0.2">
      <c r="F141" s="114" t="s">
        <v>280</v>
      </c>
      <c r="G141" s="114" t="s">
        <v>150</v>
      </c>
      <c r="H141" s="114" t="s">
        <v>319</v>
      </c>
      <c r="I141" s="115">
        <v>582964</v>
      </c>
      <c r="J141" s="115" t="s">
        <v>144</v>
      </c>
      <c r="K141" s="126">
        <v>4</v>
      </c>
      <c r="L141" s="114" t="s">
        <v>258</v>
      </c>
      <c r="M141" s="114" t="s">
        <v>149</v>
      </c>
      <c r="N141" s="114" t="str">
        <f t="shared" ref="N141:N181" si="13">+CONCATENATE(G141,F141)</f>
        <v>1.40m³-15H-4OP</v>
      </c>
    </row>
    <row r="142" spans="1:31" s="114" customFormat="1" ht="12.75" hidden="1" x14ac:dyDescent="0.2">
      <c r="F142" s="114" t="s">
        <v>281</v>
      </c>
      <c r="G142" s="114" t="s">
        <v>151</v>
      </c>
      <c r="H142" s="114" t="s">
        <v>320</v>
      </c>
      <c r="I142" s="115">
        <v>514916</v>
      </c>
      <c r="J142" s="115" t="s">
        <v>144</v>
      </c>
      <c r="K142" s="126">
        <v>3</v>
      </c>
      <c r="L142" s="114" t="s">
        <v>259</v>
      </c>
      <c r="M142" s="114" t="s">
        <v>149</v>
      </c>
      <c r="N142" s="114" t="str">
        <f t="shared" si="13"/>
        <v>2.40m³-15H-3OP</v>
      </c>
    </row>
    <row r="143" spans="1:31" s="114" customFormat="1" ht="12.75" hidden="1" x14ac:dyDescent="0.2">
      <c r="F143" s="114" t="s">
        <v>282</v>
      </c>
      <c r="G143" s="114" t="s">
        <v>152</v>
      </c>
      <c r="H143" s="114" t="s">
        <v>321</v>
      </c>
      <c r="I143" s="115">
        <v>448638</v>
      </c>
      <c r="J143" s="115" t="s">
        <v>144</v>
      </c>
      <c r="K143" s="126">
        <v>2</v>
      </c>
      <c r="L143" s="114" t="s">
        <v>260</v>
      </c>
      <c r="M143" s="114" t="s">
        <v>149</v>
      </c>
      <c r="N143" s="114" t="str">
        <f t="shared" si="13"/>
        <v>3.40m³-15H-2OP</v>
      </c>
    </row>
    <row r="144" spans="1:31" s="114" customFormat="1" ht="12.75" hidden="1" x14ac:dyDescent="0.2">
      <c r="F144" s="114" t="s">
        <v>283</v>
      </c>
      <c r="G144" s="114" t="s">
        <v>153</v>
      </c>
      <c r="H144" s="114" t="s">
        <v>322</v>
      </c>
      <c r="I144" s="115">
        <v>381163</v>
      </c>
      <c r="J144" s="115" t="s">
        <v>144</v>
      </c>
      <c r="K144" s="126">
        <v>1</v>
      </c>
      <c r="L144" s="114" t="s">
        <v>261</v>
      </c>
      <c r="M144" s="114" t="s">
        <v>149</v>
      </c>
      <c r="N144" s="114" t="str">
        <f t="shared" si="13"/>
        <v>4.40m³-15H-1OP</v>
      </c>
    </row>
    <row r="145" spans="6:14" s="114" customFormat="1" ht="12.75" hidden="1" x14ac:dyDescent="0.2">
      <c r="F145" s="114" t="s">
        <v>284</v>
      </c>
      <c r="G145" s="114" t="s">
        <v>154</v>
      </c>
      <c r="H145" s="114" t="s">
        <v>323</v>
      </c>
      <c r="I145" s="115">
        <v>321680</v>
      </c>
      <c r="J145" s="115" t="s">
        <v>144</v>
      </c>
      <c r="K145" s="126">
        <v>0</v>
      </c>
      <c r="L145" s="114" t="s">
        <v>262</v>
      </c>
      <c r="M145" s="114" t="s">
        <v>149</v>
      </c>
      <c r="N145" s="114" t="str">
        <f t="shared" si="13"/>
        <v>5.40m³-15H-0OP</v>
      </c>
    </row>
    <row r="146" spans="6:14" s="114" customFormat="1" ht="12.75" hidden="1" x14ac:dyDescent="0.2">
      <c r="F146" s="114" t="s">
        <v>285</v>
      </c>
      <c r="G146" s="114" t="s">
        <v>155</v>
      </c>
      <c r="H146" s="114" t="s">
        <v>324</v>
      </c>
      <c r="I146" s="115">
        <v>509192</v>
      </c>
      <c r="J146" s="115" t="s">
        <v>146</v>
      </c>
      <c r="K146" s="126">
        <v>4</v>
      </c>
      <c r="L146" s="114" t="s">
        <v>107</v>
      </c>
      <c r="M146" s="114" t="s">
        <v>149</v>
      </c>
      <c r="N146" s="114" t="str">
        <f>+CONCATENATE(G146,F146)</f>
        <v>6.40m³-9H-4OP</v>
      </c>
    </row>
    <row r="147" spans="6:14" s="114" customFormat="1" ht="12.75" hidden="1" x14ac:dyDescent="0.2">
      <c r="F147" s="114" t="s">
        <v>286</v>
      </c>
      <c r="G147" s="114" t="s">
        <v>156</v>
      </c>
      <c r="H147" s="114" t="s">
        <v>325</v>
      </c>
      <c r="I147" s="115">
        <v>450204</v>
      </c>
      <c r="J147" s="115" t="s">
        <v>146</v>
      </c>
      <c r="K147" s="126">
        <v>3</v>
      </c>
      <c r="L147" s="114" t="s">
        <v>108</v>
      </c>
      <c r="M147" s="114" t="s">
        <v>149</v>
      </c>
      <c r="N147" s="114" t="str">
        <f t="shared" si="13"/>
        <v>7.40m³-9H-3OP</v>
      </c>
    </row>
    <row r="148" spans="6:14" s="114" customFormat="1" ht="12.75" hidden="1" x14ac:dyDescent="0.2">
      <c r="F148" s="114" t="s">
        <v>287</v>
      </c>
      <c r="G148" s="114" t="s">
        <v>157</v>
      </c>
      <c r="H148" s="114" t="s">
        <v>326</v>
      </c>
      <c r="I148" s="115">
        <v>392186</v>
      </c>
      <c r="J148" s="115" t="s">
        <v>146</v>
      </c>
      <c r="K148" s="126">
        <v>2</v>
      </c>
      <c r="L148" s="114" t="s">
        <v>109</v>
      </c>
      <c r="M148" s="114" t="s">
        <v>149</v>
      </c>
      <c r="N148" s="114" t="str">
        <f t="shared" si="13"/>
        <v>8.40m³-9H-2OP</v>
      </c>
    </row>
    <row r="149" spans="6:14" s="114" customFormat="1" ht="12.75" hidden="1" x14ac:dyDescent="0.2">
      <c r="F149" s="114" t="s">
        <v>288</v>
      </c>
      <c r="G149" s="114" t="s">
        <v>158</v>
      </c>
      <c r="H149" s="114" t="s">
        <v>327</v>
      </c>
      <c r="I149" s="115">
        <v>329397</v>
      </c>
      <c r="J149" s="115" t="s">
        <v>146</v>
      </c>
      <c r="K149" s="126">
        <v>1</v>
      </c>
      <c r="L149" s="114" t="s">
        <v>110</v>
      </c>
      <c r="M149" s="114" t="s">
        <v>149</v>
      </c>
      <c r="N149" s="114" t="str">
        <f t="shared" si="13"/>
        <v>9.40m³-9H-1OP</v>
      </c>
    </row>
    <row r="150" spans="6:14" s="114" customFormat="1" ht="12.75" hidden="1" x14ac:dyDescent="0.2">
      <c r="F150" s="114" t="s">
        <v>289</v>
      </c>
      <c r="G150" s="114" t="s">
        <v>159</v>
      </c>
      <c r="H150" s="114" t="s">
        <v>328</v>
      </c>
      <c r="I150" s="115">
        <v>280919</v>
      </c>
      <c r="J150" s="115" t="s">
        <v>146</v>
      </c>
      <c r="K150" s="126">
        <v>0</v>
      </c>
      <c r="L150" s="114" t="s">
        <v>111</v>
      </c>
      <c r="M150" s="114" t="s">
        <v>149</v>
      </c>
      <c r="N150" s="114" t="str">
        <f t="shared" si="13"/>
        <v>10.40m³-9H-0OP</v>
      </c>
    </row>
    <row r="151" spans="6:14" s="114" customFormat="1" ht="12.75" hidden="1" x14ac:dyDescent="0.2">
      <c r="F151" s="114" t="s">
        <v>290</v>
      </c>
      <c r="G151" s="114" t="s">
        <v>160</v>
      </c>
      <c r="H151" s="114" t="s">
        <v>329</v>
      </c>
      <c r="I151" s="115">
        <v>420585</v>
      </c>
      <c r="J151" s="115" t="s">
        <v>145</v>
      </c>
      <c r="K151" s="126">
        <v>4</v>
      </c>
      <c r="L151" s="114" t="s">
        <v>112</v>
      </c>
      <c r="M151" s="114" t="s">
        <v>149</v>
      </c>
      <c r="N151" s="114" t="str">
        <f t="shared" si="13"/>
        <v>11.40m³-4H-4OP</v>
      </c>
    </row>
    <row r="152" spans="6:14" s="114" customFormat="1" ht="12.75" hidden="1" x14ac:dyDescent="0.2">
      <c r="F152" s="114" t="s">
        <v>291</v>
      </c>
      <c r="G152" s="114" t="s">
        <v>161</v>
      </c>
      <c r="H152" s="114" t="s">
        <v>330</v>
      </c>
      <c r="I152" s="115">
        <v>369327</v>
      </c>
      <c r="J152" s="115" t="s">
        <v>145</v>
      </c>
      <c r="K152" s="126">
        <v>3</v>
      </c>
      <c r="L152" s="114" t="s">
        <v>113</v>
      </c>
      <c r="M152" s="114" t="s">
        <v>149</v>
      </c>
      <c r="N152" s="114" t="str">
        <f t="shared" si="13"/>
        <v>12.40m³-4H-3OP</v>
      </c>
    </row>
    <row r="153" spans="6:14" s="114" customFormat="1" ht="12.75" hidden="1" x14ac:dyDescent="0.2">
      <c r="F153" s="114" t="s">
        <v>292</v>
      </c>
      <c r="G153" s="114" t="s">
        <v>162</v>
      </c>
      <c r="H153" s="114" t="s">
        <v>331</v>
      </c>
      <c r="I153" s="115">
        <v>323463</v>
      </c>
      <c r="J153" s="115" t="s">
        <v>145</v>
      </c>
      <c r="K153" s="126">
        <v>2</v>
      </c>
      <c r="L153" s="114" t="s">
        <v>114</v>
      </c>
      <c r="M153" s="114" t="s">
        <v>149</v>
      </c>
      <c r="N153" s="114" t="str">
        <f t="shared" si="13"/>
        <v>13.40m³-4H-2OP</v>
      </c>
    </row>
    <row r="154" spans="6:14" s="114" customFormat="1" ht="12.75" hidden="1" x14ac:dyDescent="0.2">
      <c r="F154" s="114" t="s">
        <v>293</v>
      </c>
      <c r="G154" s="114" t="s">
        <v>163</v>
      </c>
      <c r="H154" s="114" t="s">
        <v>332</v>
      </c>
      <c r="I154" s="115">
        <v>270330</v>
      </c>
      <c r="J154" s="115" t="s">
        <v>145</v>
      </c>
      <c r="K154" s="126">
        <v>1</v>
      </c>
      <c r="L154" s="114" t="s">
        <v>115</v>
      </c>
      <c r="M154" s="114" t="s">
        <v>149</v>
      </c>
      <c r="N154" s="114" t="str">
        <f t="shared" si="13"/>
        <v>14.40m³-4H-1OP</v>
      </c>
    </row>
    <row r="155" spans="6:14" s="114" customFormat="1" ht="12.75" hidden="1" x14ac:dyDescent="0.2">
      <c r="F155" s="114" t="s">
        <v>294</v>
      </c>
      <c r="G155" s="114" t="s">
        <v>164</v>
      </c>
      <c r="H155" s="114" t="s">
        <v>333</v>
      </c>
      <c r="I155" s="115">
        <v>221709</v>
      </c>
      <c r="J155" s="115" t="s">
        <v>145</v>
      </c>
      <c r="K155" s="126">
        <v>0</v>
      </c>
      <c r="L155" s="114" t="s">
        <v>116</v>
      </c>
      <c r="M155" s="114" t="s">
        <v>149</v>
      </c>
      <c r="N155" s="114" t="str">
        <f t="shared" si="13"/>
        <v>15.40m³-4H-0OP</v>
      </c>
    </row>
    <row r="156" spans="6:14" s="114" customFormat="1" ht="12.75" hidden="1" x14ac:dyDescent="0.2">
      <c r="F156" s="114" t="s">
        <v>295</v>
      </c>
      <c r="G156" s="114" t="s">
        <v>165</v>
      </c>
      <c r="H156" s="114" t="s">
        <v>334</v>
      </c>
      <c r="I156" s="115">
        <v>501739</v>
      </c>
      <c r="J156" s="115" t="s">
        <v>144</v>
      </c>
      <c r="K156" s="126">
        <v>4</v>
      </c>
      <c r="L156" s="114" t="s">
        <v>263</v>
      </c>
      <c r="M156" s="114" t="s">
        <v>149</v>
      </c>
      <c r="N156" s="114" t="str">
        <f t="shared" si="13"/>
        <v>16.25m³-15H-4OP</v>
      </c>
    </row>
    <row r="157" spans="6:14" s="114" customFormat="1" ht="12.75" hidden="1" x14ac:dyDescent="0.2">
      <c r="F157" s="114" t="s">
        <v>296</v>
      </c>
      <c r="G157" s="114" t="s">
        <v>166</v>
      </c>
      <c r="H157" s="114" t="s">
        <v>335</v>
      </c>
      <c r="I157" s="115">
        <v>443323</v>
      </c>
      <c r="J157" s="115" t="s">
        <v>144</v>
      </c>
      <c r="K157" s="126">
        <v>3</v>
      </c>
      <c r="L157" s="114" t="s">
        <v>264</v>
      </c>
      <c r="M157" s="114" t="s">
        <v>149</v>
      </c>
      <c r="N157" s="114" t="str">
        <f t="shared" si="13"/>
        <v>17.25m³-15H-3OP</v>
      </c>
    </row>
    <row r="158" spans="6:14" s="114" customFormat="1" ht="12.75" hidden="1" x14ac:dyDescent="0.2">
      <c r="F158" s="114" t="s">
        <v>297</v>
      </c>
      <c r="G158" s="114" t="s">
        <v>167</v>
      </c>
      <c r="H158" s="114" t="s">
        <v>336</v>
      </c>
      <c r="I158" s="115">
        <v>388652</v>
      </c>
      <c r="J158" s="115" t="s">
        <v>144</v>
      </c>
      <c r="K158" s="126">
        <v>2</v>
      </c>
      <c r="L158" s="114" t="s">
        <v>265</v>
      </c>
      <c r="M158" s="114" t="s">
        <v>149</v>
      </c>
      <c r="N158" s="114" t="str">
        <f t="shared" si="13"/>
        <v>18.25m³-15H-2OP</v>
      </c>
    </row>
    <row r="159" spans="6:14" s="114" customFormat="1" ht="12.75" hidden="1" x14ac:dyDescent="0.2">
      <c r="F159" s="114" t="s">
        <v>298</v>
      </c>
      <c r="G159" s="114" t="s">
        <v>168</v>
      </c>
      <c r="H159" s="114" t="s">
        <v>337</v>
      </c>
      <c r="I159" s="115">
        <v>323189</v>
      </c>
      <c r="J159" s="115" t="s">
        <v>144</v>
      </c>
      <c r="K159" s="126">
        <v>1</v>
      </c>
      <c r="L159" s="114" t="s">
        <v>266</v>
      </c>
      <c r="M159" s="114" t="s">
        <v>149</v>
      </c>
      <c r="N159" s="114" t="str">
        <f t="shared" si="13"/>
        <v>19.25m³-15H-1OP</v>
      </c>
    </row>
    <row r="160" spans="6:14" s="114" customFormat="1" ht="12.75" hidden="1" x14ac:dyDescent="0.2">
      <c r="F160" s="114" t="s">
        <v>299</v>
      </c>
      <c r="G160" s="114" t="s">
        <v>169</v>
      </c>
      <c r="H160" s="114" t="s">
        <v>338</v>
      </c>
      <c r="I160" s="115">
        <v>256051</v>
      </c>
      <c r="J160" s="115" t="s">
        <v>144</v>
      </c>
      <c r="K160" s="126">
        <v>0</v>
      </c>
      <c r="L160" s="114" t="s">
        <v>267</v>
      </c>
      <c r="M160" s="114" t="s">
        <v>149</v>
      </c>
      <c r="N160" s="114" t="str">
        <f t="shared" si="13"/>
        <v>20.25m³-15H-0OP</v>
      </c>
    </row>
    <row r="161" spans="6:14" s="114" customFormat="1" ht="12.75" hidden="1" x14ac:dyDescent="0.2">
      <c r="F161" s="114" t="s">
        <v>300</v>
      </c>
      <c r="G161" s="114" t="s">
        <v>170</v>
      </c>
      <c r="H161" s="114" t="s">
        <v>339</v>
      </c>
      <c r="I161" s="115">
        <v>433978</v>
      </c>
      <c r="J161" s="115" t="s">
        <v>146</v>
      </c>
      <c r="K161" s="126">
        <v>4</v>
      </c>
      <c r="L161" s="114" t="s">
        <v>122</v>
      </c>
      <c r="M161" s="114" t="s">
        <v>149</v>
      </c>
      <c r="N161" s="114" t="str">
        <f t="shared" si="13"/>
        <v>21.25m³-9H-4OP</v>
      </c>
    </row>
    <row r="162" spans="6:14" s="114" customFormat="1" ht="12.75" hidden="1" x14ac:dyDescent="0.2">
      <c r="F162" s="114" t="s">
        <v>301</v>
      </c>
      <c r="G162" s="114" t="s">
        <v>171</v>
      </c>
      <c r="H162" s="114" t="s">
        <v>340</v>
      </c>
      <c r="I162" s="115">
        <v>386383</v>
      </c>
      <c r="J162" s="115" t="s">
        <v>146</v>
      </c>
      <c r="K162" s="126">
        <v>3</v>
      </c>
      <c r="L162" s="114" t="s">
        <v>123</v>
      </c>
      <c r="M162" s="114" t="s">
        <v>149</v>
      </c>
      <c r="N162" s="114" t="str">
        <f t="shared" si="13"/>
        <v>22.25m³-9H-3OP</v>
      </c>
    </row>
    <row r="163" spans="6:14" s="114" customFormat="1" ht="12.75" hidden="1" x14ac:dyDescent="0.2">
      <c r="F163" s="114" t="s">
        <v>302</v>
      </c>
      <c r="G163" s="114" t="s">
        <v>172</v>
      </c>
      <c r="H163" s="114" t="s">
        <v>341</v>
      </c>
      <c r="I163" s="115">
        <v>345928</v>
      </c>
      <c r="J163" s="115" t="s">
        <v>146</v>
      </c>
      <c r="K163" s="126">
        <v>2</v>
      </c>
      <c r="L163" s="114" t="s">
        <v>124</v>
      </c>
      <c r="M163" s="114" t="s">
        <v>149</v>
      </c>
      <c r="N163" s="114" t="str">
        <f t="shared" si="13"/>
        <v>23.25m³-9H-2OP</v>
      </c>
    </row>
    <row r="164" spans="6:14" s="114" customFormat="1" ht="12.75" hidden="1" x14ac:dyDescent="0.2">
      <c r="F164" s="114" t="s">
        <v>303</v>
      </c>
      <c r="G164" s="114" t="s">
        <v>173</v>
      </c>
      <c r="H164" s="114" t="s">
        <v>342</v>
      </c>
      <c r="I164" s="115">
        <v>290841</v>
      </c>
      <c r="J164" s="115" t="s">
        <v>146</v>
      </c>
      <c r="K164" s="126">
        <v>1</v>
      </c>
      <c r="L164" s="114" t="s">
        <v>125</v>
      </c>
      <c r="M164" s="114" t="s">
        <v>149</v>
      </c>
      <c r="N164" s="114" t="str">
        <f t="shared" si="13"/>
        <v>24.25m³-9H-1OP</v>
      </c>
    </row>
    <row r="165" spans="6:14" s="114" customFormat="1" ht="12.75" hidden="1" x14ac:dyDescent="0.2">
      <c r="F165" s="114" t="s">
        <v>304</v>
      </c>
      <c r="G165" s="114" t="s">
        <v>174</v>
      </c>
      <c r="H165" s="114" t="s">
        <v>343</v>
      </c>
      <c r="I165" s="115">
        <v>225849</v>
      </c>
      <c r="J165" s="115" t="s">
        <v>146</v>
      </c>
      <c r="K165" s="126">
        <v>0</v>
      </c>
      <c r="L165" s="114" t="s">
        <v>126</v>
      </c>
      <c r="M165" s="114" t="s">
        <v>149</v>
      </c>
      <c r="N165" s="114" t="str">
        <f t="shared" si="13"/>
        <v>25.25m³-9H-0OP</v>
      </c>
    </row>
    <row r="166" spans="6:14" s="114" customFormat="1" ht="12.75" hidden="1" x14ac:dyDescent="0.2">
      <c r="F166" s="114" t="s">
        <v>305</v>
      </c>
      <c r="G166" s="114" t="s">
        <v>175</v>
      </c>
      <c r="H166" s="114" t="s">
        <v>344</v>
      </c>
      <c r="I166" s="115">
        <v>374201</v>
      </c>
      <c r="J166" s="115" t="s">
        <v>145</v>
      </c>
      <c r="K166" s="126">
        <v>4</v>
      </c>
      <c r="L166" s="114" t="s">
        <v>127</v>
      </c>
      <c r="M166" s="114" t="s">
        <v>149</v>
      </c>
      <c r="N166" s="114" t="str">
        <f t="shared" si="13"/>
        <v>26.25m³-4H-4OP</v>
      </c>
    </row>
    <row r="167" spans="6:14" s="114" customFormat="1" ht="12.75" hidden="1" x14ac:dyDescent="0.2">
      <c r="F167" s="114" t="s">
        <v>306</v>
      </c>
      <c r="G167" s="114" t="s">
        <v>176</v>
      </c>
      <c r="H167" s="114" t="s">
        <v>345</v>
      </c>
      <c r="I167" s="115">
        <v>323876</v>
      </c>
      <c r="J167" s="115" t="s">
        <v>145</v>
      </c>
      <c r="K167" s="126">
        <v>3</v>
      </c>
      <c r="L167" s="114" t="s">
        <v>128</v>
      </c>
      <c r="M167" s="114" t="s">
        <v>149</v>
      </c>
      <c r="N167" s="114" t="str">
        <f t="shared" si="13"/>
        <v>27.25m³-4H-3OP</v>
      </c>
    </row>
    <row r="168" spans="6:14" s="114" customFormat="1" ht="12.75" hidden="1" x14ac:dyDescent="0.2">
      <c r="F168" s="114" t="s">
        <v>307</v>
      </c>
      <c r="G168" s="114" t="s">
        <v>177</v>
      </c>
      <c r="H168" s="114" t="s">
        <v>346</v>
      </c>
      <c r="I168" s="115">
        <v>283531</v>
      </c>
      <c r="J168" s="115" t="s">
        <v>145</v>
      </c>
      <c r="K168" s="126">
        <v>2</v>
      </c>
      <c r="L168" s="114" t="s">
        <v>129</v>
      </c>
      <c r="M168" s="114" t="s">
        <v>149</v>
      </c>
      <c r="N168" s="114" t="str">
        <f t="shared" si="13"/>
        <v>28.25m³-4H-2OP</v>
      </c>
    </row>
    <row r="169" spans="6:14" s="114" customFormat="1" ht="12.75" hidden="1" x14ac:dyDescent="0.2">
      <c r="F169" s="114" t="s">
        <v>308</v>
      </c>
      <c r="G169" s="114" t="s">
        <v>178</v>
      </c>
      <c r="H169" s="114" t="s">
        <v>347</v>
      </c>
      <c r="I169" s="115">
        <v>236854</v>
      </c>
      <c r="J169" s="115" t="s">
        <v>145</v>
      </c>
      <c r="K169" s="126">
        <v>1</v>
      </c>
      <c r="L169" s="114" t="s">
        <v>130</v>
      </c>
      <c r="M169" s="114" t="s">
        <v>149</v>
      </c>
      <c r="N169" s="114" t="str">
        <f t="shared" si="13"/>
        <v>29.25m³-4H-1OP</v>
      </c>
    </row>
    <row r="170" spans="6:14" s="114" customFormat="1" ht="12.75" hidden="1" x14ac:dyDescent="0.2">
      <c r="F170" s="114" t="s">
        <v>309</v>
      </c>
      <c r="G170" s="114" t="s">
        <v>179</v>
      </c>
      <c r="H170" s="114" t="s">
        <v>348</v>
      </c>
      <c r="I170" s="115">
        <v>179940</v>
      </c>
      <c r="J170" s="115" t="s">
        <v>145</v>
      </c>
      <c r="K170" s="126">
        <v>0</v>
      </c>
      <c r="L170" s="114" t="s">
        <v>131</v>
      </c>
      <c r="M170" s="114" t="s">
        <v>149</v>
      </c>
      <c r="N170" s="114" t="str">
        <f t="shared" si="13"/>
        <v>30.25m³-4H-0OP</v>
      </c>
    </row>
    <row r="171" spans="6:14" s="114" customFormat="1" ht="12.75" hidden="1" x14ac:dyDescent="0.2">
      <c r="F171" s="114" t="s">
        <v>315</v>
      </c>
      <c r="G171" s="114" t="s">
        <v>180</v>
      </c>
      <c r="H171" s="114" t="s">
        <v>349</v>
      </c>
      <c r="I171" s="115">
        <v>239262</v>
      </c>
      <c r="J171" s="115" t="s">
        <v>144</v>
      </c>
      <c r="K171" s="126">
        <v>0</v>
      </c>
      <c r="L171" s="114" t="s">
        <v>132</v>
      </c>
      <c r="M171" s="114" t="s">
        <v>149</v>
      </c>
      <c r="N171" s="114" t="str">
        <f t="shared" si="13"/>
        <v>31.FURGON-15H</v>
      </c>
    </row>
    <row r="172" spans="6:14" s="114" customFormat="1" ht="12.75" hidden="1" x14ac:dyDescent="0.2">
      <c r="F172" s="114" t="s">
        <v>316</v>
      </c>
      <c r="G172" s="114" t="s">
        <v>181</v>
      </c>
      <c r="H172" s="114" t="s">
        <v>350</v>
      </c>
      <c r="I172" s="115">
        <v>214754</v>
      </c>
      <c r="J172" s="115" t="s">
        <v>146</v>
      </c>
      <c r="K172" s="126">
        <v>0</v>
      </c>
      <c r="L172" s="114" t="s">
        <v>133</v>
      </c>
      <c r="M172" s="114" t="s">
        <v>149</v>
      </c>
      <c r="N172" s="114" t="str">
        <f t="shared" si="13"/>
        <v>32.FURGON-9H</v>
      </c>
    </row>
    <row r="173" spans="6:14" s="114" customFormat="1" ht="12.75" hidden="1" x14ac:dyDescent="0.2">
      <c r="F173" s="114" t="s">
        <v>317</v>
      </c>
      <c r="G173" s="114" t="s">
        <v>182</v>
      </c>
      <c r="H173" s="114" t="s">
        <v>351</v>
      </c>
      <c r="I173" s="115">
        <v>173120</v>
      </c>
      <c r="J173" s="115" t="s">
        <v>145</v>
      </c>
      <c r="K173" s="126">
        <v>0</v>
      </c>
      <c r="L173" s="114" t="s">
        <v>134</v>
      </c>
      <c r="M173" s="114" t="s">
        <v>149</v>
      </c>
      <c r="N173" s="114" t="str">
        <f t="shared" si="13"/>
        <v>33.FURGON-4H</v>
      </c>
    </row>
    <row r="174" spans="6:14" s="114" customFormat="1" ht="12.75" hidden="1" x14ac:dyDescent="0.2">
      <c r="F174" s="114" t="s">
        <v>272</v>
      </c>
      <c r="G174" s="114" t="s">
        <v>183</v>
      </c>
      <c r="H174" s="114" t="s">
        <v>352</v>
      </c>
      <c r="I174" s="115">
        <v>373234</v>
      </c>
      <c r="J174" s="115" t="s">
        <v>144</v>
      </c>
      <c r="K174" s="126">
        <v>0</v>
      </c>
      <c r="L174" s="114" t="s">
        <v>135</v>
      </c>
      <c r="M174" s="114" t="s">
        <v>149</v>
      </c>
      <c r="N174" s="114" t="str">
        <f t="shared" si="13"/>
        <v>34.4X4-15H</v>
      </c>
    </row>
    <row r="175" spans="6:14" s="114" customFormat="1" ht="12.75" hidden="1" x14ac:dyDescent="0.2">
      <c r="F175" s="114" t="s">
        <v>273</v>
      </c>
      <c r="G175" s="114" t="s">
        <v>184</v>
      </c>
      <c r="H175" s="114" t="s">
        <v>353</v>
      </c>
      <c r="I175" s="115">
        <v>242399</v>
      </c>
      <c r="J175" s="115" t="s">
        <v>146</v>
      </c>
      <c r="K175" s="126">
        <v>0</v>
      </c>
      <c r="L175" s="114" t="s">
        <v>136</v>
      </c>
      <c r="M175" s="114" t="s">
        <v>149</v>
      </c>
      <c r="N175" s="114" t="str">
        <f t="shared" si="13"/>
        <v>35.4X4-9H</v>
      </c>
    </row>
    <row r="176" spans="6:14" s="114" customFormat="1" ht="12.75" hidden="1" x14ac:dyDescent="0.2">
      <c r="F176" s="114" t="s">
        <v>314</v>
      </c>
      <c r="G176" s="114" t="s">
        <v>185</v>
      </c>
      <c r="H176" s="114" t="s">
        <v>354</v>
      </c>
      <c r="I176" s="115">
        <v>195220</v>
      </c>
      <c r="J176" s="115" t="s">
        <v>145</v>
      </c>
      <c r="K176" s="126">
        <v>0</v>
      </c>
      <c r="L176" s="114" t="s">
        <v>137</v>
      </c>
      <c r="M176" s="114" t="s">
        <v>149</v>
      </c>
      <c r="N176" s="114" t="str">
        <f t="shared" si="13"/>
        <v>36.4X4-4H</v>
      </c>
    </row>
    <row r="177" spans="1:31" s="114" customFormat="1" ht="12.75" hidden="1" x14ac:dyDescent="0.2">
      <c r="F177" s="114" t="s">
        <v>274</v>
      </c>
      <c r="G177" s="114" t="s">
        <v>186</v>
      </c>
      <c r="H177" s="114" t="s">
        <v>355</v>
      </c>
      <c r="I177" s="115">
        <v>836001</v>
      </c>
      <c r="J177" s="115" t="s">
        <v>144</v>
      </c>
      <c r="K177" s="126">
        <v>0</v>
      </c>
      <c r="L177" s="114" t="s">
        <v>138</v>
      </c>
      <c r="M177" s="114" t="s">
        <v>149</v>
      </c>
      <c r="N177" s="114" t="str">
        <f t="shared" si="13"/>
        <v>37.MONTACARGA-15H</v>
      </c>
    </row>
    <row r="178" spans="1:31" s="114" customFormat="1" ht="12.75" hidden="1" x14ac:dyDescent="0.2">
      <c r="F178" s="114" t="s">
        <v>275</v>
      </c>
      <c r="G178" s="114" t="s">
        <v>187</v>
      </c>
      <c r="H178" s="114" t="s">
        <v>356</v>
      </c>
      <c r="I178" s="115">
        <v>144356</v>
      </c>
      <c r="J178" s="115" t="s">
        <v>147</v>
      </c>
      <c r="K178" s="126">
        <v>0</v>
      </c>
      <c r="L178" s="114" t="s">
        <v>139</v>
      </c>
      <c r="M178" s="114" t="s">
        <v>149</v>
      </c>
      <c r="N178" s="114" t="str">
        <f t="shared" si="13"/>
        <v>38.MONTACARGA-1H</v>
      </c>
    </row>
    <row r="179" spans="1:31" s="114" customFormat="1" ht="12.75" hidden="1" x14ac:dyDescent="0.2">
      <c r="F179" s="114" t="s">
        <v>276</v>
      </c>
      <c r="G179" s="114" t="s">
        <v>188</v>
      </c>
      <c r="H179" s="114" t="s">
        <v>357</v>
      </c>
      <c r="I179" s="115">
        <v>828620</v>
      </c>
      <c r="J179" s="115" t="s">
        <v>144</v>
      </c>
      <c r="K179" s="126">
        <v>0</v>
      </c>
      <c r="L179" s="114" t="s">
        <v>140</v>
      </c>
      <c r="M179" s="114" t="s">
        <v>149</v>
      </c>
      <c r="N179" s="114" t="str">
        <f t="shared" si="13"/>
        <v>39.GRUA-15H-</v>
      </c>
    </row>
    <row r="180" spans="1:31" s="114" customFormat="1" ht="12.75" hidden="1" x14ac:dyDescent="0.2">
      <c r="F180" s="114" t="s">
        <v>277</v>
      </c>
      <c r="G180" s="114" t="s">
        <v>189</v>
      </c>
      <c r="H180" s="114" t="s">
        <v>358</v>
      </c>
      <c r="I180" s="115">
        <v>148058</v>
      </c>
      <c r="J180" s="115" t="s">
        <v>147</v>
      </c>
      <c r="K180" s="126">
        <v>0</v>
      </c>
      <c r="L180" s="114" t="s">
        <v>141</v>
      </c>
      <c r="M180" s="114" t="s">
        <v>149</v>
      </c>
      <c r="N180" s="114" t="str">
        <f t="shared" si="13"/>
        <v>40.GRUA-1H</v>
      </c>
    </row>
    <row r="181" spans="1:31" s="114" customFormat="1" ht="12.75" hidden="1" x14ac:dyDescent="0.2">
      <c r="F181" s="114" t="s">
        <v>278</v>
      </c>
      <c r="G181" s="114" t="s">
        <v>190</v>
      </c>
      <c r="H181" s="114" t="s">
        <v>359</v>
      </c>
      <c r="I181" s="115">
        <v>53577</v>
      </c>
      <c r="J181" s="115" t="s">
        <v>147</v>
      </c>
      <c r="K181" s="126">
        <v>0</v>
      </c>
      <c r="L181" s="114" t="s">
        <v>142</v>
      </c>
      <c r="M181" s="114" t="s">
        <v>149</v>
      </c>
      <c r="N181" s="114" t="str">
        <f t="shared" si="13"/>
        <v>41.OPERARIO-8-H</v>
      </c>
    </row>
    <row r="182" spans="1:31" s="114" customFormat="1" ht="12.75" hidden="1" x14ac:dyDescent="0.2">
      <c r="F182" s="114" t="s">
        <v>279</v>
      </c>
      <c r="G182" s="114" t="s">
        <v>191</v>
      </c>
      <c r="H182" s="114" t="s">
        <v>360</v>
      </c>
      <c r="I182" s="115">
        <v>41562</v>
      </c>
      <c r="J182" s="115" t="s">
        <v>147</v>
      </c>
      <c r="K182" s="126">
        <v>0</v>
      </c>
      <c r="L182" s="114" t="s">
        <v>143</v>
      </c>
      <c r="M182" s="114" t="s">
        <v>149</v>
      </c>
      <c r="N182" s="114" t="str">
        <f>+CONCATENATE(G182,F182)</f>
        <v>42.OPERARIO-6-H</v>
      </c>
    </row>
    <row r="183" spans="1:31" s="114" customFormat="1" ht="12.75" hidden="1" x14ac:dyDescent="0.2">
      <c r="F183" s="114" t="s">
        <v>310</v>
      </c>
      <c r="G183" s="114" t="s">
        <v>268</v>
      </c>
      <c r="H183" s="114" t="s">
        <v>361</v>
      </c>
      <c r="I183" s="115">
        <v>628232</v>
      </c>
      <c r="N183" s="114" t="str">
        <f t="shared" ref="N183:N187" si="14">+CONCATENATE(G183,F183)</f>
        <v>43.BOGOTA-REGION-40m³-</v>
      </c>
    </row>
    <row r="184" spans="1:31" s="114" customFormat="1" ht="12.75" hidden="1" x14ac:dyDescent="0.2">
      <c r="F184" s="114" t="s">
        <v>311</v>
      </c>
      <c r="G184" s="114" t="s">
        <v>269</v>
      </c>
      <c r="H184" s="114" t="s">
        <v>362</v>
      </c>
      <c r="I184" s="115">
        <v>562619</v>
      </c>
      <c r="N184" s="114" t="str">
        <f t="shared" si="14"/>
        <v>44.BOGOTA-REGION-25m³-</v>
      </c>
    </row>
    <row r="185" spans="1:31" s="114" customFormat="1" ht="12.75" hidden="1" x14ac:dyDescent="0.2">
      <c r="F185" s="114" t="s">
        <v>312</v>
      </c>
      <c r="G185" s="114" t="s">
        <v>270</v>
      </c>
      <c r="H185" s="114" t="s">
        <v>363</v>
      </c>
      <c r="I185" s="115">
        <v>418264</v>
      </c>
      <c r="N185" s="114" t="str">
        <f t="shared" si="14"/>
        <v>45.BOGOTA-REGION-FURGON-</v>
      </c>
    </row>
    <row r="186" spans="1:31" s="114" customFormat="1" ht="12.75" hidden="1" x14ac:dyDescent="0.2">
      <c r="F186" s="114" t="s">
        <v>313</v>
      </c>
      <c r="G186" s="114" t="s">
        <v>271</v>
      </c>
      <c r="H186" s="114" t="s">
        <v>364</v>
      </c>
      <c r="I186" s="115">
        <v>288714</v>
      </c>
      <c r="N186" s="114" t="str">
        <f t="shared" si="14"/>
        <v>46.BOGOTA-REGION-4X4</v>
      </c>
    </row>
    <row r="187" spans="1:31" s="2" customFormat="1" x14ac:dyDescent="0.25">
      <c r="A187"/>
      <c r="B187"/>
      <c r="C187"/>
      <c r="D187"/>
      <c r="E187"/>
      <c r="H187" s="2" t="s">
        <v>318</v>
      </c>
      <c r="N187" s="2" t="str">
        <f t="shared" si="14"/>
        <v/>
      </c>
      <c r="O187"/>
      <c r="P187"/>
      <c r="Q187"/>
      <c r="R187"/>
      <c r="S187"/>
      <c r="T187"/>
      <c r="U187"/>
      <c r="V187"/>
      <c r="W187"/>
      <c r="X187"/>
      <c r="Y187"/>
      <c r="Z187"/>
      <c r="AA187"/>
      <c r="AB187"/>
      <c r="AC187"/>
      <c r="AD187"/>
      <c r="AE187"/>
    </row>
    <row r="188" spans="1:31" s="2" customFormat="1" x14ac:dyDescent="0.25">
      <c r="A188"/>
      <c r="B188"/>
      <c r="C188"/>
      <c r="D188"/>
      <c r="E188"/>
      <c r="O188"/>
      <c r="P188"/>
      <c r="Q188"/>
      <c r="R188"/>
      <c r="S188"/>
      <c r="T188"/>
      <c r="U188"/>
      <c r="V188"/>
      <c r="W188"/>
      <c r="X188"/>
      <c r="Y188"/>
      <c r="Z188"/>
      <c r="AA188"/>
      <c r="AB188"/>
      <c r="AC188"/>
      <c r="AD188"/>
      <c r="AE188"/>
    </row>
  </sheetData>
  <sheetProtection selectLockedCells="1" selectUnlockedCells="1"/>
  <mergeCells count="23">
    <mergeCell ref="R2:Y2"/>
    <mergeCell ref="AA2:AE2"/>
    <mergeCell ref="A53:G53"/>
    <mergeCell ref="K71:L71"/>
    <mergeCell ref="A1:G1"/>
    <mergeCell ref="A2:G2"/>
    <mergeCell ref="I2:P2"/>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s>
  <dataValidations disablePrompts="1" count="3">
    <dataValidation type="list" allowBlank="1" showInputMessage="1" showErrorMessage="1" sqref="F30 F8:F13 F20:F22" xr:uid="{50A8CBEF-64A8-408E-956D-D5C47E904B73}">
      <formula1>$H$141:$H$186</formula1>
    </dataValidation>
    <dataValidation type="list" allowBlank="1" showInputMessage="1" showErrorMessage="1" sqref="F4:F7 O4:O15 F16:F19 X4:X8 F55:F65 F35:F39 O18:O25 F47:F52 F27:F29 F31:F32 X15:X16 X20:X23" xr:uid="{6233F0EE-DCC9-4DB3-AE80-6E69360BF2BE}">
      <formula1>$H$140:$H$186</formula1>
    </dataValidation>
    <dataValidation type="list" allowBlank="1" showInputMessage="1" showErrorMessage="1" sqref="F40" xr:uid="{02F786F5-1D23-4F4D-A52D-7C1F179168EF}">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53BCC-7C0C-EA49-BD52-98BE7E258D52}">
  <sheetPr>
    <tabColor rgb="FFFF0000"/>
  </sheetPr>
  <dimension ref="A1:AE186"/>
  <sheetViews>
    <sheetView view="pageBreakPreview" topLeftCell="N1" zoomScale="94" zoomScaleNormal="59" zoomScaleSheetLayoutView="94" workbookViewId="0">
      <selection activeCell="A9" sqref="A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4</v>
      </c>
      <c r="U4" s="155">
        <v>1</v>
      </c>
      <c r="V4" s="20" t="s">
        <v>365</v>
      </c>
      <c r="W4" s="47" t="str">
        <f>+IF(X4=0,0,CONCATENATE(MID(X4,FIND("-",X4,1)+1,4),"ORAS"))</f>
        <v>15 HORAS</v>
      </c>
      <c r="X4" s="12" t="s">
        <v>334</v>
      </c>
      <c r="Y4" s="11">
        <f>+IF(X4="","",VLOOKUP(X4,$H$139:$I$185,2,FALSE))</f>
        <v>501739</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450</v>
      </c>
      <c r="K6" s="103">
        <v>2</v>
      </c>
      <c r="L6" s="14">
        <v>1</v>
      </c>
      <c r="M6" s="15" t="s">
        <v>365</v>
      </c>
      <c r="N6" s="47" t="str">
        <f>+IF(O6=0,0,CONCATENATE(MID(O6,FIND("-",O6,1)+1,4),"ORAS"))</f>
        <v>09 HORAS</v>
      </c>
      <c r="O6" s="12" t="s">
        <v>350</v>
      </c>
      <c r="P6" s="11">
        <f>+IF(O6="","",VLOOKUP(O6,$H$139:$I$185,2,FALSE))</f>
        <v>214754</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5</v>
      </c>
      <c r="L25" s="136">
        <f>SUM(L4:L24)</f>
        <v>3</v>
      </c>
      <c r="M25" s="60"/>
      <c r="N25" s="60"/>
      <c r="O25" s="60"/>
      <c r="P25" s="137">
        <f>SUM(P4:P23)</f>
        <v>897339</v>
      </c>
      <c r="Q25" s="1"/>
      <c r="R25" s="1"/>
      <c r="S25" s="62" t="s">
        <v>31</v>
      </c>
      <c r="T25" s="140">
        <f>+T15+T16+T4+T5+T6+T7</f>
        <v>17</v>
      </c>
      <c r="U25" s="140">
        <f>SUM(U4:U7,U21)</f>
        <v>4</v>
      </c>
      <c r="V25" s="62"/>
      <c r="W25" s="62"/>
      <c r="X25" s="62"/>
      <c r="Y25" s="63">
        <f>SUM(Y4:Y23)</f>
        <v>3132066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hidden="1"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hidden="1"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79">
        <f>G67+P25+Y25</f>
        <v>16475877</v>
      </c>
      <c r="L70" s="380"/>
      <c r="M70" s="98">
        <f>SUM(G22,Y20)</f>
        <v>4489017</v>
      </c>
      <c r="N70" s="142">
        <f>SUM(G40,P25,Y4:Y6,Y16,Y21:Y22,Y15)</f>
        <v>7180396</v>
      </c>
      <c r="O70" s="98">
        <f>SUM(G65,Y23)</f>
        <v>4806464</v>
      </c>
      <c r="P70" s="109">
        <f>SUM(M70:O70)</f>
        <v>16475877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19" t="s">
        <v>451</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D2EA5482-9A28-9B4F-8646-F0459F6C729C}">
      <formula1>$H$139:$H$184</formula1>
    </dataValidation>
    <dataValidation type="list" allowBlank="1" showInputMessage="1" showErrorMessage="1" sqref="F4:F7 F16:F19 X15:X16 F30:F31 F26:F28 F46:F51 F34:F38 O4:O15 X20:X23 X4:X8 F54:F64 O18:O24" xr:uid="{56FA46DC-6D0B-984C-B08D-0DFCFB31519E}">
      <formula1>$H$139:$H$185</formula1>
    </dataValidation>
    <dataValidation type="list" allowBlank="1" showInputMessage="1" showErrorMessage="1" sqref="F29 F8:F13 F20:F21" xr:uid="{D2A39E29-E76E-C04B-BC69-8EACF7FDDAAF}">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EBB17-5A18-43A7-AE16-70511A107F93}">
  <sheetPr>
    <tabColor rgb="FFFF0000"/>
  </sheetPr>
  <dimension ref="A1:AE196"/>
  <sheetViews>
    <sheetView view="pageBreakPreview" zoomScale="94" zoomScaleNormal="59" zoomScaleSheetLayoutView="94" workbookViewId="0">
      <selection activeCell="A9" sqref="A9"/>
    </sheetView>
  </sheetViews>
  <sheetFormatPr baseColWidth="10" defaultColWidth="11.42578125" defaultRowHeight="15" x14ac:dyDescent="0.25"/>
  <cols>
    <col min="1" max="1" width="58.42578125" customWidth="1"/>
    <col min="2" max="2" width="27.42578125" customWidth="1"/>
    <col min="3" max="3" width="20.85546875" customWidth="1"/>
    <col min="4" max="5" width="44.42578125" customWidth="1"/>
    <col min="6" max="6" width="54.42578125" customWidth="1"/>
    <col min="7" max="7" width="52.85546875" hidden="1" customWidth="1"/>
    <col min="8" max="8" width="21.7109375" customWidth="1"/>
    <col min="9" max="9" width="28.140625" customWidth="1"/>
    <col min="10" max="10" width="64.85546875" customWidth="1"/>
    <col min="11" max="11" width="17.28515625" customWidth="1"/>
    <col min="12" max="12" width="18.140625" customWidth="1"/>
    <col min="13" max="13" width="20.85546875" customWidth="1"/>
    <col min="14" max="14" width="25.7109375" customWidth="1"/>
    <col min="15" max="15" width="43.42578125" customWidth="1"/>
    <col min="16" max="16" width="29.28515625" hidden="1" customWidth="1"/>
    <col min="17" max="17" width="23.85546875" customWidth="1"/>
    <col min="18" max="18" width="18.140625" customWidth="1"/>
    <col min="19" max="19" width="35.42578125" customWidth="1"/>
    <col min="20" max="20" width="20.28515625" customWidth="1"/>
    <col min="21" max="21" width="19" customWidth="1"/>
    <col min="22" max="23" width="25.42578125" customWidth="1"/>
    <col min="24" max="24" width="42.7109375" customWidth="1"/>
    <col min="25" max="25" width="22" hidden="1" customWidth="1"/>
    <col min="26" max="26" width="86.42578125" customWidth="1"/>
    <col min="27" max="27" width="43.140625" customWidth="1"/>
    <col min="30" max="30" width="14.42578125" customWidth="1"/>
    <col min="31" max="31" width="20" customWidth="1"/>
    <col min="265" max="265" width="43.7109375" customWidth="1"/>
    <col min="266" max="266" width="18.28515625" customWidth="1"/>
    <col min="267" max="267" width="35.42578125" customWidth="1"/>
    <col min="268" max="268" width="56.42578125" customWidth="1"/>
    <col min="269" max="269" width="121.28515625" customWidth="1"/>
    <col min="270" max="270" width="6" customWidth="1"/>
    <col min="271" max="271" width="33.42578125" customWidth="1"/>
    <col min="272" max="272" width="14.28515625" customWidth="1"/>
    <col min="273" max="273" width="12.7109375" customWidth="1"/>
    <col min="274" max="274" width="20.85546875" customWidth="1"/>
    <col min="275" max="275" width="16" customWidth="1"/>
    <col min="276" max="276" width="5.85546875" customWidth="1"/>
    <col min="277" max="277" width="35.42578125" customWidth="1"/>
    <col min="278" max="278" width="17.42578125" customWidth="1"/>
    <col min="279" max="279" width="14.140625" customWidth="1"/>
    <col min="280" max="280" width="22" customWidth="1"/>
    <col min="283" max="283" width="22.42578125" customWidth="1"/>
    <col min="286" max="286" width="14.42578125" customWidth="1"/>
    <col min="287" max="287" width="20" customWidth="1"/>
    <col min="521" max="521" width="43.7109375" customWidth="1"/>
    <col min="522" max="522" width="18.28515625" customWidth="1"/>
    <col min="523" max="523" width="35.42578125" customWidth="1"/>
    <col min="524" max="524" width="56.42578125" customWidth="1"/>
    <col min="525" max="525" width="121.28515625" customWidth="1"/>
    <col min="526" max="526" width="6" customWidth="1"/>
    <col min="527" max="527" width="33.42578125" customWidth="1"/>
    <col min="528" max="528" width="14.28515625" customWidth="1"/>
    <col min="529" max="529" width="12.7109375" customWidth="1"/>
    <col min="530" max="530" width="20.85546875" customWidth="1"/>
    <col min="531" max="531" width="16" customWidth="1"/>
    <col min="532" max="532" width="5.85546875" customWidth="1"/>
    <col min="533" max="533" width="35.42578125" customWidth="1"/>
    <col min="534" max="534" width="17.42578125" customWidth="1"/>
    <col min="535" max="535" width="14.140625" customWidth="1"/>
    <col min="536" max="536" width="22" customWidth="1"/>
    <col min="539" max="539" width="22.42578125" customWidth="1"/>
    <col min="542" max="542" width="14.42578125" customWidth="1"/>
    <col min="543" max="543" width="20" customWidth="1"/>
    <col min="777" max="777" width="43.7109375" customWidth="1"/>
    <col min="778" max="778" width="18.28515625" customWidth="1"/>
    <col min="779" max="779" width="35.42578125" customWidth="1"/>
    <col min="780" max="780" width="56.42578125" customWidth="1"/>
    <col min="781" max="781" width="121.28515625" customWidth="1"/>
    <col min="782" max="782" width="6" customWidth="1"/>
    <col min="783" max="783" width="33.42578125" customWidth="1"/>
    <col min="784" max="784" width="14.28515625" customWidth="1"/>
    <col min="785" max="785" width="12.7109375" customWidth="1"/>
    <col min="786" max="786" width="20.85546875" customWidth="1"/>
    <col min="787" max="787" width="16" customWidth="1"/>
    <col min="788" max="788" width="5.85546875" customWidth="1"/>
    <col min="789" max="789" width="35.42578125" customWidth="1"/>
    <col min="790" max="790" width="17.42578125" customWidth="1"/>
    <col min="791" max="791" width="14.140625" customWidth="1"/>
    <col min="792" max="792" width="22" customWidth="1"/>
    <col min="795" max="795" width="22.42578125" customWidth="1"/>
    <col min="798" max="798" width="14.42578125" customWidth="1"/>
    <col min="799" max="799" width="20" customWidth="1"/>
    <col min="1033" max="1033" width="43.7109375" customWidth="1"/>
    <col min="1034" max="1034" width="18.28515625" customWidth="1"/>
    <col min="1035" max="1035" width="35.42578125" customWidth="1"/>
    <col min="1036" max="1036" width="56.42578125" customWidth="1"/>
    <col min="1037" max="1037" width="121.28515625" customWidth="1"/>
    <col min="1038" max="1038" width="6" customWidth="1"/>
    <col min="1039" max="1039" width="33.42578125" customWidth="1"/>
    <col min="1040" max="1040" width="14.28515625" customWidth="1"/>
    <col min="1041" max="1041" width="12.7109375" customWidth="1"/>
    <col min="1042" max="1042" width="20.85546875" customWidth="1"/>
    <col min="1043" max="1043" width="16" customWidth="1"/>
    <col min="1044" max="1044" width="5.85546875" customWidth="1"/>
    <col min="1045" max="1045" width="35.42578125" customWidth="1"/>
    <col min="1046" max="1046" width="17.42578125" customWidth="1"/>
    <col min="1047" max="1047" width="14.140625" customWidth="1"/>
    <col min="1048" max="1048" width="22" customWidth="1"/>
    <col min="1051" max="1051" width="22.42578125" customWidth="1"/>
    <col min="1054" max="1054" width="14.42578125" customWidth="1"/>
    <col min="1055" max="1055" width="20" customWidth="1"/>
    <col min="1289" max="1289" width="43.7109375" customWidth="1"/>
    <col min="1290" max="1290" width="18.28515625" customWidth="1"/>
    <col min="1291" max="1291" width="35.42578125" customWidth="1"/>
    <col min="1292" max="1292" width="56.42578125" customWidth="1"/>
    <col min="1293" max="1293" width="121.28515625" customWidth="1"/>
    <col min="1294" max="1294" width="6" customWidth="1"/>
    <col min="1295" max="1295" width="33.42578125" customWidth="1"/>
    <col min="1296" max="1296" width="14.28515625" customWidth="1"/>
    <col min="1297" max="1297" width="12.7109375" customWidth="1"/>
    <col min="1298" max="1298" width="20.85546875" customWidth="1"/>
    <col min="1299" max="1299" width="16" customWidth="1"/>
    <col min="1300" max="1300" width="5.85546875" customWidth="1"/>
    <col min="1301" max="1301" width="35.42578125" customWidth="1"/>
    <col min="1302" max="1302" width="17.42578125" customWidth="1"/>
    <col min="1303" max="1303" width="14.140625" customWidth="1"/>
    <col min="1304" max="1304" width="22" customWidth="1"/>
    <col min="1307" max="1307" width="22.42578125" customWidth="1"/>
    <col min="1310" max="1310" width="14.42578125" customWidth="1"/>
    <col min="1311" max="1311" width="20" customWidth="1"/>
    <col min="1545" max="1545" width="43.7109375" customWidth="1"/>
    <col min="1546" max="1546" width="18.28515625" customWidth="1"/>
    <col min="1547" max="1547" width="35.42578125" customWidth="1"/>
    <col min="1548" max="1548" width="56.42578125" customWidth="1"/>
    <col min="1549" max="1549" width="121.28515625" customWidth="1"/>
    <col min="1550" max="1550" width="6" customWidth="1"/>
    <col min="1551" max="1551" width="33.42578125" customWidth="1"/>
    <col min="1552" max="1552" width="14.28515625" customWidth="1"/>
    <col min="1553" max="1553" width="12.7109375" customWidth="1"/>
    <col min="1554" max="1554" width="20.85546875" customWidth="1"/>
    <col min="1555" max="1555" width="16" customWidth="1"/>
    <col min="1556" max="1556" width="5.85546875" customWidth="1"/>
    <col min="1557" max="1557" width="35.42578125" customWidth="1"/>
    <col min="1558" max="1558" width="17.42578125" customWidth="1"/>
    <col min="1559" max="1559" width="14.140625" customWidth="1"/>
    <col min="1560" max="1560" width="22" customWidth="1"/>
    <col min="1563" max="1563" width="22.42578125" customWidth="1"/>
    <col min="1566" max="1566" width="14.42578125" customWidth="1"/>
    <col min="1567" max="1567" width="20" customWidth="1"/>
    <col min="1801" max="1801" width="43.7109375" customWidth="1"/>
    <col min="1802" max="1802" width="18.28515625" customWidth="1"/>
    <col min="1803" max="1803" width="35.42578125" customWidth="1"/>
    <col min="1804" max="1804" width="56.42578125" customWidth="1"/>
    <col min="1805" max="1805" width="121.28515625" customWidth="1"/>
    <col min="1806" max="1806" width="6" customWidth="1"/>
    <col min="1807" max="1807" width="33.42578125" customWidth="1"/>
    <col min="1808" max="1808" width="14.28515625" customWidth="1"/>
    <col min="1809" max="1809" width="12.7109375" customWidth="1"/>
    <col min="1810" max="1810" width="20.85546875" customWidth="1"/>
    <col min="1811" max="1811" width="16" customWidth="1"/>
    <col min="1812" max="1812" width="5.85546875" customWidth="1"/>
    <col min="1813" max="1813" width="35.42578125" customWidth="1"/>
    <col min="1814" max="1814" width="17.42578125" customWidth="1"/>
    <col min="1815" max="1815" width="14.140625" customWidth="1"/>
    <col min="1816" max="1816" width="22" customWidth="1"/>
    <col min="1819" max="1819" width="22.42578125" customWidth="1"/>
    <col min="1822" max="1822" width="14.42578125" customWidth="1"/>
    <col min="1823" max="1823" width="20" customWidth="1"/>
    <col min="2057" max="2057" width="43.7109375" customWidth="1"/>
    <col min="2058" max="2058" width="18.28515625" customWidth="1"/>
    <col min="2059" max="2059" width="35.42578125" customWidth="1"/>
    <col min="2060" max="2060" width="56.42578125" customWidth="1"/>
    <col min="2061" max="2061" width="121.28515625" customWidth="1"/>
    <col min="2062" max="2062" width="6" customWidth="1"/>
    <col min="2063" max="2063" width="33.42578125" customWidth="1"/>
    <col min="2064" max="2064" width="14.28515625" customWidth="1"/>
    <col min="2065" max="2065" width="12.7109375" customWidth="1"/>
    <col min="2066" max="2066" width="20.85546875" customWidth="1"/>
    <col min="2067" max="2067" width="16" customWidth="1"/>
    <col min="2068" max="2068" width="5.85546875" customWidth="1"/>
    <col min="2069" max="2069" width="35.42578125" customWidth="1"/>
    <col min="2070" max="2070" width="17.42578125" customWidth="1"/>
    <col min="2071" max="2071" width="14.140625" customWidth="1"/>
    <col min="2072" max="2072" width="22" customWidth="1"/>
    <col min="2075" max="2075" width="22.42578125" customWidth="1"/>
    <col min="2078" max="2078" width="14.42578125" customWidth="1"/>
    <col min="2079" max="2079" width="20" customWidth="1"/>
    <col min="2313" max="2313" width="43.7109375" customWidth="1"/>
    <col min="2314" max="2314" width="18.28515625" customWidth="1"/>
    <col min="2315" max="2315" width="35.42578125" customWidth="1"/>
    <col min="2316" max="2316" width="56.42578125" customWidth="1"/>
    <col min="2317" max="2317" width="121.28515625" customWidth="1"/>
    <col min="2318" max="2318" width="6" customWidth="1"/>
    <col min="2319" max="2319" width="33.42578125" customWidth="1"/>
    <col min="2320" max="2320" width="14.28515625" customWidth="1"/>
    <col min="2321" max="2321" width="12.7109375" customWidth="1"/>
    <col min="2322" max="2322" width="20.85546875" customWidth="1"/>
    <col min="2323" max="2323" width="16" customWidth="1"/>
    <col min="2324" max="2324" width="5.85546875" customWidth="1"/>
    <col min="2325" max="2325" width="35.42578125" customWidth="1"/>
    <col min="2326" max="2326" width="17.42578125" customWidth="1"/>
    <col min="2327" max="2327" width="14.140625" customWidth="1"/>
    <col min="2328" max="2328" width="22" customWidth="1"/>
    <col min="2331" max="2331" width="22.42578125" customWidth="1"/>
    <col min="2334" max="2334" width="14.42578125" customWidth="1"/>
    <col min="2335" max="2335" width="20" customWidth="1"/>
    <col min="2569" max="2569" width="43.7109375" customWidth="1"/>
    <col min="2570" max="2570" width="18.28515625" customWidth="1"/>
    <col min="2571" max="2571" width="35.42578125" customWidth="1"/>
    <col min="2572" max="2572" width="56.42578125" customWidth="1"/>
    <col min="2573" max="2573" width="121.28515625" customWidth="1"/>
    <col min="2574" max="2574" width="6" customWidth="1"/>
    <col min="2575" max="2575" width="33.42578125" customWidth="1"/>
    <col min="2576" max="2576" width="14.28515625" customWidth="1"/>
    <col min="2577" max="2577" width="12.7109375" customWidth="1"/>
    <col min="2578" max="2578" width="20.85546875" customWidth="1"/>
    <col min="2579" max="2579" width="16" customWidth="1"/>
    <col min="2580" max="2580" width="5.85546875" customWidth="1"/>
    <col min="2581" max="2581" width="35.42578125" customWidth="1"/>
    <col min="2582" max="2582" width="17.42578125" customWidth="1"/>
    <col min="2583" max="2583" width="14.140625" customWidth="1"/>
    <col min="2584" max="2584" width="22" customWidth="1"/>
    <col min="2587" max="2587" width="22.42578125" customWidth="1"/>
    <col min="2590" max="2590" width="14.42578125" customWidth="1"/>
    <col min="2591" max="2591" width="20" customWidth="1"/>
    <col min="2825" max="2825" width="43.7109375" customWidth="1"/>
    <col min="2826" max="2826" width="18.28515625" customWidth="1"/>
    <col min="2827" max="2827" width="35.42578125" customWidth="1"/>
    <col min="2828" max="2828" width="56.42578125" customWidth="1"/>
    <col min="2829" max="2829" width="121.28515625" customWidth="1"/>
    <col min="2830" max="2830" width="6" customWidth="1"/>
    <col min="2831" max="2831" width="33.42578125" customWidth="1"/>
    <col min="2832" max="2832" width="14.28515625" customWidth="1"/>
    <col min="2833" max="2833" width="12.7109375" customWidth="1"/>
    <col min="2834" max="2834" width="20.85546875" customWidth="1"/>
    <col min="2835" max="2835" width="16" customWidth="1"/>
    <col min="2836" max="2836" width="5.85546875" customWidth="1"/>
    <col min="2837" max="2837" width="35.42578125" customWidth="1"/>
    <col min="2838" max="2838" width="17.42578125" customWidth="1"/>
    <col min="2839" max="2839" width="14.140625" customWidth="1"/>
    <col min="2840" max="2840" width="22" customWidth="1"/>
    <col min="2843" max="2843" width="22.42578125" customWidth="1"/>
    <col min="2846" max="2846" width="14.42578125" customWidth="1"/>
    <col min="2847" max="2847" width="20" customWidth="1"/>
    <col min="3081" max="3081" width="43.7109375" customWidth="1"/>
    <col min="3082" max="3082" width="18.28515625" customWidth="1"/>
    <col min="3083" max="3083" width="35.42578125" customWidth="1"/>
    <col min="3084" max="3084" width="56.42578125" customWidth="1"/>
    <col min="3085" max="3085" width="121.28515625" customWidth="1"/>
    <col min="3086" max="3086" width="6" customWidth="1"/>
    <col min="3087" max="3087" width="33.42578125" customWidth="1"/>
    <col min="3088" max="3088" width="14.28515625" customWidth="1"/>
    <col min="3089" max="3089" width="12.7109375" customWidth="1"/>
    <col min="3090" max="3090" width="20.85546875" customWidth="1"/>
    <col min="3091" max="3091" width="16" customWidth="1"/>
    <col min="3092" max="3092" width="5.85546875" customWidth="1"/>
    <col min="3093" max="3093" width="35.42578125" customWidth="1"/>
    <col min="3094" max="3094" width="17.42578125" customWidth="1"/>
    <col min="3095" max="3095" width="14.140625" customWidth="1"/>
    <col min="3096" max="3096" width="22" customWidth="1"/>
    <col min="3099" max="3099" width="22.42578125" customWidth="1"/>
    <col min="3102" max="3102" width="14.42578125" customWidth="1"/>
    <col min="3103" max="3103" width="20" customWidth="1"/>
    <col min="3337" max="3337" width="43.7109375" customWidth="1"/>
    <col min="3338" max="3338" width="18.28515625" customWidth="1"/>
    <col min="3339" max="3339" width="35.42578125" customWidth="1"/>
    <col min="3340" max="3340" width="56.42578125" customWidth="1"/>
    <col min="3341" max="3341" width="121.28515625" customWidth="1"/>
    <col min="3342" max="3342" width="6" customWidth="1"/>
    <col min="3343" max="3343" width="33.42578125" customWidth="1"/>
    <col min="3344" max="3344" width="14.28515625" customWidth="1"/>
    <col min="3345" max="3345" width="12.7109375" customWidth="1"/>
    <col min="3346" max="3346" width="20.85546875" customWidth="1"/>
    <col min="3347" max="3347" width="16" customWidth="1"/>
    <col min="3348" max="3348" width="5.85546875" customWidth="1"/>
    <col min="3349" max="3349" width="35.42578125" customWidth="1"/>
    <col min="3350" max="3350" width="17.42578125" customWidth="1"/>
    <col min="3351" max="3351" width="14.140625" customWidth="1"/>
    <col min="3352" max="3352" width="22" customWidth="1"/>
    <col min="3355" max="3355" width="22.42578125" customWidth="1"/>
    <col min="3358" max="3358" width="14.42578125" customWidth="1"/>
    <col min="3359" max="3359" width="20" customWidth="1"/>
    <col min="3593" max="3593" width="43.7109375" customWidth="1"/>
    <col min="3594" max="3594" width="18.28515625" customWidth="1"/>
    <col min="3595" max="3595" width="35.42578125" customWidth="1"/>
    <col min="3596" max="3596" width="56.42578125" customWidth="1"/>
    <col min="3597" max="3597" width="121.28515625" customWidth="1"/>
    <col min="3598" max="3598" width="6" customWidth="1"/>
    <col min="3599" max="3599" width="33.42578125" customWidth="1"/>
    <col min="3600" max="3600" width="14.28515625" customWidth="1"/>
    <col min="3601" max="3601" width="12.7109375" customWidth="1"/>
    <col min="3602" max="3602" width="20.85546875" customWidth="1"/>
    <col min="3603" max="3603" width="16" customWidth="1"/>
    <col min="3604" max="3604" width="5.85546875" customWidth="1"/>
    <col min="3605" max="3605" width="35.42578125" customWidth="1"/>
    <col min="3606" max="3606" width="17.42578125" customWidth="1"/>
    <col min="3607" max="3607" width="14.140625" customWidth="1"/>
    <col min="3608" max="3608" width="22" customWidth="1"/>
    <col min="3611" max="3611" width="22.42578125" customWidth="1"/>
    <col min="3614" max="3614" width="14.42578125" customWidth="1"/>
    <col min="3615" max="3615" width="20" customWidth="1"/>
    <col min="3849" max="3849" width="43.7109375" customWidth="1"/>
    <col min="3850" max="3850" width="18.28515625" customWidth="1"/>
    <col min="3851" max="3851" width="35.42578125" customWidth="1"/>
    <col min="3852" max="3852" width="56.42578125" customWidth="1"/>
    <col min="3853" max="3853" width="121.28515625" customWidth="1"/>
    <col min="3854" max="3854" width="6" customWidth="1"/>
    <col min="3855" max="3855" width="33.42578125" customWidth="1"/>
    <col min="3856" max="3856" width="14.28515625" customWidth="1"/>
    <col min="3857" max="3857" width="12.7109375" customWidth="1"/>
    <col min="3858" max="3858" width="20.85546875" customWidth="1"/>
    <col min="3859" max="3859" width="16" customWidth="1"/>
    <col min="3860" max="3860" width="5.85546875" customWidth="1"/>
    <col min="3861" max="3861" width="35.42578125" customWidth="1"/>
    <col min="3862" max="3862" width="17.42578125" customWidth="1"/>
    <col min="3863" max="3863" width="14.140625" customWidth="1"/>
    <col min="3864" max="3864" width="22" customWidth="1"/>
    <col min="3867" max="3867" width="22.42578125" customWidth="1"/>
    <col min="3870" max="3870" width="14.42578125" customWidth="1"/>
    <col min="3871" max="3871" width="20" customWidth="1"/>
    <col min="4105" max="4105" width="43.7109375" customWidth="1"/>
    <col min="4106" max="4106" width="18.28515625" customWidth="1"/>
    <col min="4107" max="4107" width="35.42578125" customWidth="1"/>
    <col min="4108" max="4108" width="56.42578125" customWidth="1"/>
    <col min="4109" max="4109" width="121.28515625" customWidth="1"/>
    <col min="4110" max="4110" width="6" customWidth="1"/>
    <col min="4111" max="4111" width="33.42578125" customWidth="1"/>
    <col min="4112" max="4112" width="14.28515625" customWidth="1"/>
    <col min="4113" max="4113" width="12.7109375" customWidth="1"/>
    <col min="4114" max="4114" width="20.85546875" customWidth="1"/>
    <col min="4115" max="4115" width="16" customWidth="1"/>
    <col min="4116" max="4116" width="5.85546875" customWidth="1"/>
    <col min="4117" max="4117" width="35.42578125" customWidth="1"/>
    <col min="4118" max="4118" width="17.42578125" customWidth="1"/>
    <col min="4119" max="4119" width="14.140625" customWidth="1"/>
    <col min="4120" max="4120" width="22" customWidth="1"/>
    <col min="4123" max="4123" width="22.42578125" customWidth="1"/>
    <col min="4126" max="4126" width="14.42578125" customWidth="1"/>
    <col min="4127" max="4127" width="20" customWidth="1"/>
    <col min="4361" max="4361" width="43.7109375" customWidth="1"/>
    <col min="4362" max="4362" width="18.28515625" customWidth="1"/>
    <col min="4363" max="4363" width="35.42578125" customWidth="1"/>
    <col min="4364" max="4364" width="56.42578125" customWidth="1"/>
    <col min="4365" max="4365" width="121.28515625" customWidth="1"/>
    <col min="4366" max="4366" width="6" customWidth="1"/>
    <col min="4367" max="4367" width="33.42578125" customWidth="1"/>
    <col min="4368" max="4368" width="14.28515625" customWidth="1"/>
    <col min="4369" max="4369" width="12.7109375" customWidth="1"/>
    <col min="4370" max="4370" width="20.85546875" customWidth="1"/>
    <col min="4371" max="4371" width="16" customWidth="1"/>
    <col min="4372" max="4372" width="5.85546875" customWidth="1"/>
    <col min="4373" max="4373" width="35.42578125" customWidth="1"/>
    <col min="4374" max="4374" width="17.42578125" customWidth="1"/>
    <col min="4375" max="4375" width="14.140625" customWidth="1"/>
    <col min="4376" max="4376" width="22" customWidth="1"/>
    <col min="4379" max="4379" width="22.42578125" customWidth="1"/>
    <col min="4382" max="4382" width="14.42578125" customWidth="1"/>
    <col min="4383" max="4383" width="20" customWidth="1"/>
    <col min="4617" max="4617" width="43.7109375" customWidth="1"/>
    <col min="4618" max="4618" width="18.28515625" customWidth="1"/>
    <col min="4619" max="4619" width="35.42578125" customWidth="1"/>
    <col min="4620" max="4620" width="56.42578125" customWidth="1"/>
    <col min="4621" max="4621" width="121.28515625" customWidth="1"/>
    <col min="4622" max="4622" width="6" customWidth="1"/>
    <col min="4623" max="4623" width="33.42578125" customWidth="1"/>
    <col min="4624" max="4624" width="14.28515625" customWidth="1"/>
    <col min="4625" max="4625" width="12.7109375" customWidth="1"/>
    <col min="4626" max="4626" width="20.85546875" customWidth="1"/>
    <col min="4627" max="4627" width="16" customWidth="1"/>
    <col min="4628" max="4628" width="5.85546875" customWidth="1"/>
    <col min="4629" max="4629" width="35.42578125" customWidth="1"/>
    <col min="4630" max="4630" width="17.42578125" customWidth="1"/>
    <col min="4631" max="4631" width="14.140625" customWidth="1"/>
    <col min="4632" max="4632" width="22" customWidth="1"/>
    <col min="4635" max="4635" width="22.42578125" customWidth="1"/>
    <col min="4638" max="4638" width="14.42578125" customWidth="1"/>
    <col min="4639" max="4639" width="20" customWidth="1"/>
    <col min="4873" max="4873" width="43.7109375" customWidth="1"/>
    <col min="4874" max="4874" width="18.28515625" customWidth="1"/>
    <col min="4875" max="4875" width="35.42578125" customWidth="1"/>
    <col min="4876" max="4876" width="56.42578125" customWidth="1"/>
    <col min="4877" max="4877" width="121.28515625" customWidth="1"/>
    <col min="4878" max="4878" width="6" customWidth="1"/>
    <col min="4879" max="4879" width="33.42578125" customWidth="1"/>
    <col min="4880" max="4880" width="14.28515625" customWidth="1"/>
    <col min="4881" max="4881" width="12.7109375" customWidth="1"/>
    <col min="4882" max="4882" width="20.85546875" customWidth="1"/>
    <col min="4883" max="4883" width="16" customWidth="1"/>
    <col min="4884" max="4884" width="5.85546875" customWidth="1"/>
    <col min="4885" max="4885" width="35.42578125" customWidth="1"/>
    <col min="4886" max="4886" width="17.42578125" customWidth="1"/>
    <col min="4887" max="4887" width="14.140625" customWidth="1"/>
    <col min="4888" max="4888" width="22" customWidth="1"/>
    <col min="4891" max="4891" width="22.42578125" customWidth="1"/>
    <col min="4894" max="4894" width="14.42578125" customWidth="1"/>
    <col min="4895" max="4895" width="20" customWidth="1"/>
    <col min="5129" max="5129" width="43.7109375" customWidth="1"/>
    <col min="5130" max="5130" width="18.28515625" customWidth="1"/>
    <col min="5131" max="5131" width="35.42578125" customWidth="1"/>
    <col min="5132" max="5132" width="56.42578125" customWidth="1"/>
    <col min="5133" max="5133" width="121.28515625" customWidth="1"/>
    <col min="5134" max="5134" width="6" customWidth="1"/>
    <col min="5135" max="5135" width="33.42578125" customWidth="1"/>
    <col min="5136" max="5136" width="14.28515625" customWidth="1"/>
    <col min="5137" max="5137" width="12.7109375" customWidth="1"/>
    <col min="5138" max="5138" width="20.85546875" customWidth="1"/>
    <col min="5139" max="5139" width="16" customWidth="1"/>
    <col min="5140" max="5140" width="5.85546875" customWidth="1"/>
    <col min="5141" max="5141" width="35.42578125" customWidth="1"/>
    <col min="5142" max="5142" width="17.42578125" customWidth="1"/>
    <col min="5143" max="5143" width="14.140625" customWidth="1"/>
    <col min="5144" max="5144" width="22" customWidth="1"/>
    <col min="5147" max="5147" width="22.42578125" customWidth="1"/>
    <col min="5150" max="5150" width="14.42578125" customWidth="1"/>
    <col min="5151" max="5151" width="20" customWidth="1"/>
    <col min="5385" max="5385" width="43.7109375" customWidth="1"/>
    <col min="5386" max="5386" width="18.28515625" customWidth="1"/>
    <col min="5387" max="5387" width="35.42578125" customWidth="1"/>
    <col min="5388" max="5388" width="56.42578125" customWidth="1"/>
    <col min="5389" max="5389" width="121.28515625" customWidth="1"/>
    <col min="5390" max="5390" width="6" customWidth="1"/>
    <col min="5391" max="5391" width="33.42578125" customWidth="1"/>
    <col min="5392" max="5392" width="14.28515625" customWidth="1"/>
    <col min="5393" max="5393" width="12.7109375" customWidth="1"/>
    <col min="5394" max="5394" width="20.85546875" customWidth="1"/>
    <col min="5395" max="5395" width="16" customWidth="1"/>
    <col min="5396" max="5396" width="5.85546875" customWidth="1"/>
    <col min="5397" max="5397" width="35.42578125" customWidth="1"/>
    <col min="5398" max="5398" width="17.42578125" customWidth="1"/>
    <col min="5399" max="5399" width="14.140625" customWidth="1"/>
    <col min="5400" max="5400" width="22" customWidth="1"/>
    <col min="5403" max="5403" width="22.42578125" customWidth="1"/>
    <col min="5406" max="5406" width="14.42578125" customWidth="1"/>
    <col min="5407" max="5407" width="20" customWidth="1"/>
    <col min="5641" max="5641" width="43.7109375" customWidth="1"/>
    <col min="5642" max="5642" width="18.28515625" customWidth="1"/>
    <col min="5643" max="5643" width="35.42578125" customWidth="1"/>
    <col min="5644" max="5644" width="56.42578125" customWidth="1"/>
    <col min="5645" max="5645" width="121.28515625" customWidth="1"/>
    <col min="5646" max="5646" width="6" customWidth="1"/>
    <col min="5647" max="5647" width="33.42578125" customWidth="1"/>
    <col min="5648" max="5648" width="14.28515625" customWidth="1"/>
    <col min="5649" max="5649" width="12.7109375" customWidth="1"/>
    <col min="5650" max="5650" width="20.85546875" customWidth="1"/>
    <col min="5651" max="5651" width="16" customWidth="1"/>
    <col min="5652" max="5652" width="5.85546875" customWidth="1"/>
    <col min="5653" max="5653" width="35.42578125" customWidth="1"/>
    <col min="5654" max="5654" width="17.42578125" customWidth="1"/>
    <col min="5655" max="5655" width="14.140625" customWidth="1"/>
    <col min="5656" max="5656" width="22" customWidth="1"/>
    <col min="5659" max="5659" width="22.42578125" customWidth="1"/>
    <col min="5662" max="5662" width="14.42578125" customWidth="1"/>
    <col min="5663" max="5663" width="20" customWidth="1"/>
    <col min="5897" max="5897" width="43.7109375" customWidth="1"/>
    <col min="5898" max="5898" width="18.28515625" customWidth="1"/>
    <col min="5899" max="5899" width="35.42578125" customWidth="1"/>
    <col min="5900" max="5900" width="56.42578125" customWidth="1"/>
    <col min="5901" max="5901" width="121.28515625" customWidth="1"/>
    <col min="5902" max="5902" width="6" customWidth="1"/>
    <col min="5903" max="5903" width="33.42578125" customWidth="1"/>
    <col min="5904" max="5904" width="14.28515625" customWidth="1"/>
    <col min="5905" max="5905" width="12.7109375" customWidth="1"/>
    <col min="5906" max="5906" width="20.85546875" customWidth="1"/>
    <col min="5907" max="5907" width="16" customWidth="1"/>
    <col min="5908" max="5908" width="5.85546875" customWidth="1"/>
    <col min="5909" max="5909" width="35.42578125" customWidth="1"/>
    <col min="5910" max="5910" width="17.42578125" customWidth="1"/>
    <col min="5911" max="5911" width="14.140625" customWidth="1"/>
    <col min="5912" max="5912" width="22" customWidth="1"/>
    <col min="5915" max="5915" width="22.42578125" customWidth="1"/>
    <col min="5918" max="5918" width="14.42578125" customWidth="1"/>
    <col min="5919" max="5919" width="20" customWidth="1"/>
    <col min="6153" max="6153" width="43.7109375" customWidth="1"/>
    <col min="6154" max="6154" width="18.28515625" customWidth="1"/>
    <col min="6155" max="6155" width="35.42578125" customWidth="1"/>
    <col min="6156" max="6156" width="56.42578125" customWidth="1"/>
    <col min="6157" max="6157" width="121.28515625" customWidth="1"/>
    <col min="6158" max="6158" width="6" customWidth="1"/>
    <col min="6159" max="6159" width="33.42578125" customWidth="1"/>
    <col min="6160" max="6160" width="14.28515625" customWidth="1"/>
    <col min="6161" max="6161" width="12.7109375" customWidth="1"/>
    <col min="6162" max="6162" width="20.85546875" customWidth="1"/>
    <col min="6163" max="6163" width="16" customWidth="1"/>
    <col min="6164" max="6164" width="5.85546875" customWidth="1"/>
    <col min="6165" max="6165" width="35.42578125" customWidth="1"/>
    <col min="6166" max="6166" width="17.42578125" customWidth="1"/>
    <col min="6167" max="6167" width="14.140625" customWidth="1"/>
    <col min="6168" max="6168" width="22" customWidth="1"/>
    <col min="6171" max="6171" width="22.42578125" customWidth="1"/>
    <col min="6174" max="6174" width="14.42578125" customWidth="1"/>
    <col min="6175" max="6175" width="20" customWidth="1"/>
    <col min="6409" max="6409" width="43.7109375" customWidth="1"/>
    <col min="6410" max="6410" width="18.28515625" customWidth="1"/>
    <col min="6411" max="6411" width="35.42578125" customWidth="1"/>
    <col min="6412" max="6412" width="56.42578125" customWidth="1"/>
    <col min="6413" max="6413" width="121.28515625" customWidth="1"/>
    <col min="6414" max="6414" width="6" customWidth="1"/>
    <col min="6415" max="6415" width="33.42578125" customWidth="1"/>
    <col min="6416" max="6416" width="14.28515625" customWidth="1"/>
    <col min="6417" max="6417" width="12.7109375" customWidth="1"/>
    <col min="6418" max="6418" width="20.85546875" customWidth="1"/>
    <col min="6419" max="6419" width="16" customWidth="1"/>
    <col min="6420" max="6420" width="5.85546875" customWidth="1"/>
    <col min="6421" max="6421" width="35.42578125" customWidth="1"/>
    <col min="6422" max="6422" width="17.42578125" customWidth="1"/>
    <col min="6423" max="6423" width="14.140625" customWidth="1"/>
    <col min="6424" max="6424" width="22" customWidth="1"/>
    <col min="6427" max="6427" width="22.42578125" customWidth="1"/>
    <col min="6430" max="6430" width="14.42578125" customWidth="1"/>
    <col min="6431" max="6431" width="20" customWidth="1"/>
    <col min="6665" max="6665" width="43.7109375" customWidth="1"/>
    <col min="6666" max="6666" width="18.28515625" customWidth="1"/>
    <col min="6667" max="6667" width="35.42578125" customWidth="1"/>
    <col min="6668" max="6668" width="56.42578125" customWidth="1"/>
    <col min="6669" max="6669" width="121.28515625" customWidth="1"/>
    <col min="6670" max="6670" width="6" customWidth="1"/>
    <col min="6671" max="6671" width="33.42578125" customWidth="1"/>
    <col min="6672" max="6672" width="14.28515625" customWidth="1"/>
    <col min="6673" max="6673" width="12.7109375" customWidth="1"/>
    <col min="6674" max="6674" width="20.85546875" customWidth="1"/>
    <col min="6675" max="6675" width="16" customWidth="1"/>
    <col min="6676" max="6676" width="5.85546875" customWidth="1"/>
    <col min="6677" max="6677" width="35.42578125" customWidth="1"/>
    <col min="6678" max="6678" width="17.42578125" customWidth="1"/>
    <col min="6679" max="6679" width="14.140625" customWidth="1"/>
    <col min="6680" max="6680" width="22" customWidth="1"/>
    <col min="6683" max="6683" width="22.42578125" customWidth="1"/>
    <col min="6686" max="6686" width="14.42578125" customWidth="1"/>
    <col min="6687" max="6687" width="20" customWidth="1"/>
    <col min="6921" max="6921" width="43.7109375" customWidth="1"/>
    <col min="6922" max="6922" width="18.28515625" customWidth="1"/>
    <col min="6923" max="6923" width="35.42578125" customWidth="1"/>
    <col min="6924" max="6924" width="56.42578125" customWidth="1"/>
    <col min="6925" max="6925" width="121.28515625" customWidth="1"/>
    <col min="6926" max="6926" width="6" customWidth="1"/>
    <col min="6927" max="6927" width="33.42578125" customWidth="1"/>
    <col min="6928" max="6928" width="14.28515625" customWidth="1"/>
    <col min="6929" max="6929" width="12.7109375" customWidth="1"/>
    <col min="6930" max="6930" width="20.85546875" customWidth="1"/>
    <col min="6931" max="6931" width="16" customWidth="1"/>
    <col min="6932" max="6932" width="5.85546875" customWidth="1"/>
    <col min="6933" max="6933" width="35.42578125" customWidth="1"/>
    <col min="6934" max="6934" width="17.42578125" customWidth="1"/>
    <col min="6935" max="6935" width="14.140625" customWidth="1"/>
    <col min="6936" max="6936" width="22" customWidth="1"/>
    <col min="6939" max="6939" width="22.42578125" customWidth="1"/>
    <col min="6942" max="6942" width="14.42578125" customWidth="1"/>
    <col min="6943" max="6943" width="20" customWidth="1"/>
    <col min="7177" max="7177" width="43.7109375" customWidth="1"/>
    <col min="7178" max="7178" width="18.28515625" customWidth="1"/>
    <col min="7179" max="7179" width="35.42578125" customWidth="1"/>
    <col min="7180" max="7180" width="56.42578125" customWidth="1"/>
    <col min="7181" max="7181" width="121.28515625" customWidth="1"/>
    <col min="7182" max="7182" width="6" customWidth="1"/>
    <col min="7183" max="7183" width="33.42578125" customWidth="1"/>
    <col min="7184" max="7184" width="14.28515625" customWidth="1"/>
    <col min="7185" max="7185" width="12.7109375" customWidth="1"/>
    <col min="7186" max="7186" width="20.85546875" customWidth="1"/>
    <col min="7187" max="7187" width="16" customWidth="1"/>
    <col min="7188" max="7188" width="5.85546875" customWidth="1"/>
    <col min="7189" max="7189" width="35.42578125" customWidth="1"/>
    <col min="7190" max="7190" width="17.42578125" customWidth="1"/>
    <col min="7191" max="7191" width="14.140625" customWidth="1"/>
    <col min="7192" max="7192" width="22" customWidth="1"/>
    <col min="7195" max="7195" width="22.42578125" customWidth="1"/>
    <col min="7198" max="7198" width="14.42578125" customWidth="1"/>
    <col min="7199" max="7199" width="20" customWidth="1"/>
    <col min="7433" max="7433" width="43.7109375" customWidth="1"/>
    <col min="7434" max="7434" width="18.28515625" customWidth="1"/>
    <col min="7435" max="7435" width="35.42578125" customWidth="1"/>
    <col min="7436" max="7436" width="56.42578125" customWidth="1"/>
    <col min="7437" max="7437" width="121.28515625" customWidth="1"/>
    <col min="7438" max="7438" width="6" customWidth="1"/>
    <col min="7439" max="7439" width="33.42578125" customWidth="1"/>
    <col min="7440" max="7440" width="14.28515625" customWidth="1"/>
    <col min="7441" max="7441" width="12.7109375" customWidth="1"/>
    <col min="7442" max="7442" width="20.85546875" customWidth="1"/>
    <col min="7443" max="7443" width="16" customWidth="1"/>
    <col min="7444" max="7444" width="5.85546875" customWidth="1"/>
    <col min="7445" max="7445" width="35.42578125" customWidth="1"/>
    <col min="7446" max="7446" width="17.42578125" customWidth="1"/>
    <col min="7447" max="7447" width="14.140625" customWidth="1"/>
    <col min="7448" max="7448" width="22" customWidth="1"/>
    <col min="7451" max="7451" width="22.42578125" customWidth="1"/>
    <col min="7454" max="7454" width="14.42578125" customWidth="1"/>
    <col min="7455" max="7455" width="20" customWidth="1"/>
    <col min="7689" max="7689" width="43.7109375" customWidth="1"/>
    <col min="7690" max="7690" width="18.28515625" customWidth="1"/>
    <col min="7691" max="7691" width="35.42578125" customWidth="1"/>
    <col min="7692" max="7692" width="56.42578125" customWidth="1"/>
    <col min="7693" max="7693" width="121.28515625" customWidth="1"/>
    <col min="7694" max="7694" width="6" customWidth="1"/>
    <col min="7695" max="7695" width="33.42578125" customWidth="1"/>
    <col min="7696" max="7696" width="14.28515625" customWidth="1"/>
    <col min="7697" max="7697" width="12.7109375" customWidth="1"/>
    <col min="7698" max="7698" width="20.85546875" customWidth="1"/>
    <col min="7699" max="7699" width="16" customWidth="1"/>
    <col min="7700" max="7700" width="5.85546875" customWidth="1"/>
    <col min="7701" max="7701" width="35.42578125" customWidth="1"/>
    <col min="7702" max="7702" width="17.42578125" customWidth="1"/>
    <col min="7703" max="7703" width="14.140625" customWidth="1"/>
    <col min="7704" max="7704" width="22" customWidth="1"/>
    <col min="7707" max="7707" width="22.42578125" customWidth="1"/>
    <col min="7710" max="7710" width="14.42578125" customWidth="1"/>
    <col min="7711" max="7711" width="20" customWidth="1"/>
    <col min="7945" max="7945" width="43.7109375" customWidth="1"/>
    <col min="7946" max="7946" width="18.28515625" customWidth="1"/>
    <col min="7947" max="7947" width="35.42578125" customWidth="1"/>
    <col min="7948" max="7948" width="56.42578125" customWidth="1"/>
    <col min="7949" max="7949" width="121.28515625" customWidth="1"/>
    <col min="7950" max="7950" width="6" customWidth="1"/>
    <col min="7951" max="7951" width="33.42578125" customWidth="1"/>
    <col min="7952" max="7952" width="14.28515625" customWidth="1"/>
    <col min="7953" max="7953" width="12.7109375" customWidth="1"/>
    <col min="7954" max="7954" width="20.85546875" customWidth="1"/>
    <col min="7955" max="7955" width="16" customWidth="1"/>
    <col min="7956" max="7956" width="5.85546875" customWidth="1"/>
    <col min="7957" max="7957" width="35.42578125" customWidth="1"/>
    <col min="7958" max="7958" width="17.42578125" customWidth="1"/>
    <col min="7959" max="7959" width="14.140625" customWidth="1"/>
    <col min="7960" max="7960" width="22" customWidth="1"/>
    <col min="7963" max="7963" width="22.42578125" customWidth="1"/>
    <col min="7966" max="7966" width="14.42578125" customWidth="1"/>
    <col min="7967" max="7967" width="20" customWidth="1"/>
    <col min="8201" max="8201" width="43.7109375" customWidth="1"/>
    <col min="8202" max="8202" width="18.28515625" customWidth="1"/>
    <col min="8203" max="8203" width="35.42578125" customWidth="1"/>
    <col min="8204" max="8204" width="56.42578125" customWidth="1"/>
    <col min="8205" max="8205" width="121.28515625" customWidth="1"/>
    <col min="8206" max="8206" width="6" customWidth="1"/>
    <col min="8207" max="8207" width="33.42578125" customWidth="1"/>
    <col min="8208" max="8208" width="14.28515625" customWidth="1"/>
    <col min="8209" max="8209" width="12.7109375" customWidth="1"/>
    <col min="8210" max="8210" width="20.85546875" customWidth="1"/>
    <col min="8211" max="8211" width="16" customWidth="1"/>
    <col min="8212" max="8212" width="5.85546875" customWidth="1"/>
    <col min="8213" max="8213" width="35.42578125" customWidth="1"/>
    <col min="8214" max="8214" width="17.42578125" customWidth="1"/>
    <col min="8215" max="8215" width="14.140625" customWidth="1"/>
    <col min="8216" max="8216" width="22" customWidth="1"/>
    <col min="8219" max="8219" width="22.42578125" customWidth="1"/>
    <col min="8222" max="8222" width="14.42578125" customWidth="1"/>
    <col min="8223" max="8223" width="20" customWidth="1"/>
    <col min="8457" max="8457" width="43.7109375" customWidth="1"/>
    <col min="8458" max="8458" width="18.28515625" customWidth="1"/>
    <col min="8459" max="8459" width="35.42578125" customWidth="1"/>
    <col min="8460" max="8460" width="56.42578125" customWidth="1"/>
    <col min="8461" max="8461" width="121.28515625" customWidth="1"/>
    <col min="8462" max="8462" width="6" customWidth="1"/>
    <col min="8463" max="8463" width="33.42578125" customWidth="1"/>
    <col min="8464" max="8464" width="14.28515625" customWidth="1"/>
    <col min="8465" max="8465" width="12.7109375" customWidth="1"/>
    <col min="8466" max="8466" width="20.85546875" customWidth="1"/>
    <col min="8467" max="8467" width="16" customWidth="1"/>
    <col min="8468" max="8468" width="5.85546875" customWidth="1"/>
    <col min="8469" max="8469" width="35.42578125" customWidth="1"/>
    <col min="8470" max="8470" width="17.42578125" customWidth="1"/>
    <col min="8471" max="8471" width="14.140625" customWidth="1"/>
    <col min="8472" max="8472" width="22" customWidth="1"/>
    <col min="8475" max="8475" width="22.42578125" customWidth="1"/>
    <col min="8478" max="8478" width="14.42578125" customWidth="1"/>
    <col min="8479" max="8479" width="20" customWidth="1"/>
    <col min="8713" max="8713" width="43.7109375" customWidth="1"/>
    <col min="8714" max="8714" width="18.28515625" customWidth="1"/>
    <col min="8715" max="8715" width="35.42578125" customWidth="1"/>
    <col min="8716" max="8716" width="56.42578125" customWidth="1"/>
    <col min="8717" max="8717" width="121.28515625" customWidth="1"/>
    <col min="8718" max="8718" width="6" customWidth="1"/>
    <col min="8719" max="8719" width="33.42578125" customWidth="1"/>
    <col min="8720" max="8720" width="14.28515625" customWidth="1"/>
    <col min="8721" max="8721" width="12.7109375" customWidth="1"/>
    <col min="8722" max="8722" width="20.85546875" customWidth="1"/>
    <col min="8723" max="8723" width="16" customWidth="1"/>
    <col min="8724" max="8724" width="5.85546875" customWidth="1"/>
    <col min="8725" max="8725" width="35.42578125" customWidth="1"/>
    <col min="8726" max="8726" width="17.42578125" customWidth="1"/>
    <col min="8727" max="8727" width="14.140625" customWidth="1"/>
    <col min="8728" max="8728" width="22" customWidth="1"/>
    <col min="8731" max="8731" width="22.42578125" customWidth="1"/>
    <col min="8734" max="8734" width="14.42578125" customWidth="1"/>
    <col min="8735" max="8735" width="20" customWidth="1"/>
    <col min="8969" max="8969" width="43.7109375" customWidth="1"/>
    <col min="8970" max="8970" width="18.28515625" customWidth="1"/>
    <col min="8971" max="8971" width="35.42578125" customWidth="1"/>
    <col min="8972" max="8972" width="56.42578125" customWidth="1"/>
    <col min="8973" max="8973" width="121.28515625" customWidth="1"/>
    <col min="8974" max="8974" width="6" customWidth="1"/>
    <col min="8975" max="8975" width="33.42578125" customWidth="1"/>
    <col min="8976" max="8976" width="14.28515625" customWidth="1"/>
    <col min="8977" max="8977" width="12.7109375" customWidth="1"/>
    <col min="8978" max="8978" width="20.85546875" customWidth="1"/>
    <col min="8979" max="8979" width="16" customWidth="1"/>
    <col min="8980" max="8980" width="5.85546875" customWidth="1"/>
    <col min="8981" max="8981" width="35.42578125" customWidth="1"/>
    <col min="8982" max="8982" width="17.42578125" customWidth="1"/>
    <col min="8983" max="8983" width="14.140625" customWidth="1"/>
    <col min="8984" max="8984" width="22" customWidth="1"/>
    <col min="8987" max="8987" width="22.42578125" customWidth="1"/>
    <col min="8990" max="8990" width="14.42578125" customWidth="1"/>
    <col min="8991" max="8991" width="20" customWidth="1"/>
    <col min="9225" max="9225" width="43.7109375" customWidth="1"/>
    <col min="9226" max="9226" width="18.28515625" customWidth="1"/>
    <col min="9227" max="9227" width="35.42578125" customWidth="1"/>
    <col min="9228" max="9228" width="56.42578125" customWidth="1"/>
    <col min="9229" max="9229" width="121.28515625" customWidth="1"/>
    <col min="9230" max="9230" width="6" customWidth="1"/>
    <col min="9231" max="9231" width="33.42578125" customWidth="1"/>
    <col min="9232" max="9232" width="14.28515625" customWidth="1"/>
    <col min="9233" max="9233" width="12.7109375" customWidth="1"/>
    <col min="9234" max="9234" width="20.85546875" customWidth="1"/>
    <col min="9235" max="9235" width="16" customWidth="1"/>
    <col min="9236" max="9236" width="5.85546875" customWidth="1"/>
    <col min="9237" max="9237" width="35.42578125" customWidth="1"/>
    <col min="9238" max="9238" width="17.42578125" customWidth="1"/>
    <col min="9239" max="9239" width="14.140625" customWidth="1"/>
    <col min="9240" max="9240" width="22" customWidth="1"/>
    <col min="9243" max="9243" width="22.42578125" customWidth="1"/>
    <col min="9246" max="9246" width="14.42578125" customWidth="1"/>
    <col min="9247" max="9247" width="20" customWidth="1"/>
    <col min="9481" max="9481" width="43.7109375" customWidth="1"/>
    <col min="9482" max="9482" width="18.28515625" customWidth="1"/>
    <col min="9483" max="9483" width="35.42578125" customWidth="1"/>
    <col min="9484" max="9484" width="56.42578125" customWidth="1"/>
    <col min="9485" max="9485" width="121.28515625" customWidth="1"/>
    <col min="9486" max="9486" width="6" customWidth="1"/>
    <col min="9487" max="9487" width="33.42578125" customWidth="1"/>
    <col min="9488" max="9488" width="14.28515625" customWidth="1"/>
    <col min="9489" max="9489" width="12.7109375" customWidth="1"/>
    <col min="9490" max="9490" width="20.85546875" customWidth="1"/>
    <col min="9491" max="9491" width="16" customWidth="1"/>
    <col min="9492" max="9492" width="5.85546875" customWidth="1"/>
    <col min="9493" max="9493" width="35.42578125" customWidth="1"/>
    <col min="9494" max="9494" width="17.42578125" customWidth="1"/>
    <col min="9495" max="9495" width="14.140625" customWidth="1"/>
    <col min="9496" max="9496" width="22" customWidth="1"/>
    <col min="9499" max="9499" width="22.42578125" customWidth="1"/>
    <col min="9502" max="9502" width="14.42578125" customWidth="1"/>
    <col min="9503" max="9503" width="20" customWidth="1"/>
    <col min="9737" max="9737" width="43.7109375" customWidth="1"/>
    <col min="9738" max="9738" width="18.28515625" customWidth="1"/>
    <col min="9739" max="9739" width="35.42578125" customWidth="1"/>
    <col min="9740" max="9740" width="56.42578125" customWidth="1"/>
    <col min="9741" max="9741" width="121.28515625" customWidth="1"/>
    <col min="9742" max="9742" width="6" customWidth="1"/>
    <col min="9743" max="9743" width="33.42578125" customWidth="1"/>
    <col min="9744" max="9744" width="14.28515625" customWidth="1"/>
    <col min="9745" max="9745" width="12.7109375" customWidth="1"/>
    <col min="9746" max="9746" width="20.85546875" customWidth="1"/>
    <col min="9747" max="9747" width="16" customWidth="1"/>
    <col min="9748" max="9748" width="5.85546875" customWidth="1"/>
    <col min="9749" max="9749" width="35.42578125" customWidth="1"/>
    <col min="9750" max="9750" width="17.42578125" customWidth="1"/>
    <col min="9751" max="9751" width="14.140625" customWidth="1"/>
    <col min="9752" max="9752" width="22" customWidth="1"/>
    <col min="9755" max="9755" width="22.42578125" customWidth="1"/>
    <col min="9758" max="9758" width="14.42578125" customWidth="1"/>
    <col min="9759" max="9759" width="20" customWidth="1"/>
    <col min="9993" max="9993" width="43.7109375" customWidth="1"/>
    <col min="9994" max="9994" width="18.28515625" customWidth="1"/>
    <col min="9995" max="9995" width="35.42578125" customWidth="1"/>
    <col min="9996" max="9996" width="56.42578125" customWidth="1"/>
    <col min="9997" max="9997" width="121.28515625" customWidth="1"/>
    <col min="9998" max="9998" width="6" customWidth="1"/>
    <col min="9999" max="9999" width="33.42578125" customWidth="1"/>
    <col min="10000" max="10000" width="14.28515625" customWidth="1"/>
    <col min="10001" max="10001" width="12.7109375" customWidth="1"/>
    <col min="10002" max="10002" width="20.85546875" customWidth="1"/>
    <col min="10003" max="10003" width="16" customWidth="1"/>
    <col min="10004" max="10004" width="5.85546875" customWidth="1"/>
    <col min="10005" max="10005" width="35.42578125" customWidth="1"/>
    <col min="10006" max="10006" width="17.42578125" customWidth="1"/>
    <col min="10007" max="10007" width="14.140625" customWidth="1"/>
    <col min="10008" max="10008" width="22" customWidth="1"/>
    <col min="10011" max="10011" width="22.42578125" customWidth="1"/>
    <col min="10014" max="10014" width="14.42578125" customWidth="1"/>
    <col min="10015" max="10015" width="20" customWidth="1"/>
    <col min="10249" max="10249" width="43.7109375" customWidth="1"/>
    <col min="10250" max="10250" width="18.28515625" customWidth="1"/>
    <col min="10251" max="10251" width="35.42578125" customWidth="1"/>
    <col min="10252" max="10252" width="56.42578125" customWidth="1"/>
    <col min="10253" max="10253" width="121.28515625" customWidth="1"/>
    <col min="10254" max="10254" width="6" customWidth="1"/>
    <col min="10255" max="10255" width="33.42578125" customWidth="1"/>
    <col min="10256" max="10256" width="14.28515625" customWidth="1"/>
    <col min="10257" max="10257" width="12.7109375" customWidth="1"/>
    <col min="10258" max="10258" width="20.85546875" customWidth="1"/>
    <col min="10259" max="10259" width="16" customWidth="1"/>
    <col min="10260" max="10260" width="5.85546875" customWidth="1"/>
    <col min="10261" max="10261" width="35.42578125" customWidth="1"/>
    <col min="10262" max="10262" width="17.42578125" customWidth="1"/>
    <col min="10263" max="10263" width="14.140625" customWidth="1"/>
    <col min="10264" max="10264" width="22" customWidth="1"/>
    <col min="10267" max="10267" width="22.42578125" customWidth="1"/>
    <col min="10270" max="10270" width="14.42578125" customWidth="1"/>
    <col min="10271" max="10271" width="20" customWidth="1"/>
    <col min="10505" max="10505" width="43.7109375" customWidth="1"/>
    <col min="10506" max="10506" width="18.28515625" customWidth="1"/>
    <col min="10507" max="10507" width="35.42578125" customWidth="1"/>
    <col min="10508" max="10508" width="56.42578125" customWidth="1"/>
    <col min="10509" max="10509" width="121.28515625" customWidth="1"/>
    <col min="10510" max="10510" width="6" customWidth="1"/>
    <col min="10511" max="10511" width="33.42578125" customWidth="1"/>
    <col min="10512" max="10512" width="14.28515625" customWidth="1"/>
    <col min="10513" max="10513" width="12.7109375" customWidth="1"/>
    <col min="10514" max="10514" width="20.85546875" customWidth="1"/>
    <col min="10515" max="10515" width="16" customWidth="1"/>
    <col min="10516" max="10516" width="5.85546875" customWidth="1"/>
    <col min="10517" max="10517" width="35.42578125" customWidth="1"/>
    <col min="10518" max="10518" width="17.42578125" customWidth="1"/>
    <col min="10519" max="10519" width="14.140625" customWidth="1"/>
    <col min="10520" max="10520" width="22" customWidth="1"/>
    <col min="10523" max="10523" width="22.42578125" customWidth="1"/>
    <col min="10526" max="10526" width="14.42578125" customWidth="1"/>
    <col min="10527" max="10527" width="20" customWidth="1"/>
    <col min="10761" max="10761" width="43.7109375" customWidth="1"/>
    <col min="10762" max="10762" width="18.28515625" customWidth="1"/>
    <col min="10763" max="10763" width="35.42578125" customWidth="1"/>
    <col min="10764" max="10764" width="56.42578125" customWidth="1"/>
    <col min="10765" max="10765" width="121.28515625" customWidth="1"/>
    <col min="10766" max="10766" width="6" customWidth="1"/>
    <col min="10767" max="10767" width="33.42578125" customWidth="1"/>
    <col min="10768" max="10768" width="14.28515625" customWidth="1"/>
    <col min="10769" max="10769" width="12.7109375" customWidth="1"/>
    <col min="10770" max="10770" width="20.85546875" customWidth="1"/>
    <col min="10771" max="10771" width="16" customWidth="1"/>
    <col min="10772" max="10772" width="5.85546875" customWidth="1"/>
    <col min="10773" max="10773" width="35.42578125" customWidth="1"/>
    <col min="10774" max="10774" width="17.42578125" customWidth="1"/>
    <col min="10775" max="10775" width="14.140625" customWidth="1"/>
    <col min="10776" max="10776" width="22" customWidth="1"/>
    <col min="10779" max="10779" width="22.42578125" customWidth="1"/>
    <col min="10782" max="10782" width="14.42578125" customWidth="1"/>
    <col min="10783" max="10783" width="20" customWidth="1"/>
    <col min="11017" max="11017" width="43.7109375" customWidth="1"/>
    <col min="11018" max="11018" width="18.28515625" customWidth="1"/>
    <col min="11019" max="11019" width="35.42578125" customWidth="1"/>
    <col min="11020" max="11020" width="56.42578125" customWidth="1"/>
    <col min="11021" max="11021" width="121.28515625" customWidth="1"/>
    <col min="11022" max="11022" width="6" customWidth="1"/>
    <col min="11023" max="11023" width="33.42578125" customWidth="1"/>
    <col min="11024" max="11024" width="14.28515625" customWidth="1"/>
    <col min="11025" max="11025" width="12.7109375" customWidth="1"/>
    <col min="11026" max="11026" width="20.85546875" customWidth="1"/>
    <col min="11027" max="11027" width="16" customWidth="1"/>
    <col min="11028" max="11028" width="5.85546875" customWidth="1"/>
    <col min="11029" max="11029" width="35.42578125" customWidth="1"/>
    <col min="11030" max="11030" width="17.42578125" customWidth="1"/>
    <col min="11031" max="11031" width="14.140625" customWidth="1"/>
    <col min="11032" max="11032" width="22" customWidth="1"/>
    <col min="11035" max="11035" width="22.42578125" customWidth="1"/>
    <col min="11038" max="11038" width="14.42578125" customWidth="1"/>
    <col min="11039" max="11039" width="20" customWidth="1"/>
    <col min="11273" max="11273" width="43.7109375" customWidth="1"/>
    <col min="11274" max="11274" width="18.28515625" customWidth="1"/>
    <col min="11275" max="11275" width="35.42578125" customWidth="1"/>
    <col min="11276" max="11276" width="56.42578125" customWidth="1"/>
    <col min="11277" max="11277" width="121.28515625" customWidth="1"/>
    <col min="11278" max="11278" width="6" customWidth="1"/>
    <col min="11279" max="11279" width="33.42578125" customWidth="1"/>
    <col min="11280" max="11280" width="14.28515625" customWidth="1"/>
    <col min="11281" max="11281" width="12.7109375" customWidth="1"/>
    <col min="11282" max="11282" width="20.85546875" customWidth="1"/>
    <col min="11283" max="11283" width="16" customWidth="1"/>
    <col min="11284" max="11284" width="5.85546875" customWidth="1"/>
    <col min="11285" max="11285" width="35.42578125" customWidth="1"/>
    <col min="11286" max="11286" width="17.42578125" customWidth="1"/>
    <col min="11287" max="11287" width="14.140625" customWidth="1"/>
    <col min="11288" max="11288" width="22" customWidth="1"/>
    <col min="11291" max="11291" width="22.42578125" customWidth="1"/>
    <col min="11294" max="11294" width="14.42578125" customWidth="1"/>
    <col min="11295" max="11295" width="20" customWidth="1"/>
    <col min="11529" max="11529" width="43.7109375" customWidth="1"/>
    <col min="11530" max="11530" width="18.28515625" customWidth="1"/>
    <col min="11531" max="11531" width="35.42578125" customWidth="1"/>
    <col min="11532" max="11532" width="56.42578125" customWidth="1"/>
    <col min="11533" max="11533" width="121.28515625" customWidth="1"/>
    <col min="11534" max="11534" width="6" customWidth="1"/>
    <col min="11535" max="11535" width="33.42578125" customWidth="1"/>
    <col min="11536" max="11536" width="14.28515625" customWidth="1"/>
    <col min="11537" max="11537" width="12.7109375" customWidth="1"/>
    <col min="11538" max="11538" width="20.85546875" customWidth="1"/>
    <col min="11539" max="11539" width="16" customWidth="1"/>
    <col min="11540" max="11540" width="5.85546875" customWidth="1"/>
    <col min="11541" max="11541" width="35.42578125" customWidth="1"/>
    <col min="11542" max="11542" width="17.42578125" customWidth="1"/>
    <col min="11543" max="11543" width="14.140625" customWidth="1"/>
    <col min="11544" max="11544" width="22" customWidth="1"/>
    <col min="11547" max="11547" width="22.42578125" customWidth="1"/>
    <col min="11550" max="11550" width="14.42578125" customWidth="1"/>
    <col min="11551" max="11551" width="20" customWidth="1"/>
    <col min="11785" max="11785" width="43.7109375" customWidth="1"/>
    <col min="11786" max="11786" width="18.28515625" customWidth="1"/>
    <col min="11787" max="11787" width="35.42578125" customWidth="1"/>
    <col min="11788" max="11788" width="56.42578125" customWidth="1"/>
    <col min="11789" max="11789" width="121.28515625" customWidth="1"/>
    <col min="11790" max="11790" width="6" customWidth="1"/>
    <col min="11791" max="11791" width="33.42578125" customWidth="1"/>
    <col min="11792" max="11792" width="14.28515625" customWidth="1"/>
    <col min="11793" max="11793" width="12.7109375" customWidth="1"/>
    <col min="11794" max="11794" width="20.85546875" customWidth="1"/>
    <col min="11795" max="11795" width="16" customWidth="1"/>
    <col min="11796" max="11796" width="5.85546875" customWidth="1"/>
    <col min="11797" max="11797" width="35.42578125" customWidth="1"/>
    <col min="11798" max="11798" width="17.42578125" customWidth="1"/>
    <col min="11799" max="11799" width="14.140625" customWidth="1"/>
    <col min="11800" max="11800" width="22" customWidth="1"/>
    <col min="11803" max="11803" width="22.42578125" customWidth="1"/>
    <col min="11806" max="11806" width="14.42578125" customWidth="1"/>
    <col min="11807" max="11807" width="20" customWidth="1"/>
    <col min="12041" max="12041" width="43.7109375" customWidth="1"/>
    <col min="12042" max="12042" width="18.28515625" customWidth="1"/>
    <col min="12043" max="12043" width="35.42578125" customWidth="1"/>
    <col min="12044" max="12044" width="56.42578125" customWidth="1"/>
    <col min="12045" max="12045" width="121.28515625" customWidth="1"/>
    <col min="12046" max="12046" width="6" customWidth="1"/>
    <col min="12047" max="12047" width="33.42578125" customWidth="1"/>
    <col min="12048" max="12048" width="14.28515625" customWidth="1"/>
    <col min="12049" max="12049" width="12.7109375" customWidth="1"/>
    <col min="12050" max="12050" width="20.85546875" customWidth="1"/>
    <col min="12051" max="12051" width="16" customWidth="1"/>
    <col min="12052" max="12052" width="5.85546875" customWidth="1"/>
    <col min="12053" max="12053" width="35.42578125" customWidth="1"/>
    <col min="12054" max="12054" width="17.42578125" customWidth="1"/>
    <col min="12055" max="12055" width="14.140625" customWidth="1"/>
    <col min="12056" max="12056" width="22" customWidth="1"/>
    <col min="12059" max="12059" width="22.42578125" customWidth="1"/>
    <col min="12062" max="12062" width="14.42578125" customWidth="1"/>
    <col min="12063" max="12063" width="20" customWidth="1"/>
    <col min="12297" max="12297" width="43.7109375" customWidth="1"/>
    <col min="12298" max="12298" width="18.28515625" customWidth="1"/>
    <col min="12299" max="12299" width="35.42578125" customWidth="1"/>
    <col min="12300" max="12300" width="56.42578125" customWidth="1"/>
    <col min="12301" max="12301" width="121.28515625" customWidth="1"/>
    <col min="12302" max="12302" width="6" customWidth="1"/>
    <col min="12303" max="12303" width="33.42578125" customWidth="1"/>
    <col min="12304" max="12304" width="14.28515625" customWidth="1"/>
    <col min="12305" max="12305" width="12.7109375" customWidth="1"/>
    <col min="12306" max="12306" width="20.85546875" customWidth="1"/>
    <col min="12307" max="12307" width="16" customWidth="1"/>
    <col min="12308" max="12308" width="5.85546875" customWidth="1"/>
    <col min="12309" max="12309" width="35.42578125" customWidth="1"/>
    <col min="12310" max="12310" width="17.42578125" customWidth="1"/>
    <col min="12311" max="12311" width="14.140625" customWidth="1"/>
    <col min="12312" max="12312" width="22" customWidth="1"/>
    <col min="12315" max="12315" width="22.42578125" customWidth="1"/>
    <col min="12318" max="12318" width="14.42578125" customWidth="1"/>
    <col min="12319" max="12319" width="20" customWidth="1"/>
    <col min="12553" max="12553" width="43.7109375" customWidth="1"/>
    <col min="12554" max="12554" width="18.28515625" customWidth="1"/>
    <col min="12555" max="12555" width="35.42578125" customWidth="1"/>
    <col min="12556" max="12556" width="56.42578125" customWidth="1"/>
    <col min="12557" max="12557" width="121.28515625" customWidth="1"/>
    <col min="12558" max="12558" width="6" customWidth="1"/>
    <col min="12559" max="12559" width="33.42578125" customWidth="1"/>
    <col min="12560" max="12560" width="14.28515625" customWidth="1"/>
    <col min="12561" max="12561" width="12.7109375" customWidth="1"/>
    <col min="12562" max="12562" width="20.85546875" customWidth="1"/>
    <col min="12563" max="12563" width="16" customWidth="1"/>
    <col min="12564" max="12564" width="5.85546875" customWidth="1"/>
    <col min="12565" max="12565" width="35.42578125" customWidth="1"/>
    <col min="12566" max="12566" width="17.42578125" customWidth="1"/>
    <col min="12567" max="12567" width="14.140625" customWidth="1"/>
    <col min="12568" max="12568" width="22" customWidth="1"/>
    <col min="12571" max="12571" width="22.42578125" customWidth="1"/>
    <col min="12574" max="12574" width="14.42578125" customWidth="1"/>
    <col min="12575" max="12575" width="20" customWidth="1"/>
    <col min="12809" max="12809" width="43.7109375" customWidth="1"/>
    <col min="12810" max="12810" width="18.28515625" customWidth="1"/>
    <col min="12811" max="12811" width="35.42578125" customWidth="1"/>
    <col min="12812" max="12812" width="56.42578125" customWidth="1"/>
    <col min="12813" max="12813" width="121.28515625" customWidth="1"/>
    <col min="12814" max="12814" width="6" customWidth="1"/>
    <col min="12815" max="12815" width="33.42578125" customWidth="1"/>
    <col min="12816" max="12816" width="14.28515625" customWidth="1"/>
    <col min="12817" max="12817" width="12.7109375" customWidth="1"/>
    <col min="12818" max="12818" width="20.85546875" customWidth="1"/>
    <col min="12819" max="12819" width="16" customWidth="1"/>
    <col min="12820" max="12820" width="5.85546875" customWidth="1"/>
    <col min="12821" max="12821" width="35.42578125" customWidth="1"/>
    <col min="12822" max="12822" width="17.42578125" customWidth="1"/>
    <col min="12823" max="12823" width="14.140625" customWidth="1"/>
    <col min="12824" max="12824" width="22" customWidth="1"/>
    <col min="12827" max="12827" width="22.42578125" customWidth="1"/>
    <col min="12830" max="12830" width="14.42578125" customWidth="1"/>
    <col min="12831" max="12831" width="20" customWidth="1"/>
    <col min="13065" max="13065" width="43.7109375" customWidth="1"/>
    <col min="13066" max="13066" width="18.28515625" customWidth="1"/>
    <col min="13067" max="13067" width="35.42578125" customWidth="1"/>
    <col min="13068" max="13068" width="56.42578125" customWidth="1"/>
    <col min="13069" max="13069" width="121.28515625" customWidth="1"/>
    <col min="13070" max="13070" width="6" customWidth="1"/>
    <col min="13071" max="13071" width="33.42578125" customWidth="1"/>
    <col min="13072" max="13072" width="14.28515625" customWidth="1"/>
    <col min="13073" max="13073" width="12.7109375" customWidth="1"/>
    <col min="13074" max="13074" width="20.85546875" customWidth="1"/>
    <col min="13075" max="13075" width="16" customWidth="1"/>
    <col min="13076" max="13076" width="5.85546875" customWidth="1"/>
    <col min="13077" max="13077" width="35.42578125" customWidth="1"/>
    <col min="13078" max="13078" width="17.42578125" customWidth="1"/>
    <col min="13079" max="13079" width="14.140625" customWidth="1"/>
    <col min="13080" max="13080" width="22" customWidth="1"/>
    <col min="13083" max="13083" width="22.42578125" customWidth="1"/>
    <col min="13086" max="13086" width="14.42578125" customWidth="1"/>
    <col min="13087" max="13087" width="20" customWidth="1"/>
    <col min="13321" max="13321" width="43.7109375" customWidth="1"/>
    <col min="13322" max="13322" width="18.28515625" customWidth="1"/>
    <col min="13323" max="13323" width="35.42578125" customWidth="1"/>
    <col min="13324" max="13324" width="56.42578125" customWidth="1"/>
    <col min="13325" max="13325" width="121.28515625" customWidth="1"/>
    <col min="13326" max="13326" width="6" customWidth="1"/>
    <col min="13327" max="13327" width="33.42578125" customWidth="1"/>
    <col min="13328" max="13328" width="14.28515625" customWidth="1"/>
    <col min="13329" max="13329" width="12.7109375" customWidth="1"/>
    <col min="13330" max="13330" width="20.85546875" customWidth="1"/>
    <col min="13331" max="13331" width="16" customWidth="1"/>
    <col min="13332" max="13332" width="5.85546875" customWidth="1"/>
    <col min="13333" max="13333" width="35.42578125" customWidth="1"/>
    <col min="13334" max="13334" width="17.42578125" customWidth="1"/>
    <col min="13335" max="13335" width="14.140625" customWidth="1"/>
    <col min="13336" max="13336" width="22" customWidth="1"/>
    <col min="13339" max="13339" width="22.42578125" customWidth="1"/>
    <col min="13342" max="13342" width="14.42578125" customWidth="1"/>
    <col min="13343" max="13343" width="20" customWidth="1"/>
    <col min="13577" max="13577" width="43.7109375" customWidth="1"/>
    <col min="13578" max="13578" width="18.28515625" customWidth="1"/>
    <col min="13579" max="13579" width="35.42578125" customWidth="1"/>
    <col min="13580" max="13580" width="56.42578125" customWidth="1"/>
    <col min="13581" max="13581" width="121.28515625" customWidth="1"/>
    <col min="13582" max="13582" width="6" customWidth="1"/>
    <col min="13583" max="13583" width="33.42578125" customWidth="1"/>
    <col min="13584" max="13584" width="14.28515625" customWidth="1"/>
    <col min="13585" max="13585" width="12.7109375" customWidth="1"/>
    <col min="13586" max="13586" width="20.85546875" customWidth="1"/>
    <col min="13587" max="13587" width="16" customWidth="1"/>
    <col min="13588" max="13588" width="5.85546875" customWidth="1"/>
    <col min="13589" max="13589" width="35.42578125" customWidth="1"/>
    <col min="13590" max="13590" width="17.42578125" customWidth="1"/>
    <col min="13591" max="13591" width="14.140625" customWidth="1"/>
    <col min="13592" max="13592" width="22" customWidth="1"/>
    <col min="13595" max="13595" width="22.42578125" customWidth="1"/>
    <col min="13598" max="13598" width="14.42578125" customWidth="1"/>
    <col min="13599" max="13599" width="20" customWidth="1"/>
    <col min="13833" max="13833" width="43.7109375" customWidth="1"/>
    <col min="13834" max="13834" width="18.28515625" customWidth="1"/>
    <col min="13835" max="13835" width="35.42578125" customWidth="1"/>
    <col min="13836" max="13836" width="56.42578125" customWidth="1"/>
    <col min="13837" max="13837" width="121.28515625" customWidth="1"/>
    <col min="13838" max="13838" width="6" customWidth="1"/>
    <col min="13839" max="13839" width="33.42578125" customWidth="1"/>
    <col min="13840" max="13840" width="14.28515625" customWidth="1"/>
    <col min="13841" max="13841" width="12.7109375" customWidth="1"/>
    <col min="13842" max="13842" width="20.85546875" customWidth="1"/>
    <col min="13843" max="13843" width="16" customWidth="1"/>
    <col min="13844" max="13844" width="5.85546875" customWidth="1"/>
    <col min="13845" max="13845" width="35.42578125" customWidth="1"/>
    <col min="13846" max="13846" width="17.42578125" customWidth="1"/>
    <col min="13847" max="13847" width="14.140625" customWidth="1"/>
    <col min="13848" max="13848" width="22" customWidth="1"/>
    <col min="13851" max="13851" width="22.42578125" customWidth="1"/>
    <col min="13854" max="13854" width="14.42578125" customWidth="1"/>
    <col min="13855" max="13855" width="20" customWidth="1"/>
    <col min="14089" max="14089" width="43.7109375" customWidth="1"/>
    <col min="14090" max="14090" width="18.28515625" customWidth="1"/>
    <col min="14091" max="14091" width="35.42578125" customWidth="1"/>
    <col min="14092" max="14092" width="56.42578125" customWidth="1"/>
    <col min="14093" max="14093" width="121.28515625" customWidth="1"/>
    <col min="14094" max="14094" width="6" customWidth="1"/>
    <col min="14095" max="14095" width="33.42578125" customWidth="1"/>
    <col min="14096" max="14096" width="14.28515625" customWidth="1"/>
    <col min="14097" max="14097" width="12.7109375" customWidth="1"/>
    <col min="14098" max="14098" width="20.85546875" customWidth="1"/>
    <col min="14099" max="14099" width="16" customWidth="1"/>
    <col min="14100" max="14100" width="5.85546875" customWidth="1"/>
    <col min="14101" max="14101" width="35.42578125" customWidth="1"/>
    <col min="14102" max="14102" width="17.42578125" customWidth="1"/>
    <col min="14103" max="14103" width="14.140625" customWidth="1"/>
    <col min="14104" max="14104" width="22" customWidth="1"/>
    <col min="14107" max="14107" width="22.42578125" customWidth="1"/>
    <col min="14110" max="14110" width="14.42578125" customWidth="1"/>
    <col min="14111" max="14111" width="20" customWidth="1"/>
    <col min="14345" max="14345" width="43.7109375" customWidth="1"/>
    <col min="14346" max="14346" width="18.28515625" customWidth="1"/>
    <col min="14347" max="14347" width="35.42578125" customWidth="1"/>
    <col min="14348" max="14348" width="56.42578125" customWidth="1"/>
    <col min="14349" max="14349" width="121.28515625" customWidth="1"/>
    <col min="14350" max="14350" width="6" customWidth="1"/>
    <col min="14351" max="14351" width="33.42578125" customWidth="1"/>
    <col min="14352" max="14352" width="14.28515625" customWidth="1"/>
    <col min="14353" max="14353" width="12.7109375" customWidth="1"/>
    <col min="14354" max="14354" width="20.85546875" customWidth="1"/>
    <col min="14355" max="14355" width="16" customWidth="1"/>
    <col min="14356" max="14356" width="5.85546875" customWidth="1"/>
    <col min="14357" max="14357" width="35.42578125" customWidth="1"/>
    <col min="14358" max="14358" width="17.42578125" customWidth="1"/>
    <col min="14359" max="14359" width="14.140625" customWidth="1"/>
    <col min="14360" max="14360" width="22" customWidth="1"/>
    <col min="14363" max="14363" width="22.42578125" customWidth="1"/>
    <col min="14366" max="14366" width="14.42578125" customWidth="1"/>
    <col min="14367" max="14367" width="20" customWidth="1"/>
    <col min="14601" max="14601" width="43.7109375" customWidth="1"/>
    <col min="14602" max="14602" width="18.28515625" customWidth="1"/>
    <col min="14603" max="14603" width="35.42578125" customWidth="1"/>
    <col min="14604" max="14604" width="56.42578125" customWidth="1"/>
    <col min="14605" max="14605" width="121.28515625" customWidth="1"/>
    <col min="14606" max="14606" width="6" customWidth="1"/>
    <col min="14607" max="14607" width="33.42578125" customWidth="1"/>
    <col min="14608" max="14608" width="14.28515625" customWidth="1"/>
    <col min="14609" max="14609" width="12.7109375" customWidth="1"/>
    <col min="14610" max="14610" width="20.85546875" customWidth="1"/>
    <col min="14611" max="14611" width="16" customWidth="1"/>
    <col min="14612" max="14612" width="5.85546875" customWidth="1"/>
    <col min="14613" max="14613" width="35.42578125" customWidth="1"/>
    <col min="14614" max="14614" width="17.42578125" customWidth="1"/>
    <col min="14615" max="14615" width="14.140625" customWidth="1"/>
    <col min="14616" max="14616" width="22" customWidth="1"/>
    <col min="14619" max="14619" width="22.42578125" customWidth="1"/>
    <col min="14622" max="14622" width="14.42578125" customWidth="1"/>
    <col min="14623" max="14623" width="20" customWidth="1"/>
    <col min="14857" max="14857" width="43.7109375" customWidth="1"/>
    <col min="14858" max="14858" width="18.28515625" customWidth="1"/>
    <col min="14859" max="14859" width="35.42578125" customWidth="1"/>
    <col min="14860" max="14860" width="56.42578125" customWidth="1"/>
    <col min="14861" max="14861" width="121.28515625" customWidth="1"/>
    <col min="14862" max="14862" width="6" customWidth="1"/>
    <col min="14863" max="14863" width="33.42578125" customWidth="1"/>
    <col min="14864" max="14864" width="14.28515625" customWidth="1"/>
    <col min="14865" max="14865" width="12.7109375" customWidth="1"/>
    <col min="14866" max="14866" width="20.85546875" customWidth="1"/>
    <col min="14867" max="14867" width="16" customWidth="1"/>
    <col min="14868" max="14868" width="5.85546875" customWidth="1"/>
    <col min="14869" max="14869" width="35.42578125" customWidth="1"/>
    <col min="14870" max="14870" width="17.42578125" customWidth="1"/>
    <col min="14871" max="14871" width="14.140625" customWidth="1"/>
    <col min="14872" max="14872" width="22" customWidth="1"/>
    <col min="14875" max="14875" width="22.42578125" customWidth="1"/>
    <col min="14878" max="14878" width="14.42578125" customWidth="1"/>
    <col min="14879" max="14879" width="20" customWidth="1"/>
    <col min="15113" max="15113" width="43.7109375" customWidth="1"/>
    <col min="15114" max="15114" width="18.28515625" customWidth="1"/>
    <col min="15115" max="15115" width="35.42578125" customWidth="1"/>
    <col min="15116" max="15116" width="56.42578125" customWidth="1"/>
    <col min="15117" max="15117" width="121.28515625" customWidth="1"/>
    <col min="15118" max="15118" width="6" customWidth="1"/>
    <col min="15119" max="15119" width="33.42578125" customWidth="1"/>
    <col min="15120" max="15120" width="14.28515625" customWidth="1"/>
    <col min="15121" max="15121" width="12.7109375" customWidth="1"/>
    <col min="15122" max="15122" width="20.85546875" customWidth="1"/>
    <col min="15123" max="15123" width="16" customWidth="1"/>
    <col min="15124" max="15124" width="5.85546875" customWidth="1"/>
    <col min="15125" max="15125" width="35.42578125" customWidth="1"/>
    <col min="15126" max="15126" width="17.42578125" customWidth="1"/>
    <col min="15127" max="15127" width="14.140625" customWidth="1"/>
    <col min="15128" max="15128" width="22" customWidth="1"/>
    <col min="15131" max="15131" width="22.42578125" customWidth="1"/>
    <col min="15134" max="15134" width="14.42578125" customWidth="1"/>
    <col min="15135" max="15135" width="20" customWidth="1"/>
    <col min="15369" max="15369" width="43.7109375" customWidth="1"/>
    <col min="15370" max="15370" width="18.28515625" customWidth="1"/>
    <col min="15371" max="15371" width="35.42578125" customWidth="1"/>
    <col min="15372" max="15372" width="56.42578125" customWidth="1"/>
    <col min="15373" max="15373" width="121.28515625" customWidth="1"/>
    <col min="15374" max="15374" width="6" customWidth="1"/>
    <col min="15375" max="15375" width="33.42578125" customWidth="1"/>
    <col min="15376" max="15376" width="14.28515625" customWidth="1"/>
    <col min="15377" max="15377" width="12.7109375" customWidth="1"/>
    <col min="15378" max="15378" width="20.85546875" customWidth="1"/>
    <col min="15379" max="15379" width="16" customWidth="1"/>
    <col min="15380" max="15380" width="5.85546875" customWidth="1"/>
    <col min="15381" max="15381" width="35.42578125" customWidth="1"/>
    <col min="15382" max="15382" width="17.42578125" customWidth="1"/>
    <col min="15383" max="15383" width="14.140625" customWidth="1"/>
    <col min="15384" max="15384" width="22" customWidth="1"/>
    <col min="15387" max="15387" width="22.42578125" customWidth="1"/>
    <col min="15390" max="15390" width="14.42578125" customWidth="1"/>
    <col min="15391" max="15391" width="20" customWidth="1"/>
    <col min="15625" max="15625" width="43.7109375" customWidth="1"/>
    <col min="15626" max="15626" width="18.28515625" customWidth="1"/>
    <col min="15627" max="15627" width="35.42578125" customWidth="1"/>
    <col min="15628" max="15628" width="56.42578125" customWidth="1"/>
    <col min="15629" max="15629" width="121.28515625" customWidth="1"/>
    <col min="15630" max="15630" width="6" customWidth="1"/>
    <col min="15631" max="15631" width="33.42578125" customWidth="1"/>
    <col min="15632" max="15632" width="14.28515625" customWidth="1"/>
    <col min="15633" max="15633" width="12.7109375" customWidth="1"/>
    <col min="15634" max="15634" width="20.85546875" customWidth="1"/>
    <col min="15635" max="15635" width="16" customWidth="1"/>
    <col min="15636" max="15636" width="5.85546875" customWidth="1"/>
    <col min="15637" max="15637" width="35.42578125" customWidth="1"/>
    <col min="15638" max="15638" width="17.42578125" customWidth="1"/>
    <col min="15639" max="15639" width="14.140625" customWidth="1"/>
    <col min="15640" max="15640" width="22" customWidth="1"/>
    <col min="15643" max="15643" width="22.42578125" customWidth="1"/>
    <col min="15646" max="15646" width="14.42578125" customWidth="1"/>
    <col min="15647" max="15647" width="20" customWidth="1"/>
    <col min="15881" max="15881" width="43.7109375" customWidth="1"/>
    <col min="15882" max="15882" width="18.28515625" customWidth="1"/>
    <col min="15883" max="15883" width="35.42578125" customWidth="1"/>
    <col min="15884" max="15884" width="56.42578125" customWidth="1"/>
    <col min="15885" max="15885" width="121.28515625" customWidth="1"/>
    <col min="15886" max="15886" width="6" customWidth="1"/>
    <col min="15887" max="15887" width="33.42578125" customWidth="1"/>
    <col min="15888" max="15888" width="14.28515625" customWidth="1"/>
    <col min="15889" max="15889" width="12.7109375" customWidth="1"/>
    <col min="15890" max="15890" width="20.85546875" customWidth="1"/>
    <col min="15891" max="15891" width="16" customWidth="1"/>
    <col min="15892" max="15892" width="5.85546875" customWidth="1"/>
    <col min="15893" max="15893" width="35.42578125" customWidth="1"/>
    <col min="15894" max="15894" width="17.42578125" customWidth="1"/>
    <col min="15895" max="15895" width="14.140625" customWidth="1"/>
    <col min="15896" max="15896" width="22" customWidth="1"/>
    <col min="15899" max="15899" width="22.42578125" customWidth="1"/>
    <col min="15902" max="15902" width="14.42578125" customWidth="1"/>
    <col min="15903" max="15903" width="20" customWidth="1"/>
    <col min="16137" max="16137" width="43.7109375" customWidth="1"/>
    <col min="16138" max="16138" width="18.28515625" customWidth="1"/>
    <col min="16139" max="16139" width="35.42578125" customWidth="1"/>
    <col min="16140" max="16140" width="56.42578125" customWidth="1"/>
    <col min="16141" max="16141" width="121.28515625" customWidth="1"/>
    <col min="16142" max="16142" width="6" customWidth="1"/>
    <col min="16143" max="16143" width="33.42578125" customWidth="1"/>
    <col min="16144" max="16144" width="14.28515625" customWidth="1"/>
    <col min="16145" max="16145" width="12.7109375" customWidth="1"/>
    <col min="16146" max="16146" width="20.85546875" customWidth="1"/>
    <col min="16147" max="16147" width="16" customWidth="1"/>
    <col min="16148" max="16148" width="5.85546875" customWidth="1"/>
    <col min="16149" max="16149" width="35.42578125" customWidth="1"/>
    <col min="16150" max="16150" width="17.42578125" customWidth="1"/>
    <col min="16151" max="16151" width="14.140625" customWidth="1"/>
    <col min="16152" max="16152" width="22" customWidth="1"/>
    <col min="16155" max="16155" width="22.42578125" customWidth="1"/>
    <col min="16158" max="16158" width="14.42578125" customWidth="1"/>
    <col min="16159" max="16159" width="20" customWidth="1"/>
  </cols>
  <sheetData>
    <row r="1" spans="1:31" ht="15.75" x14ac:dyDescent="0.25">
      <c r="A1" s="381" t="s">
        <v>0</v>
      </c>
      <c r="B1" s="381"/>
      <c r="C1" s="381"/>
      <c r="D1" s="381"/>
      <c r="E1" s="381"/>
      <c r="F1" s="381"/>
      <c r="G1" s="381"/>
      <c r="H1" s="1"/>
      <c r="I1" s="1"/>
      <c r="J1" s="1"/>
      <c r="K1" s="1"/>
      <c r="L1" s="1"/>
      <c r="M1" s="1"/>
      <c r="N1" s="1"/>
      <c r="O1" s="1"/>
      <c r="P1" s="1"/>
      <c r="Q1" s="1"/>
      <c r="R1" s="1"/>
      <c r="S1" s="1"/>
      <c r="T1" s="1"/>
      <c r="U1" s="1"/>
      <c r="V1" s="1"/>
      <c r="W1" s="1"/>
      <c r="X1" s="1"/>
      <c r="Y1" s="1"/>
      <c r="Z1" s="2"/>
      <c r="AA1" s="2"/>
      <c r="AB1" s="2"/>
      <c r="AC1" s="2"/>
      <c r="AD1" s="2"/>
      <c r="AE1" s="2"/>
    </row>
    <row r="2" spans="1:31" ht="15.75" x14ac:dyDescent="0.25">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Z2" s="2"/>
      <c r="AA2" s="378"/>
      <c r="AB2" s="378"/>
      <c r="AC2" s="378"/>
      <c r="AD2" s="378"/>
      <c r="AE2" s="378"/>
    </row>
    <row r="3" spans="1:31" ht="28.5" customHeight="1" x14ac:dyDescent="0.25">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Z3" s="2"/>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c r="J4" s="12"/>
      <c r="K4" s="103"/>
      <c r="L4" s="14"/>
      <c r="M4" s="15"/>
      <c r="N4" s="47">
        <f>+IF(O4=0,0,CONCATENATE(MID(O4,FIND("-",O4,1)+1,4),"ORAS"))</f>
        <v>0</v>
      </c>
      <c r="O4" s="12">
        <v>0</v>
      </c>
      <c r="P4" s="11">
        <f>+IF(O4="","",VLOOKUP(O4,$H$139:$I$185,2,FALSE))</f>
        <v>0</v>
      </c>
      <c r="Q4" s="1"/>
      <c r="R4" s="17" t="s">
        <v>12</v>
      </c>
      <c r="S4" s="40" t="s">
        <v>13</v>
      </c>
      <c r="T4" s="103" t="str">
        <f>+IF(X4=0,0,MID(X4,LEN(X4)-3,1))</f>
        <v>4</v>
      </c>
      <c r="U4" s="177">
        <v>1</v>
      </c>
      <c r="V4" s="20" t="s">
        <v>365</v>
      </c>
      <c r="W4" s="47" t="str">
        <f>+IF(X4=0,0,CONCATENATE(MID(X4,FIND("-",X4,1)+1,4),"ORAS"))</f>
        <v>15 HORAS</v>
      </c>
      <c r="X4" s="12" t="s">
        <v>334</v>
      </c>
      <c r="Y4" s="11">
        <f>+IF(X4="","",VLOOKUP(X4,$H$139:$I$185,2,FALSE))</f>
        <v>501739</v>
      </c>
      <c r="Z4" s="2"/>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c r="J5" s="12"/>
      <c r="K5" s="103"/>
      <c r="L5" s="14"/>
      <c r="M5" s="15"/>
      <c r="N5" s="47">
        <f>+IF(O5=0,0,CONCATENATE(MID(O5,FIND("-",O5,1)+1,4),"ORAS"))</f>
        <v>0</v>
      </c>
      <c r="O5" s="12">
        <v>0</v>
      </c>
      <c r="P5" s="11">
        <f>+IF(O5="","",VLOOKUP(O5,$H$139:$I$185,2,FALSE))</f>
        <v>0</v>
      </c>
      <c r="Q5" s="1"/>
      <c r="R5" s="17" t="s">
        <v>12</v>
      </c>
      <c r="S5" s="40" t="s">
        <v>15</v>
      </c>
      <c r="T5" s="103" t="str">
        <f>+IF(X5=0,0,MID(X5,LEN(X5)-3,1))</f>
        <v>4</v>
      </c>
      <c r="U5" s="177">
        <v>1</v>
      </c>
      <c r="V5" s="20" t="s">
        <v>365</v>
      </c>
      <c r="W5" s="47" t="str">
        <f>+IF(X5=0,0,CONCATENATE(MID(X5,FIND("-",X5,1)+1,4),"ORAS"))</f>
        <v>15 HORAS</v>
      </c>
      <c r="X5" s="12" t="s">
        <v>334</v>
      </c>
      <c r="Y5" s="11">
        <f>+IF(X5="","",VLOOKUP(X5,$H$139:$I$185,2,FALSE))</f>
        <v>501739</v>
      </c>
      <c r="Z5" s="2"/>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84"/>
      <c r="R6" s="17" t="s">
        <v>12</v>
      </c>
      <c r="S6" s="40" t="s">
        <v>17</v>
      </c>
      <c r="T6" s="103" t="str">
        <f>+IF(X6=0,0,MID(X6,LEN(X6)-3,1))</f>
        <v>4</v>
      </c>
      <c r="U6" s="177">
        <v>1</v>
      </c>
      <c r="V6" s="20" t="s">
        <v>365</v>
      </c>
      <c r="W6" s="47" t="str">
        <f>+IF(X6=0,0,CONCATENATE(MID(X6,FIND("-",X6,1)+1,4),"ORAS"))</f>
        <v>15 HORAS</v>
      </c>
      <c r="X6" s="12" t="s">
        <v>334</v>
      </c>
      <c r="Y6" s="11">
        <f>+IF(X6="","",VLOOKUP(X6,$H$139:$I$185,2,FALSE))</f>
        <v>501739</v>
      </c>
      <c r="Z6" s="2"/>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78"/>
      <c r="T7" s="103"/>
      <c r="U7" s="179"/>
      <c r="V7" s="10"/>
      <c r="W7" s="47"/>
      <c r="X7" s="12">
        <v>0</v>
      </c>
      <c r="Y7" s="11">
        <f>+IF(X7="","",VLOOKUP(X7,$H$139:$I$185,2,FALSE))</f>
        <v>0</v>
      </c>
      <c r="Z7" s="2"/>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80"/>
      <c r="T8" s="177"/>
      <c r="U8" s="177">
        <f>+U4+U5+U6+U7</f>
        <v>3</v>
      </c>
      <c r="V8" s="15"/>
      <c r="W8" s="12"/>
      <c r="X8" s="12"/>
      <c r="Y8" s="139"/>
      <c r="Z8" s="2"/>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81"/>
      <c r="T9" s="181"/>
      <c r="U9" s="181"/>
      <c r="V9" s="35"/>
      <c r="W9" s="35"/>
      <c r="X9" s="35"/>
      <c r="Y9" s="1"/>
      <c r="Z9" s="2"/>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81"/>
      <c r="T10" s="181"/>
      <c r="U10" s="181"/>
      <c r="V10" s="35"/>
      <c r="W10" s="35"/>
      <c r="X10" s="35"/>
      <c r="Y10" s="1"/>
      <c r="Z10" s="2"/>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Z11" s="2"/>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Z12" s="2"/>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82" t="s">
        <v>21</v>
      </c>
      <c r="S13" s="383"/>
      <c r="T13" s="383"/>
      <c r="U13" s="383"/>
      <c r="V13" s="383"/>
      <c r="W13" s="383"/>
      <c r="X13" s="383"/>
      <c r="Y13" s="384"/>
      <c r="Z13" s="2"/>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c r="AA14" s="2"/>
      <c r="AB14" s="2"/>
      <c r="AC14" s="2"/>
      <c r="AD14" s="2"/>
      <c r="AE14" s="2"/>
    </row>
    <row r="15" spans="1:31" ht="15.75" x14ac:dyDescent="0.25">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c r="Z15" s="2"/>
      <c r="AA15" s="2"/>
      <c r="AB15" s="2"/>
      <c r="AC15" s="2"/>
      <c r="AD15" s="2"/>
      <c r="AE15" s="2"/>
    </row>
    <row r="16" spans="1:31" ht="18.75" customHeight="1" x14ac:dyDescent="0.25">
      <c r="A16" s="174" t="s">
        <v>244</v>
      </c>
      <c r="B16" s="102" t="str">
        <f>+IF(F16=0,0,MID(F16,LEN(F16)-3,1))</f>
        <v>3</v>
      </c>
      <c r="C16" s="179">
        <v>1</v>
      </c>
      <c r="D16" s="10" t="s">
        <v>365</v>
      </c>
      <c r="E16" s="47" t="str">
        <f>+IF(F16=0,0,CONCATENATE(MID(F16,FIND("-",F16,1)+1,4),"ORAS"))</f>
        <v>15 HORAS</v>
      </c>
      <c r="F16" s="47" t="s">
        <v>335</v>
      </c>
      <c r="G16" s="11">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39">
        <f>+IF(X16="","",VLOOKUP(X16,$H$139:$I$185,2,FALSE))*T16</f>
        <v>107154</v>
      </c>
      <c r="Z16" s="2"/>
      <c r="AA16" s="2"/>
      <c r="AB16" s="2"/>
      <c r="AC16" s="2"/>
      <c r="AD16" s="2"/>
      <c r="AE16" s="2"/>
    </row>
    <row r="17" spans="1:31" ht="23.25" customHeight="1" x14ac:dyDescent="0.25">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c r="Z17" s="2"/>
      <c r="AA17" s="2"/>
      <c r="AB17" s="2"/>
      <c r="AC17" s="2"/>
      <c r="AD17" s="2"/>
      <c r="AE17" s="2"/>
    </row>
    <row r="18" spans="1:31" ht="15.75" x14ac:dyDescent="0.25">
      <c r="A18" s="129"/>
      <c r="B18" s="103"/>
      <c r="C18" s="177"/>
      <c r="D18" s="15"/>
      <c r="E18" s="12"/>
      <c r="F18" s="12"/>
      <c r="G18" s="11"/>
      <c r="H18" s="1"/>
      <c r="I18" s="17"/>
      <c r="J18" s="12"/>
      <c r="K18" s="103"/>
      <c r="L18" s="14"/>
      <c r="M18" s="15"/>
      <c r="N18" s="47">
        <f>+IF(O18=0,0,CONCATENATE(MID(O18,FIND("-",O18,1)+1,4),"ORAS"))</f>
        <v>0</v>
      </c>
      <c r="O18" s="12">
        <v>0</v>
      </c>
      <c r="P18" s="11">
        <f>+IF(O18="","",VLOOKUP(O18,$H$139:$I$185,2,FALSE))</f>
        <v>0</v>
      </c>
      <c r="Q18" s="184"/>
      <c r="R18" s="382" t="s">
        <v>376</v>
      </c>
      <c r="S18" s="383"/>
      <c r="T18" s="383"/>
      <c r="U18" s="383"/>
      <c r="V18" s="383"/>
      <c r="W18" s="383"/>
      <c r="X18" s="383"/>
      <c r="Y18" s="384"/>
      <c r="Z18" s="2"/>
      <c r="AA18" s="2"/>
      <c r="AB18" s="2"/>
      <c r="AC18" s="2"/>
      <c r="AD18" s="2"/>
      <c r="AE18" s="2"/>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Z19" s="2"/>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Z20" s="2"/>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Z21" s="2"/>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Z22" s="2"/>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Z23" s="2"/>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Z24" s="2"/>
      <c r="AA24" s="21"/>
      <c r="AB24" s="21"/>
      <c r="AC24" s="21"/>
      <c r="AD24" s="21"/>
      <c r="AE24" s="21"/>
    </row>
    <row r="25" spans="1:31" ht="15.75" x14ac:dyDescent="0.25">
      <c r="A25" s="58" t="s">
        <v>4</v>
      </c>
      <c r="B25" s="59" t="s">
        <v>5</v>
      </c>
      <c r="C25" s="59" t="s">
        <v>6</v>
      </c>
      <c r="D25" s="59" t="s">
        <v>7</v>
      </c>
      <c r="E25" s="59" t="s">
        <v>52</v>
      </c>
      <c r="F25" s="59" t="s">
        <v>235</v>
      </c>
      <c r="G25" s="59" t="s">
        <v>8</v>
      </c>
      <c r="H25" s="1"/>
      <c r="I25" s="1"/>
      <c r="J25" s="60" t="s">
        <v>31</v>
      </c>
      <c r="K25" s="136">
        <f>+K4+K5+K18+K6+K7+K8+K19</f>
        <v>0</v>
      </c>
      <c r="L25" s="136">
        <f>SUM(L4:L24)</f>
        <v>0</v>
      </c>
      <c r="M25" s="60"/>
      <c r="N25" s="60"/>
      <c r="O25" s="60"/>
      <c r="P25" s="137">
        <f>SUM(P4:P23)</f>
        <v>0</v>
      </c>
      <c r="Q25" s="1"/>
      <c r="R25" s="1"/>
      <c r="S25" s="62" t="s">
        <v>31</v>
      </c>
      <c r="T25" s="140">
        <f>+T15+T16+T4+T5+T6+T7</f>
        <v>17</v>
      </c>
      <c r="U25" s="140">
        <f>SUM(U4:U7,U21)</f>
        <v>4</v>
      </c>
      <c r="V25" s="62"/>
      <c r="W25" s="62"/>
      <c r="X25" s="62"/>
      <c r="Y25" s="63">
        <f>SUM(Y4:Y23)</f>
        <v>3132066</v>
      </c>
      <c r="Z25" s="2"/>
      <c r="AA25" s="64"/>
      <c r="AB25" s="64"/>
      <c r="AC25" s="64"/>
      <c r="AD25" s="64"/>
      <c r="AE25" s="65"/>
    </row>
    <row r="26" spans="1:31" ht="15.75" x14ac:dyDescent="0.25">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Z26" s="2"/>
      <c r="AA26" s="21"/>
      <c r="AB26" s="21"/>
      <c r="AC26" s="21"/>
      <c r="AD26" s="21"/>
      <c r="AE26" s="21"/>
    </row>
    <row r="27" spans="1:31" ht="20.100000000000001" customHeight="1" x14ac:dyDescent="0.25">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c r="Z27" s="2"/>
      <c r="AA27" s="2"/>
      <c r="AB27" s="2"/>
      <c r="AC27" s="2"/>
      <c r="AD27" s="2"/>
      <c r="AE27" s="2"/>
    </row>
    <row r="28" spans="1:31" ht="15.75" customHeight="1" x14ac:dyDescent="0.25">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c r="Z28" s="2"/>
      <c r="AA28" s="2"/>
      <c r="AB28" s="2"/>
      <c r="AC28" s="2"/>
      <c r="AD28" s="2"/>
      <c r="AE28" s="2"/>
    </row>
    <row r="29" spans="1:31" ht="15.75" x14ac:dyDescent="0.25">
      <c r="A29" s="44"/>
      <c r="B29" s="102"/>
      <c r="C29" s="68"/>
      <c r="D29" s="20"/>
      <c r="E29" s="47"/>
      <c r="F29" s="12"/>
      <c r="G29" s="11"/>
      <c r="H29" s="1"/>
      <c r="I29" s="1"/>
      <c r="J29" s="1"/>
      <c r="K29" s="1"/>
      <c r="L29" s="1"/>
      <c r="M29" s="1"/>
      <c r="N29" s="1"/>
      <c r="O29" s="1"/>
      <c r="P29" s="1"/>
      <c r="Q29" s="1"/>
      <c r="R29" s="1"/>
      <c r="S29" s="1"/>
      <c r="T29" s="1"/>
      <c r="U29" s="1"/>
      <c r="V29" s="1"/>
      <c r="W29" s="1"/>
      <c r="X29" s="1"/>
      <c r="Y29" s="1"/>
      <c r="Z29" s="2"/>
      <c r="AA29" s="2"/>
      <c r="AB29" s="2"/>
      <c r="AC29" s="2"/>
      <c r="AD29" s="2"/>
      <c r="AE29" s="2"/>
    </row>
    <row r="30" spans="1:31" ht="15.75" x14ac:dyDescent="0.25">
      <c r="A30" s="44"/>
      <c r="B30" s="102"/>
      <c r="C30" s="68"/>
      <c r="D30" s="20"/>
      <c r="E30" s="47"/>
      <c r="F30" s="67"/>
      <c r="G30" s="11"/>
      <c r="H30" s="1"/>
      <c r="I30" s="1"/>
      <c r="J30" s="1"/>
      <c r="K30" s="1"/>
      <c r="L30" s="1"/>
      <c r="M30" s="1"/>
      <c r="N30" s="1"/>
      <c r="O30" s="1"/>
      <c r="P30" s="1"/>
      <c r="Q30" s="1"/>
      <c r="R30" s="1"/>
      <c r="S30" s="1"/>
      <c r="T30" s="1"/>
      <c r="U30" s="1"/>
      <c r="V30" s="1"/>
      <c r="W30" s="1"/>
      <c r="X30" s="1"/>
      <c r="Y30" s="1"/>
      <c r="Z30" s="2"/>
      <c r="AA30" s="2"/>
      <c r="AB30" s="2"/>
      <c r="AC30" s="2"/>
      <c r="AD30" s="2"/>
      <c r="AE30" s="2"/>
    </row>
    <row r="31" spans="1:31" ht="15.75" x14ac:dyDescent="0.25">
      <c r="A31" s="44"/>
      <c r="B31" s="68"/>
      <c r="C31" s="68"/>
      <c r="D31" s="20"/>
      <c r="E31" s="47"/>
      <c r="F31" s="67"/>
      <c r="G31" s="11"/>
      <c r="H31" s="1"/>
      <c r="I31" s="1"/>
      <c r="J31" s="1"/>
      <c r="K31" s="1"/>
      <c r="L31" s="1"/>
      <c r="M31" s="1"/>
      <c r="N31" s="1"/>
      <c r="O31" s="1"/>
      <c r="P31" s="1"/>
      <c r="Q31" s="1"/>
      <c r="R31" s="1"/>
      <c r="S31" s="1"/>
      <c r="T31" s="1"/>
      <c r="U31" s="1"/>
      <c r="V31" s="1"/>
      <c r="W31" s="1"/>
      <c r="X31" s="1"/>
      <c r="Y31" s="1"/>
      <c r="Z31" s="2"/>
      <c r="AA31" s="2"/>
      <c r="AB31" s="2"/>
      <c r="AC31" s="2"/>
      <c r="AD31" s="2"/>
      <c r="AE31" s="2"/>
    </row>
    <row r="32" spans="1:31" ht="15.75" x14ac:dyDescent="0.25">
      <c r="A32" s="400" t="s">
        <v>22</v>
      </c>
      <c r="B32" s="400"/>
      <c r="C32" s="400"/>
      <c r="D32" s="400"/>
      <c r="E32" s="400"/>
      <c r="F32" s="400"/>
      <c r="G32" s="400"/>
      <c r="H32" s="1"/>
      <c r="I32" s="1"/>
      <c r="J32" s="1"/>
      <c r="K32" s="1"/>
      <c r="L32" s="1"/>
      <c r="M32" s="1"/>
      <c r="N32" s="1"/>
      <c r="O32" s="1"/>
      <c r="P32" s="1"/>
      <c r="Q32" s="1"/>
      <c r="R32" s="1"/>
      <c r="S32" s="1"/>
      <c r="T32" s="1"/>
      <c r="U32" s="1"/>
      <c r="V32" s="1"/>
      <c r="W32" s="1"/>
      <c r="X32" s="1"/>
      <c r="Y32" s="1"/>
      <c r="Z32" s="2"/>
      <c r="AA32" s="2"/>
      <c r="AB32" s="2"/>
      <c r="AC32" s="2"/>
      <c r="AD32" s="2"/>
      <c r="AE32" s="2"/>
    </row>
    <row r="33" spans="1:25" ht="15.75" x14ac:dyDescent="0.25">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82">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82">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82">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82">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82">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5">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5">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5">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5">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5">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5">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5">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8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5">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5">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5">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5">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5">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5">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5">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82">
        <v>1</v>
      </c>
      <c r="D54" s="20" t="s">
        <v>365</v>
      </c>
      <c r="E54" s="47" t="str">
        <f t="shared" ref="E54:E63" si="3">+IF(F54=0,0,CONCATENATE(MID(F54,FIND("-",F54,1)+1,4),"ORAS"))</f>
        <v>15 HORAS</v>
      </c>
      <c r="F54" s="12" t="s">
        <v>335</v>
      </c>
      <c r="G54" s="11">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82">
        <v>1</v>
      </c>
      <c r="D55" s="20" t="s">
        <v>365</v>
      </c>
      <c r="E55" s="47" t="str">
        <f t="shared" si="3"/>
        <v>15 HORAS</v>
      </c>
      <c r="F55" s="12" t="s">
        <v>335</v>
      </c>
      <c r="G55" s="11">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82">
        <v>1</v>
      </c>
      <c r="D56" s="20" t="s">
        <v>365</v>
      </c>
      <c r="E56" s="47" t="str">
        <f t="shared" si="3"/>
        <v>15 HORAS</v>
      </c>
      <c r="F56" s="12" t="s">
        <v>335</v>
      </c>
      <c r="G56" s="11">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3</v>
      </c>
      <c r="C57" s="182">
        <v>1</v>
      </c>
      <c r="D57" s="20" t="s">
        <v>365</v>
      </c>
      <c r="E57" s="47" t="str">
        <f t="shared" si="3"/>
        <v>15 HORAS</v>
      </c>
      <c r="F57" s="12" t="s">
        <v>335</v>
      </c>
      <c r="G57" s="11">
        <f t="shared" si="4"/>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82">
        <v>1</v>
      </c>
      <c r="D58" s="20" t="s">
        <v>365</v>
      </c>
      <c r="E58" s="47" t="str">
        <f t="shared" si="3"/>
        <v>15 HORAS</v>
      </c>
      <c r="F58" s="12" t="s">
        <v>335</v>
      </c>
      <c r="G58" s="11">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82">
        <v>1</v>
      </c>
      <c r="D59" s="20" t="s">
        <v>365</v>
      </c>
      <c r="E59" s="47" t="str">
        <f t="shared" si="3"/>
        <v>15 HORAS</v>
      </c>
      <c r="F59" s="12" t="s">
        <v>335</v>
      </c>
      <c r="G59" s="11">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3</v>
      </c>
      <c r="C60" s="182">
        <v>1</v>
      </c>
      <c r="D60" s="20" t="s">
        <v>365</v>
      </c>
      <c r="E60" s="47" t="str">
        <f t="shared" si="3"/>
        <v>15 HORAS</v>
      </c>
      <c r="F60" s="12" t="s">
        <v>335</v>
      </c>
      <c r="G60" s="11">
        <f t="shared" si="4"/>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82">
        <v>1</v>
      </c>
      <c r="D61" s="20" t="s">
        <v>365</v>
      </c>
      <c r="E61" s="47" t="str">
        <f t="shared" si="3"/>
        <v>15 HORAS</v>
      </c>
      <c r="F61" s="12" t="s">
        <v>335</v>
      </c>
      <c r="G61" s="11">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82">
        <v>1</v>
      </c>
      <c r="D62" s="20" t="s">
        <v>365</v>
      </c>
      <c r="E62" s="47" t="str">
        <f t="shared" si="3"/>
        <v>15 HORAS</v>
      </c>
      <c r="F62" s="12" t="s">
        <v>335</v>
      </c>
      <c r="G62" s="11">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82">
        <v>1</v>
      </c>
      <c r="D63" s="20" t="s">
        <v>365</v>
      </c>
      <c r="E63" s="47" t="str">
        <f t="shared" si="3"/>
        <v>15 HORAS</v>
      </c>
      <c r="F63" s="12" t="s">
        <v>335</v>
      </c>
      <c r="G63" s="11">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8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5">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402"/>
      <c r="K65" s="402"/>
      <c r="L65" s="402"/>
      <c r="M65" s="402"/>
      <c r="N65" s="402"/>
      <c r="O65" s="402"/>
      <c r="P65" s="402"/>
      <c r="Q65" s="1"/>
      <c r="R65" s="1"/>
      <c r="S65" s="1"/>
      <c r="T65" s="1"/>
      <c r="U65" s="1"/>
      <c r="V65" s="1"/>
      <c r="W65" s="1"/>
      <c r="X65" s="1"/>
      <c r="Y65" s="1"/>
      <c r="Z65" s="2"/>
      <c r="AA65" s="2"/>
      <c r="AB65" s="2"/>
      <c r="AC65" s="2"/>
      <c r="AD65" s="2"/>
      <c r="AE65" s="2"/>
    </row>
    <row r="66" spans="1:31"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2"/>
      <c r="AA66" s="2"/>
      <c r="AB66" s="2"/>
      <c r="AC66" s="2"/>
      <c r="AD66" s="2"/>
      <c r="AE66" s="2"/>
    </row>
    <row r="67" spans="1:31" ht="15.75" x14ac:dyDescent="0.25">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c r="Z67" s="2"/>
      <c r="AA67" s="2"/>
      <c r="AB67" s="2"/>
      <c r="AC67" s="2"/>
      <c r="AD67" s="2"/>
      <c r="AE67" s="2"/>
    </row>
    <row r="68" spans="1:31" ht="15.75" hidden="1" x14ac:dyDescent="0.25">
      <c r="A68" s="1"/>
      <c r="B68" s="1"/>
      <c r="C68" s="1"/>
      <c r="D68" s="1"/>
      <c r="E68" s="1"/>
      <c r="F68" s="1"/>
      <c r="G68" s="1"/>
      <c r="H68" s="1"/>
      <c r="I68" s="1"/>
      <c r="J68" s="81" t="s">
        <v>46</v>
      </c>
      <c r="K68" s="144">
        <f>K25+B67+T25+AB25</f>
        <v>98</v>
      </c>
      <c r="L68" s="82"/>
      <c r="M68" s="83"/>
      <c r="N68" s="83"/>
      <c r="O68" s="83"/>
      <c r="P68" s="83"/>
      <c r="Q68" s="1"/>
      <c r="R68" s="1"/>
      <c r="S68" s="1"/>
      <c r="T68" s="1"/>
      <c r="U68" s="1"/>
      <c r="V68" s="1"/>
      <c r="W68" s="1"/>
      <c r="X68" s="1"/>
      <c r="Y68" s="1"/>
      <c r="Z68" s="2"/>
      <c r="AA68" s="2"/>
      <c r="AB68" s="2"/>
      <c r="AC68" s="2"/>
      <c r="AD68" s="2"/>
      <c r="AE68" s="2"/>
    </row>
    <row r="69" spans="1:31" ht="15.75" hidden="1" x14ac:dyDescent="0.25">
      <c r="A69" s="1"/>
      <c r="B69" s="1"/>
      <c r="C69" s="1"/>
      <c r="D69" s="1"/>
      <c r="E69" s="1"/>
      <c r="F69" s="1"/>
      <c r="G69" s="1"/>
      <c r="H69" s="1"/>
      <c r="I69" s="1"/>
      <c r="J69" s="81" t="s">
        <v>47</v>
      </c>
      <c r="K69" s="145">
        <f>L25+C67+U25+AC25</f>
        <v>30</v>
      </c>
      <c r="L69" s="1"/>
      <c r="M69" s="84" t="s">
        <v>0</v>
      </c>
      <c r="N69" s="84" t="s">
        <v>30</v>
      </c>
      <c r="O69" s="84" t="s">
        <v>40</v>
      </c>
      <c r="P69" s="85"/>
      <c r="Q69" s="2"/>
      <c r="R69" s="107"/>
      <c r="S69" s="2"/>
      <c r="T69" s="1"/>
      <c r="U69" s="1"/>
      <c r="V69" s="1"/>
      <c r="W69" s="1"/>
      <c r="X69" s="1"/>
      <c r="Y69" s="1"/>
      <c r="Z69" s="2"/>
      <c r="AA69" s="2"/>
      <c r="AB69" s="2"/>
      <c r="AC69" s="2"/>
      <c r="AD69" s="2"/>
      <c r="AE69" s="2"/>
    </row>
    <row r="70" spans="1:31" ht="27" hidden="1" customHeight="1" thickBot="1" x14ac:dyDescent="0.3">
      <c r="A70" s="1"/>
      <c r="B70" s="1"/>
      <c r="C70" s="1"/>
      <c r="D70" s="1"/>
      <c r="E70" s="1"/>
      <c r="F70" s="1"/>
      <c r="G70" s="1"/>
      <c r="H70" s="1"/>
      <c r="I70" s="1"/>
      <c r="J70" s="86" t="s">
        <v>48</v>
      </c>
      <c r="K70" s="379">
        <f>G67+P25+Y25</f>
        <v>15578538</v>
      </c>
      <c r="L70" s="380"/>
      <c r="M70" s="98">
        <f>SUM(G22,Y20)</f>
        <v>4489017</v>
      </c>
      <c r="N70" s="142">
        <f>SUM(G40,P25,Y4:Y6,Y16,Y21:Y22,Y15)</f>
        <v>6283057</v>
      </c>
      <c r="O70" s="98">
        <f>SUM(G65,Y23)</f>
        <v>4806464</v>
      </c>
      <c r="P70" s="109">
        <f>SUM(M70:O70)</f>
        <v>15578538</v>
      </c>
      <c r="Q70" s="2"/>
      <c r="R70" s="108"/>
      <c r="S70" s="99"/>
      <c r="T70" s="1"/>
      <c r="U70" s="1"/>
      <c r="V70" s="1"/>
      <c r="W70" s="1"/>
      <c r="X70" s="1"/>
      <c r="Y70" s="1"/>
      <c r="Z70" s="2"/>
      <c r="AA70" s="2"/>
      <c r="AB70" s="2"/>
      <c r="AC70" s="2"/>
      <c r="AD70" s="2"/>
      <c r="AE70" s="2"/>
    </row>
    <row r="71" spans="1:31" ht="15.75" thickBo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spans="1:31" ht="36" customHeight="1" thickBot="1" x14ac:dyDescent="0.3">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5">
      <c r="A73" s="419" t="s">
        <v>460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5">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5">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5">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5">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5">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5">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5">
      <c r="A80" s="2"/>
      <c r="B80" s="2"/>
      <c r="C80" s="2"/>
      <c r="D80" s="2"/>
      <c r="E80" s="2"/>
      <c r="F80" s="2"/>
      <c r="G80" s="2"/>
      <c r="H80" s="2"/>
      <c r="I80" s="2"/>
      <c r="J80" s="2"/>
      <c r="K80" s="2"/>
      <c r="L80" s="2"/>
      <c r="M80" s="2"/>
      <c r="N80" s="2"/>
      <c r="O80" s="2"/>
      <c r="P80" s="2"/>
      <c r="Q80" s="2"/>
      <c r="R80" s="2"/>
      <c r="S80" s="87"/>
      <c r="T80" s="88"/>
      <c r="U80" s="87"/>
      <c r="V80" s="2"/>
      <c r="W80" s="2"/>
      <c r="X80" s="2"/>
      <c r="Y80" s="2"/>
      <c r="Z80" s="2"/>
      <c r="AA80" s="2"/>
      <c r="AB80" s="2"/>
      <c r="AC80" s="2"/>
      <c r="AD80" s="2"/>
      <c r="AE80" s="2"/>
    </row>
    <row r="81" spans="1:21" ht="18.75" x14ac:dyDescent="0.25">
      <c r="A81" s="2"/>
      <c r="B81" s="2"/>
      <c r="C81" s="2"/>
      <c r="D81" s="2"/>
      <c r="E81" s="2"/>
      <c r="F81" s="2"/>
      <c r="G81" s="2"/>
      <c r="H81" s="2"/>
      <c r="I81" s="2"/>
      <c r="J81" s="2"/>
      <c r="K81" s="2"/>
      <c r="L81" s="2"/>
      <c r="M81" s="2"/>
      <c r="N81" s="2"/>
      <c r="O81" s="2"/>
      <c r="P81" s="2"/>
      <c r="Q81" s="2"/>
      <c r="R81" s="2"/>
      <c r="S81" s="87"/>
      <c r="T81" s="88"/>
      <c r="U81" s="87"/>
    </row>
    <row r="82" spans="1:21" ht="18.75" x14ac:dyDescent="0.25">
      <c r="A82" s="389"/>
      <c r="B82" s="2"/>
      <c r="C82" s="2"/>
      <c r="D82" s="2"/>
      <c r="E82" s="2"/>
      <c r="F82" s="2"/>
      <c r="G82" s="2"/>
      <c r="H82" s="2"/>
      <c r="I82" s="2"/>
      <c r="J82" s="2"/>
      <c r="K82" s="2"/>
      <c r="L82" s="2"/>
      <c r="M82" s="2"/>
      <c r="N82" s="2"/>
      <c r="O82" s="2"/>
      <c r="P82" s="2"/>
      <c r="Q82" s="2"/>
      <c r="R82" s="2"/>
      <c r="S82" s="87"/>
      <c r="T82" s="88"/>
      <c r="U82" s="87"/>
    </row>
    <row r="83" spans="1:21" ht="18.75" x14ac:dyDescent="0.25">
      <c r="A83" s="389"/>
      <c r="B83" s="2"/>
      <c r="C83" s="2"/>
      <c r="D83" s="2"/>
      <c r="E83" s="2"/>
      <c r="F83" s="2"/>
      <c r="G83" s="2"/>
      <c r="H83" s="2"/>
      <c r="I83" s="2"/>
      <c r="J83" s="2"/>
      <c r="K83" s="2"/>
      <c r="L83" s="2"/>
      <c r="M83" s="2"/>
      <c r="N83" s="2"/>
      <c r="O83" s="2"/>
      <c r="P83" s="2"/>
      <c r="Q83" s="2"/>
      <c r="R83" s="2"/>
      <c r="S83" s="87"/>
      <c r="T83" s="88"/>
      <c r="U83" s="87"/>
    </row>
    <row r="84" spans="1:21" ht="18.75" x14ac:dyDescent="0.25">
      <c r="A84" s="389"/>
      <c r="B84" s="2"/>
      <c r="C84" s="2"/>
      <c r="D84" s="2"/>
      <c r="E84" s="2"/>
      <c r="F84" s="2"/>
      <c r="G84" s="2"/>
      <c r="H84" s="2"/>
      <c r="I84" s="2"/>
      <c r="J84" s="2"/>
      <c r="K84" s="2"/>
      <c r="L84" s="2"/>
      <c r="M84" s="2"/>
      <c r="N84" s="2"/>
      <c r="O84" s="2"/>
      <c r="P84" s="2"/>
      <c r="Q84" s="2"/>
      <c r="R84" s="2"/>
      <c r="S84" s="87"/>
      <c r="T84" s="88"/>
      <c r="U84" s="87"/>
    </row>
    <row r="85" spans="1:21" ht="18.75" x14ac:dyDescent="0.25">
      <c r="A85" s="89"/>
      <c r="B85" s="2"/>
      <c r="C85" s="2"/>
      <c r="D85" s="2"/>
      <c r="E85" s="2"/>
      <c r="F85" s="2"/>
      <c r="G85" s="2"/>
      <c r="H85" s="2"/>
      <c r="I85" s="2"/>
      <c r="J85" s="2"/>
      <c r="K85" s="2"/>
      <c r="L85" s="2"/>
      <c r="M85" s="2"/>
      <c r="N85" s="2"/>
      <c r="O85" s="2"/>
      <c r="P85" s="2"/>
      <c r="Q85" s="2"/>
      <c r="R85" s="2"/>
      <c r="S85" s="87"/>
      <c r="T85" s="88"/>
      <c r="U85" s="87"/>
    </row>
    <row r="86" spans="1:21" ht="18.75" x14ac:dyDescent="0.25">
      <c r="A86" s="89"/>
      <c r="B86" s="2"/>
      <c r="C86" s="2"/>
      <c r="D86" s="2"/>
      <c r="E86" s="2"/>
      <c r="F86" s="2"/>
      <c r="G86" s="2"/>
      <c r="H86" s="2"/>
      <c r="I86" s="2"/>
      <c r="J86" s="2"/>
      <c r="K86" s="2"/>
      <c r="L86" s="2"/>
      <c r="M86" s="2"/>
      <c r="N86" s="2"/>
      <c r="O86" s="2"/>
      <c r="P86" s="2"/>
      <c r="Q86" s="2"/>
      <c r="R86" s="2"/>
      <c r="S86" s="87"/>
      <c r="T86" s="88"/>
      <c r="U86" s="87"/>
    </row>
    <row r="87" spans="1:21" ht="18.75" x14ac:dyDescent="0.25">
      <c r="A87" s="90"/>
      <c r="B87" s="2"/>
      <c r="C87" s="2"/>
      <c r="D87" s="2"/>
      <c r="E87" s="2"/>
      <c r="F87" s="2"/>
      <c r="G87" s="2"/>
      <c r="H87" s="2"/>
      <c r="I87" s="2"/>
      <c r="J87" s="2"/>
      <c r="K87" s="2"/>
      <c r="L87" s="2"/>
      <c r="M87" s="2"/>
      <c r="N87" s="2"/>
      <c r="O87" s="2"/>
      <c r="P87" s="2"/>
      <c r="Q87" s="2"/>
      <c r="R87" s="2"/>
      <c r="S87" s="87"/>
      <c r="T87" s="88"/>
      <c r="U87" s="87"/>
    </row>
    <row r="88" spans="1:21" ht="18.75" x14ac:dyDescent="0.25">
      <c r="A88" s="389" t="s">
        <v>50</v>
      </c>
      <c r="B88" s="391"/>
      <c r="C88" s="2"/>
      <c r="D88" s="2"/>
      <c r="E88" s="2"/>
      <c r="F88" s="2"/>
      <c r="G88" s="2"/>
      <c r="H88" s="2"/>
      <c r="I88" s="2"/>
      <c r="J88" s="2"/>
      <c r="K88" s="2"/>
      <c r="L88" s="2"/>
      <c r="M88" s="2"/>
      <c r="N88" s="2"/>
      <c r="O88" s="2"/>
      <c r="P88" s="2"/>
      <c r="Q88" s="2"/>
      <c r="R88" s="2"/>
      <c r="S88" s="87"/>
      <c r="T88" s="88"/>
      <c r="U88" s="87"/>
    </row>
    <row r="89" spans="1:21" ht="18.75" x14ac:dyDescent="0.25">
      <c r="A89" s="390"/>
      <c r="B89" s="391"/>
      <c r="C89" s="2"/>
      <c r="D89" s="2"/>
      <c r="E89" s="2"/>
      <c r="F89" s="2"/>
      <c r="G89" s="2"/>
      <c r="H89" s="2"/>
      <c r="I89" s="2"/>
      <c r="J89" s="2"/>
      <c r="K89" s="2"/>
      <c r="L89" s="2"/>
      <c r="M89" s="2"/>
      <c r="N89" s="2"/>
      <c r="O89" s="2"/>
      <c r="P89" s="2"/>
      <c r="Q89" s="2"/>
      <c r="R89" s="2"/>
      <c r="S89" s="87"/>
      <c r="T89" s="88"/>
      <c r="U89" s="87"/>
    </row>
    <row r="90" spans="1:21" ht="18.75" x14ac:dyDescent="0.25">
      <c r="A90" s="390"/>
      <c r="B90" s="391"/>
      <c r="C90" s="2"/>
      <c r="D90" s="2"/>
      <c r="E90" s="2"/>
      <c r="F90" s="2"/>
      <c r="G90" s="2"/>
      <c r="H90" s="2"/>
      <c r="I90" s="2"/>
      <c r="J90" s="2"/>
      <c r="K90" s="2"/>
      <c r="L90" s="2"/>
      <c r="M90" s="2"/>
      <c r="N90" s="2"/>
      <c r="O90" s="2"/>
      <c r="P90" s="2"/>
      <c r="Q90" s="2"/>
      <c r="R90" s="2"/>
      <c r="S90" s="87"/>
      <c r="T90" s="88"/>
      <c r="U90" s="87"/>
    </row>
    <row r="91" spans="1:21" ht="18.75" x14ac:dyDescent="0.25">
      <c r="A91" s="89"/>
      <c r="B91" s="91"/>
      <c r="C91" s="2"/>
      <c r="D91" s="2"/>
      <c r="E91" s="2"/>
      <c r="F91" s="2"/>
      <c r="G91" s="2"/>
      <c r="H91" s="2"/>
      <c r="I91" s="2"/>
      <c r="J91" s="2"/>
      <c r="K91" s="2"/>
      <c r="L91" s="2"/>
      <c r="M91" s="2"/>
      <c r="N91" s="2"/>
      <c r="O91" s="2"/>
      <c r="P91" s="2"/>
      <c r="Q91" s="2"/>
      <c r="R91" s="2"/>
      <c r="S91" s="87"/>
      <c r="T91" s="88"/>
      <c r="U91" s="87"/>
    </row>
    <row r="92" spans="1:21" ht="12.75" customHeight="1" x14ac:dyDescent="0.25">
      <c r="A92" s="92"/>
      <c r="B92" s="2"/>
      <c r="C92" s="2"/>
      <c r="D92" s="2"/>
      <c r="E92" s="2"/>
      <c r="F92" s="2"/>
      <c r="G92" s="2"/>
      <c r="H92" s="2"/>
      <c r="I92" s="2"/>
      <c r="J92" s="2"/>
      <c r="K92" s="2"/>
      <c r="L92" s="2"/>
      <c r="M92" s="2"/>
      <c r="N92" s="2"/>
      <c r="O92" s="2"/>
      <c r="P92" s="2"/>
      <c r="Q92" s="2"/>
      <c r="R92" s="2"/>
      <c r="S92" s="2"/>
      <c r="T92" s="2"/>
      <c r="U92" s="2"/>
    </row>
    <row r="93" spans="1:21" ht="12.75" customHeight="1" x14ac:dyDescent="0.25">
      <c r="A93" s="385" t="s">
        <v>51</v>
      </c>
      <c r="B93" s="2"/>
      <c r="C93" s="2"/>
      <c r="D93" s="2"/>
      <c r="E93" s="2"/>
      <c r="F93" s="2"/>
      <c r="G93" s="2"/>
      <c r="H93" s="2"/>
      <c r="I93" s="2"/>
      <c r="J93" s="2"/>
      <c r="K93" s="2"/>
      <c r="L93" s="2"/>
      <c r="M93" s="2"/>
      <c r="N93" s="2"/>
      <c r="O93" s="2"/>
      <c r="P93" s="2"/>
      <c r="Q93" s="2"/>
      <c r="R93" s="2"/>
      <c r="S93" s="2"/>
      <c r="T93" s="2"/>
      <c r="U93" s="2"/>
    </row>
    <row r="94" spans="1:21" ht="12.75" customHeight="1" x14ac:dyDescent="0.25">
      <c r="A94" s="386"/>
      <c r="B94" s="2"/>
      <c r="C94" s="2"/>
      <c r="D94" s="2"/>
      <c r="E94" s="2"/>
      <c r="F94" s="2"/>
      <c r="G94" s="2"/>
      <c r="H94" s="2"/>
      <c r="I94" s="2"/>
      <c r="J94" s="2"/>
      <c r="K94" s="2"/>
      <c r="L94" s="2"/>
      <c r="M94" s="2"/>
      <c r="N94" s="2"/>
      <c r="O94" s="2"/>
      <c r="P94" s="2"/>
      <c r="Q94" s="2"/>
      <c r="R94" s="2"/>
      <c r="S94" s="2"/>
      <c r="T94" s="2"/>
      <c r="U94" s="2"/>
    </row>
    <row r="95" spans="1:21" ht="12.75" customHeight="1" x14ac:dyDescent="0.25">
      <c r="A95" s="386"/>
      <c r="B95" s="2"/>
      <c r="C95" s="2"/>
      <c r="D95" s="2"/>
      <c r="E95" s="2"/>
      <c r="F95" s="2"/>
      <c r="G95" s="2"/>
      <c r="H95" s="2"/>
      <c r="I95" s="2"/>
      <c r="J95" s="2"/>
      <c r="K95" s="2"/>
      <c r="L95" s="2"/>
      <c r="M95" s="2"/>
      <c r="N95" s="2"/>
      <c r="O95" s="2"/>
      <c r="P95" s="2"/>
      <c r="Q95" s="2"/>
      <c r="R95" s="2"/>
      <c r="S95" s="2"/>
      <c r="T95" s="2"/>
      <c r="U95" s="2"/>
    </row>
    <row r="96" spans="1:21" ht="249.75" customHeight="1" x14ac:dyDescent="0.25">
      <c r="A96" s="93"/>
      <c r="B96" s="2"/>
      <c r="C96" s="2"/>
      <c r="D96" s="2"/>
      <c r="E96" s="2"/>
      <c r="F96" s="2"/>
      <c r="G96" s="2"/>
      <c r="H96" s="2"/>
      <c r="I96" s="2"/>
      <c r="J96" s="2"/>
      <c r="K96" s="2"/>
      <c r="L96" s="2"/>
      <c r="M96" s="2"/>
      <c r="N96" s="2"/>
      <c r="O96" s="2"/>
      <c r="P96" s="2"/>
      <c r="Q96" s="2"/>
      <c r="R96" s="2"/>
      <c r="S96" s="2"/>
      <c r="T96" s="2"/>
      <c r="U96" s="2"/>
    </row>
    <row r="97" spans="1:1" x14ac:dyDescent="0.25">
      <c r="A97" s="94"/>
    </row>
    <row r="98" spans="1:1" x14ac:dyDescent="0.25">
      <c r="A98" s="94"/>
    </row>
    <row r="99" spans="1:1" x14ac:dyDescent="0.25">
      <c r="A99" s="94"/>
    </row>
    <row r="100" spans="1:1" x14ac:dyDescent="0.25">
      <c r="A100" s="94"/>
    </row>
    <row r="101" spans="1:1" x14ac:dyDescent="0.25">
      <c r="A101" s="94"/>
    </row>
    <row r="102" spans="1:1" x14ac:dyDescent="0.25">
      <c r="A102" s="94"/>
    </row>
    <row r="103" spans="1:1" x14ac:dyDescent="0.25">
      <c r="A103" s="94"/>
    </row>
    <row r="138" spans="6:14" hidden="1" x14ac:dyDescent="0.25">
      <c r="F138" s="2"/>
      <c r="G138" s="2"/>
      <c r="H138" s="2"/>
      <c r="I138" s="2"/>
      <c r="J138" s="2" t="s">
        <v>234</v>
      </c>
      <c r="K138" s="2" t="s">
        <v>148</v>
      </c>
      <c r="L138" s="2"/>
      <c r="M138" s="2"/>
      <c r="N138" s="2"/>
    </row>
    <row r="139" spans="6:14" s="114" customFormat="1" hidden="1" x14ac:dyDescent="0.25">
      <c r="F139"/>
      <c r="G139" s="114">
        <v>0</v>
      </c>
      <c r="H139" s="114">
        <v>0</v>
      </c>
      <c r="I139" s="114">
        <v>0</v>
      </c>
      <c r="J139" s="114">
        <v>0</v>
      </c>
      <c r="K139" s="114">
        <v>0</v>
      </c>
      <c r="L139" s="114">
        <v>0</v>
      </c>
      <c r="M139" s="114">
        <v>0</v>
      </c>
      <c r="N139" s="114" t="str">
        <f>+CONCATENATE(G139,"VEHICULO",M139)</f>
        <v>0VEHICULO0</v>
      </c>
    </row>
    <row r="140" spans="6:14" s="114" customFormat="1" ht="12.75"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t="12.75"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t="12.75"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t="12.75"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t="12.75"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t="12.75"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t="12.75"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t="12.75"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t="12.75"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t="12.75"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t="12.75"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t="12.75"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t="12.75"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t="12.75"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t="12.75" hidden="1" x14ac:dyDescent="0.2">
      <c r="F154" s="114" t="s">
        <v>294</v>
      </c>
      <c r="G154" s="114" t="s">
        <v>164</v>
      </c>
      <c r="H154" s="114" t="s">
        <v>333</v>
      </c>
      <c r="I154" s="115">
        <v>222709</v>
      </c>
      <c r="J154" s="115" t="s">
        <v>145</v>
      </c>
      <c r="K154" s="126">
        <v>0</v>
      </c>
      <c r="L154" s="114" t="s">
        <v>116</v>
      </c>
      <c r="M154" s="114" t="s">
        <v>149</v>
      </c>
      <c r="N154" s="114" t="str">
        <f t="shared" si="5"/>
        <v>15.40m³-4H-0OP</v>
      </c>
    </row>
    <row r="155" spans="6:14" s="114" customFormat="1" ht="12.75"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t="12.75"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t="12.75"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t="12.75"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t="12.75"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t="12.75"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t="12.75"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t="12.75"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t="12.75"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t="12.75"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t="12.75"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t="12.75"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t="12.75"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t="12.75"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t="12.75"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t="12.75"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t="12.75"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t="12.75"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t="12.75"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t="12.75"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t="12.75"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t="12.75"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t="12.75"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t="12.75"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t="12.75"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t="12.75"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t="12.75"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t="12.75" hidden="1" x14ac:dyDescent="0.2">
      <c r="F182" s="114" t="s">
        <v>310</v>
      </c>
      <c r="G182" s="114" t="s">
        <v>268</v>
      </c>
      <c r="H182" s="114" t="s">
        <v>361</v>
      </c>
      <c r="I182" s="115">
        <v>628232</v>
      </c>
      <c r="N182" s="114" t="str">
        <f t="shared" si="5"/>
        <v>43.BOGOTA-REGION-40m³-</v>
      </c>
    </row>
    <row r="183" spans="6:14" s="114" customFormat="1" ht="12.75" hidden="1" x14ac:dyDescent="0.2">
      <c r="F183" s="114" t="s">
        <v>311</v>
      </c>
      <c r="G183" s="114" t="s">
        <v>269</v>
      </c>
      <c r="H183" s="114" t="s">
        <v>362</v>
      </c>
      <c r="I183" s="115">
        <v>562619</v>
      </c>
      <c r="N183" s="114" t="str">
        <f t="shared" si="5"/>
        <v>44.BOGOTA-REGION-25m³-</v>
      </c>
    </row>
    <row r="184" spans="6:14" s="114" customFormat="1" ht="12.75" hidden="1" x14ac:dyDescent="0.2">
      <c r="F184" s="114" t="s">
        <v>312</v>
      </c>
      <c r="G184" s="114" t="s">
        <v>270</v>
      </c>
      <c r="H184" s="114" t="s">
        <v>363</v>
      </c>
      <c r="I184" s="115">
        <v>418264</v>
      </c>
      <c r="N184" s="114" t="str">
        <f t="shared" si="5"/>
        <v>45.BOGOTA-REGION-FURGON-</v>
      </c>
    </row>
    <row r="185" spans="6:14" s="114" customFormat="1" ht="12.75" hidden="1" x14ac:dyDescent="0.2">
      <c r="F185" s="114" t="s">
        <v>313</v>
      </c>
      <c r="G185" s="114" t="s">
        <v>271</v>
      </c>
      <c r="H185" s="114" t="s">
        <v>364</v>
      </c>
      <c r="I185" s="115">
        <v>288714</v>
      </c>
      <c r="N185" s="114" t="str">
        <f t="shared" si="5"/>
        <v>46.BOGOTA-REGION-4X4</v>
      </c>
    </row>
    <row r="186" spans="6:14" hidden="1" x14ac:dyDescent="0.25">
      <c r="F186" s="2"/>
      <c r="G186" s="2"/>
      <c r="H186" s="114" t="s">
        <v>452</v>
      </c>
      <c r="I186" s="115">
        <f>6*53577</f>
        <v>321462</v>
      </c>
      <c r="J186" s="115" t="s">
        <v>147</v>
      </c>
      <c r="K186" s="2"/>
      <c r="L186" s="2"/>
      <c r="M186" s="2"/>
      <c r="N186" s="2" t="str">
        <f t="shared" si="5"/>
        <v/>
      </c>
    </row>
    <row r="187" spans="6:14" hidden="1" x14ac:dyDescent="0.25">
      <c r="F187" s="2"/>
      <c r="G187" s="2"/>
      <c r="H187" s="114" t="s">
        <v>453</v>
      </c>
      <c r="I187" s="115">
        <f>8*53577</f>
        <v>428616</v>
      </c>
      <c r="J187" s="115" t="s">
        <v>147</v>
      </c>
      <c r="K187" s="2"/>
      <c r="L187" s="2"/>
      <c r="M187" s="2"/>
      <c r="N187" s="2"/>
    </row>
    <row r="188" spans="6:14" hidden="1" x14ac:dyDescent="0.25">
      <c r="F188" s="2"/>
      <c r="G188" s="2"/>
      <c r="H188" s="114" t="s">
        <v>454</v>
      </c>
      <c r="I188" s="115">
        <f>10*53577</f>
        <v>535770</v>
      </c>
      <c r="J188" s="115" t="s">
        <v>147</v>
      </c>
      <c r="K188" s="2"/>
      <c r="L188" s="2"/>
      <c r="M188" s="2"/>
      <c r="N188" s="2"/>
    </row>
    <row r="189" spans="6:14" hidden="1" x14ac:dyDescent="0.25">
      <c r="F189" s="2"/>
      <c r="G189" s="2"/>
      <c r="H189" s="114" t="s">
        <v>455</v>
      </c>
      <c r="I189" s="115">
        <f>12*53577</f>
        <v>642924</v>
      </c>
      <c r="J189" s="115" t="s">
        <v>147</v>
      </c>
      <c r="K189" s="2"/>
      <c r="L189" s="2"/>
      <c r="M189" s="2"/>
      <c r="N189" s="2"/>
    </row>
    <row r="190" spans="6:14" hidden="1" x14ac:dyDescent="0.25">
      <c r="F190" s="2"/>
      <c r="G190" s="2"/>
      <c r="H190" s="114" t="s">
        <v>456</v>
      </c>
      <c r="I190" s="115">
        <f>6*41562</f>
        <v>249372</v>
      </c>
      <c r="J190" s="115" t="s">
        <v>147</v>
      </c>
      <c r="K190" s="2"/>
      <c r="L190" s="2"/>
      <c r="M190" s="2"/>
      <c r="N190" s="2"/>
    </row>
    <row r="191" spans="6:14" hidden="1" x14ac:dyDescent="0.25">
      <c r="F191" s="2"/>
      <c r="G191" s="2"/>
      <c r="H191" s="114" t="s">
        <v>457</v>
      </c>
      <c r="I191" s="115">
        <f>8*41562</f>
        <v>332496</v>
      </c>
      <c r="J191" s="115" t="s">
        <v>147</v>
      </c>
      <c r="K191" s="2"/>
      <c r="L191" s="2"/>
      <c r="M191" s="2"/>
      <c r="N191" s="2"/>
    </row>
    <row r="192" spans="6:14" hidden="1" x14ac:dyDescent="0.25">
      <c r="F192" s="2"/>
      <c r="G192" s="2"/>
      <c r="H192" s="114" t="s">
        <v>458</v>
      </c>
      <c r="I192" s="115">
        <f>10*41562</f>
        <v>415620</v>
      </c>
      <c r="J192" s="115" t="s">
        <v>147</v>
      </c>
      <c r="K192" s="2"/>
      <c r="L192" s="2"/>
      <c r="M192" s="2"/>
      <c r="N192" s="2"/>
    </row>
    <row r="193" spans="8:10" hidden="1" x14ac:dyDescent="0.25">
      <c r="H193" s="114" t="s">
        <v>459</v>
      </c>
      <c r="I193" s="115">
        <f>12*41562</f>
        <v>498744</v>
      </c>
      <c r="J193" s="115" t="s">
        <v>147</v>
      </c>
    </row>
    <row r="194" spans="8:10" hidden="1" x14ac:dyDescent="0.25">
      <c r="H194" s="2"/>
      <c r="I194" s="2"/>
      <c r="J194" s="2"/>
    </row>
    <row r="195" spans="8:10" hidden="1" x14ac:dyDescent="0.25">
      <c r="H195" s="2"/>
      <c r="I195" s="2"/>
      <c r="J195" s="2"/>
    </row>
    <row r="196" spans="8:10" x14ac:dyDescent="0.25">
      <c r="H196" s="2"/>
      <c r="I196" s="2"/>
      <c r="J196" s="2"/>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5B2EF208-843E-4A06-A7F9-AA121C52177E}">
      <formula1>$H$140:$H$185</formula1>
    </dataValidation>
    <dataValidation type="list" allowBlank="1" showInputMessage="1" showErrorMessage="1" sqref="F4:F7 F16:F19 X15:X16 F30:F31 F26:F28 F46:F51 F34:F38 O4:O15 X20:X23 X4:X8 F54:F64 O18:O24" xr:uid="{BAE2A5CD-531E-4BDC-B4B2-5B67F299D6DF}">
      <formula1>$H$139:$H$185</formula1>
    </dataValidation>
    <dataValidation type="list" allowBlank="1" showInputMessage="1" showErrorMessage="1" sqref="F39" xr:uid="{0C7DA298-9C01-4D0E-B772-9154B8926A7A}">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AC96E1-5224-7E4B-BAE0-8616DB7CE575}">
  <sheetPr>
    <tabColor rgb="FFFF0000"/>
  </sheetPr>
  <dimension ref="A1:AE186"/>
  <sheetViews>
    <sheetView view="pageBreakPreview" topLeftCell="H41" zoomScaleNormal="59" zoomScaleSheetLayoutView="100" workbookViewId="0">
      <selection activeCell="O70" sqref="O70"/>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2</v>
      </c>
      <c r="C4" s="10">
        <v>1</v>
      </c>
      <c r="D4" s="10" t="s">
        <v>365</v>
      </c>
      <c r="E4" s="47" t="str">
        <f t="shared" ref="E4:E10" si="1">+IF(F4=0,0,CONCATENATE(MID(F4,FIND("-",F4,1)+1,4),"ORAS"))</f>
        <v>15 HORAS</v>
      </c>
      <c r="F4" s="12" t="s">
        <v>321</v>
      </c>
      <c r="G4" s="164">
        <f>+IF(C4=0,0,IF(F4="","",VLOOKUP(F4,$H$139:$I$185,2,FALSE))*C4)</f>
        <v>448638</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2</v>
      </c>
      <c r="U4" s="155">
        <v>1</v>
      </c>
      <c r="V4" s="20" t="s">
        <v>365</v>
      </c>
      <c r="W4" s="47" t="str">
        <f>+IF(X4=0,0,CONCATENATE(MID(X4,FIND("-",X4,1)+1,4),"ORAS"))</f>
        <v>15 HORAS</v>
      </c>
      <c r="X4" s="12" t="s">
        <v>336</v>
      </c>
      <c r="Y4" s="164">
        <f>+IF(X4="","",VLOOKUP(X4,$H$139:$I$185,2,FALSE))</f>
        <v>388652</v>
      </c>
      <c r="AA4" s="21"/>
      <c r="AB4" s="22"/>
      <c r="AC4" s="22"/>
      <c r="AD4" s="23"/>
      <c r="AE4" s="24"/>
    </row>
    <row r="5" spans="1:31" ht="15.75" x14ac:dyDescent="0.25">
      <c r="A5" s="12" t="s">
        <v>14</v>
      </c>
      <c r="B5" s="128" t="str">
        <f t="shared" si="0"/>
        <v>2</v>
      </c>
      <c r="C5" s="15">
        <v>1</v>
      </c>
      <c r="D5" s="15" t="s">
        <v>365</v>
      </c>
      <c r="E5" s="47" t="str">
        <f t="shared" si="1"/>
        <v>15 HORAS</v>
      </c>
      <c r="F5" s="12" t="s">
        <v>321</v>
      </c>
      <c r="G5" s="164">
        <f>+IF(F5="","",VLOOKUP(F5,$H$139:$I$185,2,FALSE))</f>
        <v>448638</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3</v>
      </c>
      <c r="U5" s="155">
        <v>1</v>
      </c>
      <c r="V5" s="20" t="s">
        <v>365</v>
      </c>
      <c r="W5" s="47" t="str">
        <f>+IF(X5=0,0,CONCATENATE(MID(X5,FIND("-",X5,1)+1,4),"ORAS"))</f>
        <v>15 HORAS</v>
      </c>
      <c r="X5" s="12" t="s">
        <v>335</v>
      </c>
      <c r="Y5" s="164">
        <f>+IF(X5="","",VLOOKUP(X5,$H$139:$I$185,2,FALSE))</f>
        <v>443323</v>
      </c>
      <c r="AA5" s="21"/>
      <c r="AB5" s="22"/>
      <c r="AC5" s="22"/>
      <c r="AD5" s="23"/>
      <c r="AE5" s="24"/>
    </row>
    <row r="6" spans="1:31" ht="15.75" x14ac:dyDescent="0.25">
      <c r="A6" s="12" t="s">
        <v>16</v>
      </c>
      <c r="B6" s="128" t="str">
        <f t="shared" si="0"/>
        <v>2</v>
      </c>
      <c r="C6" s="15">
        <v>1</v>
      </c>
      <c r="D6" s="15" t="s">
        <v>365</v>
      </c>
      <c r="E6" s="47" t="str">
        <f t="shared" si="1"/>
        <v>15 HORAS</v>
      </c>
      <c r="F6" s="12" t="s">
        <v>321</v>
      </c>
      <c r="G6" s="164">
        <f>+IF(F6="","",VLOOKUP(F6,$H$139:$I$185,2,FALSE))</f>
        <v>448638</v>
      </c>
      <c r="H6" s="1"/>
      <c r="I6" s="17"/>
      <c r="J6" s="12"/>
      <c r="K6" s="103"/>
      <c r="L6" s="14"/>
      <c r="M6" s="15"/>
      <c r="N6" s="47">
        <f>+IF(O6=0,0,CONCATENATE(MID(O6,FIND("-",O6,1)+1,4),"ORAS"))</f>
        <v>0</v>
      </c>
      <c r="O6" s="12">
        <v>0</v>
      </c>
      <c r="P6" s="11">
        <f>+IF(O6="","",VLOOKUP(O6,$H$139:$I$185,2,FALSE))</f>
        <v>0</v>
      </c>
      <c r="Q6" s="1"/>
      <c r="R6" s="17" t="s">
        <v>12</v>
      </c>
      <c r="S6" s="40" t="s">
        <v>17</v>
      </c>
      <c r="T6" s="103" t="str">
        <f>+IF(X6=0,0,MID(X6,LEN(X6)-3,1))</f>
        <v>2</v>
      </c>
      <c r="U6" s="155">
        <v>1</v>
      </c>
      <c r="V6" s="20" t="s">
        <v>365</v>
      </c>
      <c r="W6" s="47" t="str">
        <f>+IF(X6=0,0,CONCATENATE(MID(X6,FIND("-",X6,1)+1,4),"ORAS"))</f>
        <v>15 HORAS</v>
      </c>
      <c r="X6" s="12" t="s">
        <v>336</v>
      </c>
      <c r="Y6" s="164">
        <f>+IF(X6="","",VLOOKUP(X6,$H$139:$I$185,2,FALSE))</f>
        <v>388652</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2</v>
      </c>
      <c r="C9" s="15">
        <v>1</v>
      </c>
      <c r="D9" s="15" t="s">
        <v>365</v>
      </c>
      <c r="E9" s="47" t="str">
        <f t="shared" si="1"/>
        <v>15 HORAS</v>
      </c>
      <c r="F9" s="12" t="s">
        <v>321</v>
      </c>
      <c r="G9" s="164">
        <f>+IF(F9="","",VLOOKUP(F9,$H$139:$I$185,2,FALSE))</f>
        <v>448638</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2</v>
      </c>
      <c r="C10" s="15">
        <v>1</v>
      </c>
      <c r="D10" s="15" t="s">
        <v>365</v>
      </c>
      <c r="E10" s="47" t="str">
        <f t="shared" si="1"/>
        <v>15 HORAS</v>
      </c>
      <c r="F10" s="12" t="s">
        <v>321</v>
      </c>
      <c r="G10" s="164">
        <f>+IF(F10="","",VLOOKUP(F10,$H$139:$I$185,2,FALSE))</f>
        <v>448638</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16</v>
      </c>
      <c r="C13" s="128">
        <f>+C10+C9+C8+C7+C6+C5+C4</f>
        <v>7</v>
      </c>
      <c r="D13" s="28"/>
      <c r="E13" s="28"/>
      <c r="F13" s="12"/>
      <c r="G13" s="52">
        <f>+G4+G5+G6+G7+G8+G9+G10</f>
        <v>3273022</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2</v>
      </c>
      <c r="C16" s="156">
        <v>1</v>
      </c>
      <c r="D16" s="10" t="s">
        <v>365</v>
      </c>
      <c r="E16" s="47" t="str">
        <f>+IF(F16=0,0,CONCATENATE(MID(F16,FIND("-",F16,1)+1,4),"ORAS"))</f>
        <v>15 HORAS</v>
      </c>
      <c r="F16" s="47" t="s">
        <v>336</v>
      </c>
      <c r="G16" s="164">
        <f>+IF(C16=0,0,IF(F16="","",VLOOKUP(F16,$H$139:$I$185,2,FALSE))*C16)</f>
        <v>388652</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18</v>
      </c>
      <c r="C22" s="133">
        <f>+C4+C5+C6+C7+C8+C9+C10+C16</f>
        <v>8</v>
      </c>
      <c r="D22" s="51"/>
      <c r="E22" s="131"/>
      <c r="F22" s="51"/>
      <c r="G22" s="52">
        <f>+G13+G16+G17</f>
        <v>3661674</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12</v>
      </c>
      <c r="U25" s="140">
        <f>SUM(U4:U7,U21)</f>
        <v>4</v>
      </c>
      <c r="V25" s="62"/>
      <c r="W25" s="62"/>
      <c r="X25" s="62"/>
      <c r="Y25" s="63">
        <f>SUM(Y4:Y23)</f>
        <v>2847476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2</v>
      </c>
      <c r="C27" s="68">
        <v>1</v>
      </c>
      <c r="D27" s="20" t="s">
        <v>365</v>
      </c>
      <c r="E27" s="47" t="str">
        <f>+IF(F27=0,0,CONCATENATE(MID(F27,FIND("-",F27,1)+1,4),"ORAS"))</f>
        <v>15 HORAS</v>
      </c>
      <c r="F27" s="12" t="s">
        <v>321</v>
      </c>
      <c r="G27" s="164">
        <f>+IF(F27="","",VLOOKUP(F27,$H$139:$I$185,2,FALSE))</f>
        <v>448638</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23</v>
      </c>
      <c r="C40" s="51">
        <f>SUM(C26:C32)+C34+C35+C36+C37+C38+C39</f>
        <v>8</v>
      </c>
      <c r="D40" s="51"/>
      <c r="E40" s="47">
        <f>+IF(F40=0,0,CONCATENATE(MID(F40,FIND("-",F40,1)+1,3),"ORAS"))</f>
        <v>0</v>
      </c>
      <c r="F40" s="51"/>
      <c r="G40" s="52">
        <f>+G26+G27+G28+G29+G30+G31+G34+G35+G36+G37+G38</f>
        <v>3695085</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64">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2</v>
      </c>
      <c r="C55" s="154">
        <v>1</v>
      </c>
      <c r="D55" s="20" t="s">
        <v>365</v>
      </c>
      <c r="E55" s="47" t="str">
        <f t="shared" si="3"/>
        <v>15 HORAS</v>
      </c>
      <c r="F55" s="12" t="s">
        <v>336</v>
      </c>
      <c r="G55" s="164">
        <f t="shared" si="4"/>
        <v>388652</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2</v>
      </c>
      <c r="C57" s="154">
        <v>1</v>
      </c>
      <c r="D57" s="20" t="s">
        <v>365</v>
      </c>
      <c r="E57" s="47" t="str">
        <f t="shared" si="3"/>
        <v>15 HORAS</v>
      </c>
      <c r="F57" s="12" t="s">
        <v>336</v>
      </c>
      <c r="G57" s="164">
        <f t="shared" si="4"/>
        <v>388652</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64">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64">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2</v>
      </c>
      <c r="C60" s="154">
        <v>1</v>
      </c>
      <c r="D60" s="20" t="s">
        <v>365</v>
      </c>
      <c r="E60" s="47" t="str">
        <f t="shared" si="3"/>
        <v>15 HORAS</v>
      </c>
      <c r="F60" s="12" t="s">
        <v>336</v>
      </c>
      <c r="G60" s="164">
        <f t="shared" si="4"/>
        <v>388652</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2</v>
      </c>
      <c r="C61" s="154">
        <v>1</v>
      </c>
      <c r="D61" s="20" t="s">
        <v>365</v>
      </c>
      <c r="E61" s="47" t="str">
        <f t="shared" si="3"/>
        <v>15 HORAS</v>
      </c>
      <c r="F61" s="12" t="s">
        <v>336</v>
      </c>
      <c r="G61" s="164">
        <f t="shared" si="4"/>
        <v>388652</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64">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2</v>
      </c>
      <c r="C63" s="154">
        <v>1</v>
      </c>
      <c r="D63" s="20" t="s">
        <v>365</v>
      </c>
      <c r="E63" s="47" t="str">
        <f t="shared" si="3"/>
        <v>15 HORAS</v>
      </c>
      <c r="F63" s="12" t="s">
        <v>336</v>
      </c>
      <c r="G63" s="164">
        <f t="shared" si="4"/>
        <v>388652</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25</v>
      </c>
      <c r="C65" s="51">
        <f>C59+C60+C61+C62+C63+C46+C47+C48+C49+C50+C54+C55+C56+C57+C58+C64</f>
        <v>10</v>
      </c>
      <c r="D65" s="51"/>
      <c r="E65" s="125"/>
      <c r="F65" s="51"/>
      <c r="G65" s="52">
        <f>+G54+G55+G56+G57+G58+G59+G60+G61+G62+G63</f>
        <v>4159875</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26</v>
      </c>
      <c r="D67" s="62">
        <f>D65+D40+D22</f>
        <v>0</v>
      </c>
      <c r="E67" s="1"/>
      <c r="F67" s="1"/>
      <c r="G67" s="52">
        <f>G65+G40+G22</f>
        <v>11516634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81</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15046695</v>
      </c>
      <c r="L70" s="380"/>
      <c r="M70" s="98">
        <f>SUM(G22,Y20)</f>
        <v>4034908</v>
      </c>
      <c r="N70" s="142">
        <f>SUM(G40,P4:P5,Y4:Y6,Y15:Y16,Y21:Y22)</f>
        <v>6478678</v>
      </c>
      <c r="O70" s="98">
        <f>SUM(G65,Y23)</f>
        <v>4533109</v>
      </c>
      <c r="P70" s="109">
        <f>SUM(M70:O70)</f>
        <v>15046695</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461</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E89A20C7-F1D9-7B44-825A-0D816B0E72E2}">
      <formula1>$H$140:$H$185</formula1>
    </dataValidation>
    <dataValidation type="list" allowBlank="1" showInputMessage="1" showErrorMessage="1" sqref="F4:F7 F16:F19 X15:X16 F30:F31 F26:F28 F46:F51 F34:F38 O4:O15 O18:O24 X4:X8 F54:F64 X20:X23" xr:uid="{D7AB1A1E-E26B-5244-BA1E-1260D6D30B23}">
      <formula1>$H$139:$H$185</formula1>
    </dataValidation>
    <dataValidation type="list" allowBlank="1" showInputMessage="1" showErrorMessage="1" sqref="F39" xr:uid="{A47E89B8-86BA-B743-BA85-6DE6AE49EAE2}">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DF9A63-0E2F-0A4F-9D6B-46F504530084}">
  <sheetPr>
    <tabColor rgb="FFFF0000"/>
  </sheetPr>
  <dimension ref="A1:AE186"/>
  <sheetViews>
    <sheetView view="pageBreakPreview" topLeftCell="I32" zoomScaleNormal="59" zoomScaleSheetLayoutView="100" workbookViewId="0">
      <selection activeCell="P70" sqref="P70"/>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55">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2</v>
      </c>
      <c r="C5" s="15">
        <v>1</v>
      </c>
      <c r="D5" s="15" t="s">
        <v>365</v>
      </c>
      <c r="E5" s="47" t="str">
        <f t="shared" si="1"/>
        <v>15 HORAS</v>
      </c>
      <c r="F5" s="12" t="s">
        <v>321</v>
      </c>
      <c r="G5" s="164">
        <f>+IF(F5="","",VLOOKUP(F5,$H$139:$I$185,2,FALSE))</f>
        <v>448638</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2</v>
      </c>
      <c r="U5" s="155">
        <v>1</v>
      </c>
      <c r="V5" s="20" t="s">
        <v>365</v>
      </c>
      <c r="W5" s="47" t="str">
        <f>+IF(X5=0,0,CONCATENATE(MID(X5,FIND("-",X5,1)+1,4),"ORAS"))</f>
        <v>15 HORAS</v>
      </c>
      <c r="X5" s="12" t="s">
        <v>336</v>
      </c>
      <c r="Y5" s="164">
        <f>+IF(X5="","",VLOOKUP(X5,$H$139:$I$185,2,FALSE))</f>
        <v>388652</v>
      </c>
      <c r="AA5" s="21"/>
      <c r="AB5" s="22"/>
      <c r="AC5" s="22"/>
      <c r="AD5" s="23"/>
      <c r="AE5" s="24"/>
    </row>
    <row r="6" spans="1:31" ht="15.75" x14ac:dyDescent="0.25">
      <c r="A6" s="12" t="s">
        <v>16</v>
      </c>
      <c r="B6" s="128" t="str">
        <f t="shared" si="0"/>
        <v>2</v>
      </c>
      <c r="C6" s="15">
        <v>1</v>
      </c>
      <c r="D6" s="15" t="s">
        <v>365</v>
      </c>
      <c r="E6" s="47" t="str">
        <f t="shared" si="1"/>
        <v>15 HORAS</v>
      </c>
      <c r="F6" s="12" t="s">
        <v>321</v>
      </c>
      <c r="G6" s="164">
        <f>+IF(F6="","",VLOOKUP(F6,$H$139:$I$185,2,FALSE))</f>
        <v>448638</v>
      </c>
      <c r="H6" s="1"/>
      <c r="I6" s="17"/>
      <c r="J6" s="12"/>
      <c r="K6" s="103"/>
      <c r="L6" s="14"/>
      <c r="M6" s="15"/>
      <c r="N6" s="47">
        <f>+IF(O6=0,0,CONCATENATE(MID(O6,FIND("-",O6,1)+1,4),"ORAS"))</f>
        <v>0</v>
      </c>
      <c r="O6" s="12">
        <v>0</v>
      </c>
      <c r="P6" s="11">
        <f>+IF(O6="","",VLOOKUP(O6,$H$139:$I$185,2,FALSE))</f>
        <v>0</v>
      </c>
      <c r="Q6" s="1"/>
      <c r="R6" s="17" t="s">
        <v>12</v>
      </c>
      <c r="S6" s="40" t="s">
        <v>17</v>
      </c>
      <c r="T6" s="103" t="str">
        <f>+IF(X6=0,0,MID(X6,LEN(X6)-3,1))</f>
        <v>2</v>
      </c>
      <c r="U6" s="155">
        <v>1</v>
      </c>
      <c r="V6" s="20" t="s">
        <v>365</v>
      </c>
      <c r="W6" s="47" t="str">
        <f>+IF(X6=0,0,CONCATENATE(MID(X6,FIND("-",X6,1)+1,4),"ORAS"))</f>
        <v>15 HORAS</v>
      </c>
      <c r="X6" s="12" t="s">
        <v>336</v>
      </c>
      <c r="Y6" s="164">
        <f>+IF(X6="","",VLOOKUP(X6,$H$139:$I$185,2,FALSE))</f>
        <v>388652</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3</v>
      </c>
      <c r="C9" s="15">
        <v>1</v>
      </c>
      <c r="D9" s="15" t="s">
        <v>365</v>
      </c>
      <c r="E9" s="47" t="str">
        <f t="shared" si="1"/>
        <v>15 HORAS</v>
      </c>
      <c r="F9" s="12" t="s">
        <v>320</v>
      </c>
      <c r="G9" s="164">
        <f>+IF(F9="","",VLOOKUP(F9,$H$139:$I$185,2,FALSE))</f>
        <v>514916</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1</v>
      </c>
      <c r="C10" s="15">
        <v>1</v>
      </c>
      <c r="D10" s="15" t="s">
        <v>365</v>
      </c>
      <c r="E10" s="47" t="str">
        <f t="shared" si="1"/>
        <v>15 HORAS</v>
      </c>
      <c r="F10" s="12" t="s">
        <v>322</v>
      </c>
      <c r="G10" s="164">
        <f>+IF(F10="","",VLOOKUP(F10,$H$139:$I$185,2,FALSE))</f>
        <v>381163</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17</v>
      </c>
      <c r="C13" s="128">
        <f>+C10+C9+C8+C7+C6+C5+C4</f>
        <v>7</v>
      </c>
      <c r="D13" s="28"/>
      <c r="E13" s="28"/>
      <c r="F13" s="12"/>
      <c r="G13" s="52">
        <f>+G4+G5+G6+G7+G8+G9+G10</f>
        <v>3338103</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20</v>
      </c>
      <c r="C22" s="133">
        <f>+C4+C5+C6+C7+C8+C9+C10+C16</f>
        <v>8</v>
      </c>
      <c r="D22" s="51"/>
      <c r="E22" s="131"/>
      <c r="F22" s="51"/>
      <c r="G22" s="52">
        <f>+G13+G16+G17</f>
        <v>3781426</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433</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12</v>
      </c>
      <c r="U25" s="140">
        <f>SUM(U4:U7,U21)</f>
        <v>4</v>
      </c>
      <c r="V25" s="62"/>
      <c r="W25" s="62"/>
      <c r="X25" s="62"/>
      <c r="Y25" s="63">
        <f>SUM(Y4:Y23)</f>
        <v>2847476</v>
      </c>
      <c r="AA25" s="64"/>
      <c r="AB25" s="64"/>
      <c r="AC25" s="64"/>
      <c r="AD25" s="64"/>
      <c r="AE25" s="65"/>
    </row>
    <row r="26" spans="1:31" ht="15.75" x14ac:dyDescent="0.2">
      <c r="A26" s="175" t="s">
        <v>36</v>
      </c>
      <c r="B26" s="128" t="str">
        <f>+IF(F26=0,0,MID(F26,LEN(F26)-3,1))</f>
        <v>2</v>
      </c>
      <c r="C26" s="10">
        <v>1</v>
      </c>
      <c r="D26" s="10" t="s">
        <v>365</v>
      </c>
      <c r="E26" s="47" t="str">
        <f>+IF(F26=0,0,CONCATENATE(MID(F26,FIND("-",F26,1)+1,4),"ORAS"))</f>
        <v>15 HORAS</v>
      </c>
      <c r="F26" s="12" t="s">
        <v>321</v>
      </c>
      <c r="G26" s="164">
        <f>+IF(C26=0,0,IF(F26="","",VLOOKUP(F26,$H$139:$I$185,2,FALSE))*C26)</f>
        <v>448638</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3</v>
      </c>
      <c r="C27" s="68">
        <v>1</v>
      </c>
      <c r="D27" s="20" t="s">
        <v>365</v>
      </c>
      <c r="E27" s="47" t="str">
        <f>+IF(F27=0,0,CONCATENATE(MID(F27,FIND("-",F27,1)+1,4),"ORAS"))</f>
        <v>15 HORAS</v>
      </c>
      <c r="F27" s="12" t="s">
        <v>320</v>
      </c>
      <c r="G27" s="164">
        <f>+IF(F27="","",VLOOKUP(F27,$H$139:$I$185,2,FALSE))</f>
        <v>514916</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10"/>
      <c r="E30" s="47"/>
      <c r="F30" s="72"/>
      <c r="G30" s="11"/>
      <c r="H30" s="1"/>
      <c r="I30" s="1"/>
      <c r="J30" s="1"/>
      <c r="K30" s="1"/>
      <c r="L30" s="1"/>
      <c r="M30" s="1"/>
      <c r="N30" s="1"/>
      <c r="O30" s="1"/>
      <c r="P30" s="1"/>
      <c r="Q30" s="1"/>
      <c r="R30" s="1"/>
      <c r="S30" s="1"/>
      <c r="T30" s="1"/>
      <c r="U30" s="1"/>
      <c r="V30" s="1"/>
      <c r="W30" s="1"/>
      <c r="X30" s="1"/>
      <c r="Y30" s="1"/>
    </row>
    <row r="31" spans="1:31" ht="15.75" x14ac:dyDescent="0.2">
      <c r="A31" s="44"/>
      <c r="B31" s="68"/>
      <c r="C31" s="188"/>
      <c r="D31" s="15"/>
      <c r="E31" s="12"/>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23</v>
      </c>
      <c r="C40" s="51">
        <f>SUM(C26:C32)+C34+C35+C36+C37+C38+C39</f>
        <v>8</v>
      </c>
      <c r="D40" s="51"/>
      <c r="E40" s="47">
        <f>+IF(F40=0,0,CONCATENATE(MID(F40,FIND("-",F40,1)+1,3),"ORAS"))</f>
        <v>0</v>
      </c>
      <c r="F40" s="51"/>
      <c r="G40" s="52">
        <f>+G26+G27+G28+G29+G30+G31+G34+G35+G36+G37+G38</f>
        <v>3695085</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58" si="2">+IF(F54=0,0,MID(F54,LEN(F54)-3,1))</f>
        <v>3</v>
      </c>
      <c r="C54" s="154">
        <v>1</v>
      </c>
      <c r="D54" s="20" t="s">
        <v>365</v>
      </c>
      <c r="E54" s="47" t="str">
        <f t="shared" ref="E54:E61" si="3">+IF(F54=0,0,CONCATENATE(MID(F54,FIND("-",F54,1)+1,4),"ORAS"))</f>
        <v>15 HORAS</v>
      </c>
      <c r="F54" s="12" t="s">
        <v>335</v>
      </c>
      <c r="G54" s="164">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64">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402"/>
      <c r="K56" s="402"/>
      <c r="L56" s="402"/>
      <c r="M56" s="402"/>
      <c r="N56" s="402"/>
      <c r="O56" s="402"/>
      <c r="P56" s="402"/>
      <c r="Q56" s="1"/>
      <c r="R56" s="1"/>
      <c r="S56" s="1"/>
      <c r="T56" s="1"/>
      <c r="U56" s="1"/>
      <c r="V56" s="1"/>
      <c r="W56" s="1"/>
      <c r="X56" s="1"/>
      <c r="Y56" s="1"/>
    </row>
    <row r="57" spans="1:25" ht="15.75" x14ac:dyDescent="0.25">
      <c r="A57" s="25" t="s">
        <v>372</v>
      </c>
      <c r="B57" s="103" t="str">
        <f t="shared" si="2"/>
        <v>3</v>
      </c>
      <c r="C57" s="154">
        <v>1</v>
      </c>
      <c r="D57" s="20" t="s">
        <v>365</v>
      </c>
      <c r="E57" s="47" t="str">
        <f t="shared" si="3"/>
        <v>15 HORAS</v>
      </c>
      <c r="F57" s="12" t="s">
        <v>335</v>
      </c>
      <c r="G57" s="164">
        <f t="shared" si="4"/>
        <v>443323</v>
      </c>
      <c r="H57" s="1"/>
      <c r="I57" s="1"/>
      <c r="J57" s="402"/>
      <c r="K57" s="402"/>
      <c r="L57" s="402"/>
      <c r="M57" s="402"/>
      <c r="N57" s="402"/>
      <c r="O57" s="402"/>
      <c r="P57" s="402"/>
      <c r="Q57" s="1"/>
      <c r="R57" s="1"/>
      <c r="S57" s="1"/>
      <c r="T57" s="1"/>
      <c r="U57" s="1"/>
      <c r="V57" s="1"/>
      <c r="W57" s="1"/>
      <c r="X57" s="1"/>
      <c r="Y57" s="1"/>
    </row>
    <row r="58" spans="1:25" ht="15.75" x14ac:dyDescent="0.25">
      <c r="A58" s="25" t="s">
        <v>373</v>
      </c>
      <c r="B58" s="103" t="str">
        <f t="shared" si="2"/>
        <v>2</v>
      </c>
      <c r="C58" s="154">
        <v>1</v>
      </c>
      <c r="D58" s="20" t="s">
        <v>365</v>
      </c>
      <c r="E58" s="47" t="str">
        <f t="shared" si="3"/>
        <v>15 HORAS</v>
      </c>
      <c r="F58" s="12" t="s">
        <v>336</v>
      </c>
      <c r="G58" s="164">
        <f t="shared" si="4"/>
        <v>388652</v>
      </c>
      <c r="H58" s="1"/>
      <c r="I58" s="1"/>
      <c r="J58" s="402"/>
      <c r="K58" s="402"/>
      <c r="L58" s="402"/>
      <c r="M58" s="402"/>
      <c r="N58" s="402"/>
      <c r="O58" s="402"/>
      <c r="P58" s="402"/>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c r="C62" s="154"/>
      <c r="D62" s="20"/>
      <c r="E62" s="47"/>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154"/>
      <c r="D63" s="20"/>
      <c r="E63" s="47"/>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14</v>
      </c>
      <c r="C65" s="51">
        <f>C59+C60+C61+C62+C63+C46+C47+C48+C49+C50+C54+C55+C56+C57+C58+C64</f>
        <v>5</v>
      </c>
      <c r="D65" s="51"/>
      <c r="E65" s="125"/>
      <c r="F65" s="51"/>
      <c r="G65" s="52">
        <f>+G54+G55+G56+G57+G58+G59+G60+G61+G62+G63</f>
        <v>2161944</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57</v>
      </c>
      <c r="C67" s="143">
        <f>C65+C40+C22</f>
        <v>21</v>
      </c>
      <c r="D67" s="62">
        <f>D65+D40+D22</f>
        <v>0</v>
      </c>
      <c r="E67" s="1"/>
      <c r="F67" s="1"/>
      <c r="G67" s="52">
        <f>G65+G40+G22</f>
        <v>9638455</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72</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13168516</v>
      </c>
      <c r="L70" s="380"/>
      <c r="M70" s="98">
        <f>SUM(G22,Y21)</f>
        <v>4020688</v>
      </c>
      <c r="N70" s="142">
        <f>SUM(G40,P4:P5,Y4:Y6,Y15:Y16,Y22:Y23)</f>
        <v>6612650</v>
      </c>
      <c r="O70" s="98">
        <f>SUM(G54:G58,Y23)</f>
        <v>2535178</v>
      </c>
      <c r="P70" s="109">
        <f>SUM(M70:O70)</f>
        <v>13168516</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432</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370E7989-D746-724B-97B5-E2B4A3024C19}">
      <formula1>$H$139:$H$184</formula1>
    </dataValidation>
    <dataValidation type="list" allowBlank="1" showInputMessage="1" showErrorMessage="1" sqref="F4:F7 F16:F19 X15:X16 F30:F31 F26:F28 F46:F51 F34:F38 O4:O15 O18:O24 X4:X8 X20:X23 F54:F64" xr:uid="{81AE78A7-09A8-AB40-A3E4-2AE1AC574605}">
      <formula1>$H$139:$H$185</formula1>
    </dataValidation>
    <dataValidation type="list" allowBlank="1" showInputMessage="1" showErrorMessage="1" sqref="F29 F8:F13 F20:F21" xr:uid="{5551329D-359F-7042-A636-84DA81B82A0A}">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52C3-C84C-174C-B33E-36402AD1CEE6}">
  <sheetPr>
    <tabColor rgb="FFFF0000"/>
  </sheetPr>
  <dimension ref="A1:AE186"/>
  <sheetViews>
    <sheetView view="pageBreakPreview" topLeftCell="I30" zoomScaleNormal="59" zoomScaleSheetLayoutView="100" workbookViewId="0">
      <selection activeCell="I28" sqref="I28"/>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t="s">
        <v>508</v>
      </c>
      <c r="M4" s="15" t="s">
        <v>365</v>
      </c>
      <c r="N4" s="47" t="str">
        <f>+IF(O4=0,0,CONCATENATE(MID(O4,FIND("-",O4,1)+1,4),"ORAS"))</f>
        <v>15 HORAS</v>
      </c>
      <c r="O4" s="12" t="s">
        <v>349</v>
      </c>
      <c r="P4" s="335">
        <f>+IF(O4="","",VLOOKUP(O4,$H$139:$I$185,2,FALSE))</f>
        <v>239262</v>
      </c>
      <c r="Q4" s="1"/>
      <c r="R4" s="17" t="s">
        <v>12</v>
      </c>
      <c r="S4" s="40" t="s">
        <v>13</v>
      </c>
      <c r="T4" s="103" t="str">
        <f>+IF(X4=0,0,MID(X4,LEN(X4)-3,1))</f>
        <v>3</v>
      </c>
      <c r="U4" s="155">
        <v>1</v>
      </c>
      <c r="V4" s="20" t="s">
        <v>365</v>
      </c>
      <c r="W4" s="47" t="str">
        <f>+IF(X4=0,0,CONCATENATE(MID(X4,FIND("-",X4,1)+1,4),"ORAS"))</f>
        <v>15 HORAS</v>
      </c>
      <c r="X4" s="12" t="s">
        <v>335</v>
      </c>
      <c r="Y4" s="335">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3</v>
      </c>
      <c r="L5" s="14">
        <v>1</v>
      </c>
      <c r="M5" s="15" t="s">
        <v>365</v>
      </c>
      <c r="N5" s="47" t="str">
        <f>+IF(O5=0,0,CONCATENATE(MID(O5,FIND("-",O5,1)+1,4),"ORAS"))</f>
        <v>15 HORAS</v>
      </c>
      <c r="O5" s="12" t="s">
        <v>335</v>
      </c>
      <c r="P5" s="335">
        <f>+IF(O5="","",VLOOKUP(O5,$H$139:$I$185,2,FALSE))</f>
        <v>443323</v>
      </c>
      <c r="Q5" s="1"/>
      <c r="R5" s="17" t="s">
        <v>12</v>
      </c>
      <c r="S5" s="40" t="s">
        <v>15</v>
      </c>
      <c r="T5" s="103" t="str">
        <f>+IF(X5=0,0,MID(X5,LEN(X5)-3,1))</f>
        <v>2</v>
      </c>
      <c r="U5" s="155">
        <v>1</v>
      </c>
      <c r="V5" s="20" t="s">
        <v>365</v>
      </c>
      <c r="W5" s="47" t="str">
        <f>+IF(X5=0,0,CONCATENATE(MID(X5,FIND("-",X5,1)+1,4),"ORAS"))</f>
        <v>15 HORAS</v>
      </c>
      <c r="X5" s="12" t="s">
        <v>336</v>
      </c>
      <c r="Y5" s="335">
        <f>+IF(X5="","",VLOOKUP(X5,$H$139:$I$185,2,FALSE))</f>
        <v>388652</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2</v>
      </c>
      <c r="U6" s="155">
        <v>1</v>
      </c>
      <c r="V6" s="20" t="s">
        <v>365</v>
      </c>
      <c r="W6" s="47" t="str">
        <f>+IF(X6=0,0,CONCATENATE(MID(X6,FIND("-",X6,1)+1,4),"ORAS"))</f>
        <v>15 HORAS</v>
      </c>
      <c r="X6" s="12" t="s">
        <v>336</v>
      </c>
      <c r="Y6" s="335">
        <f>+IF(X6="","",VLOOKUP(X6,$H$139:$I$185,2,FALSE))</f>
        <v>388652</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2</v>
      </c>
      <c r="C9" s="15">
        <v>1</v>
      </c>
      <c r="D9" s="15" t="s">
        <v>365</v>
      </c>
      <c r="E9" s="47" t="str">
        <f t="shared" si="1"/>
        <v>15 HORAS</v>
      </c>
      <c r="F9" s="12" t="s">
        <v>321</v>
      </c>
      <c r="G9" s="164">
        <f>+IF(F9="","",VLOOKUP(F9,$H$139:$I$185,2,FALSE))</f>
        <v>448638</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64">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21</v>
      </c>
      <c r="C13" s="128">
        <f>+C10+C9+C8+C7+C6+C5+C4</f>
        <v>7</v>
      </c>
      <c r="D13" s="28"/>
      <c r="E13" s="28"/>
      <c r="F13" s="12"/>
      <c r="G13" s="52">
        <f>+G4+G5+G6+G7+G8+G9+G10</f>
        <v>3606182</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2</v>
      </c>
      <c r="U15" s="40">
        <v>0</v>
      </c>
      <c r="V15" s="40" t="s">
        <v>377</v>
      </c>
      <c r="W15" s="47" t="str">
        <f>+IF(X15=0,0,CONCATENATE(MID(X15,FIND("-",X15,1)+1,4),"ORAS"))</f>
        <v>08 HORAS</v>
      </c>
      <c r="X15" s="12" t="s">
        <v>359</v>
      </c>
      <c r="Y15" s="336">
        <f>+IF(X15="","",VLOOKUP(X15,$H$139:$I$185,2,FALSE))*T15</f>
        <v>107154</v>
      </c>
    </row>
    <row r="16" spans="1:31" ht="18.75" customHeight="1" x14ac:dyDescent="0.2">
      <c r="A16" s="174" t="s">
        <v>244</v>
      </c>
      <c r="B16" s="102" t="str">
        <f>+IF(F16=0,0,MID(F16,LEN(F16)-3,1))</f>
        <v>3</v>
      </c>
      <c r="C16" s="156">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336">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335">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335">
        <f>+IF(X21="","",VLOOKUP(X21,$H$139:$I$185,2,FALSE))</f>
        <v>239262</v>
      </c>
      <c r="AA21" s="21"/>
      <c r="AB21" s="21"/>
      <c r="AC21" s="21"/>
      <c r="AD21" s="21"/>
      <c r="AE21" s="21"/>
    </row>
    <row r="22" spans="1:31" ht="15.75" x14ac:dyDescent="0.25">
      <c r="A22" s="50" t="s">
        <v>29</v>
      </c>
      <c r="B22" s="133">
        <f>SUM(B4:B13)+B16+B17+B18+B19+B20+B21</f>
        <v>24</v>
      </c>
      <c r="C22" s="133">
        <f>+C4+C5+C6+C7+C8+C9+C10+C16</f>
        <v>8</v>
      </c>
      <c r="D22" s="51"/>
      <c r="E22" s="131"/>
      <c r="F22" s="51"/>
      <c r="G22" s="52">
        <f>+G13+G16+G17</f>
        <v>4049505</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33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336">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1</v>
      </c>
      <c r="M25" s="60"/>
      <c r="N25" s="60"/>
      <c r="O25" s="60"/>
      <c r="P25" s="137">
        <f>SUM(P4:P23)</f>
        <v>682585</v>
      </c>
      <c r="Q25" s="1"/>
      <c r="R25" s="1"/>
      <c r="S25" s="62" t="s">
        <v>31</v>
      </c>
      <c r="T25" s="140">
        <f>+T15+T16+T4+T5+T6+T7</f>
        <v>11</v>
      </c>
      <c r="U25" s="140">
        <f>SUM(U4:U7,U21)</f>
        <v>4</v>
      </c>
      <c r="V25" s="62"/>
      <c r="W25" s="62"/>
      <c r="X25" s="62"/>
      <c r="Y25" s="63">
        <f>SUM(Y4:Y23)</f>
        <v>2793899</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2</v>
      </c>
      <c r="C27" s="68">
        <v>1</v>
      </c>
      <c r="D27" s="20" t="s">
        <v>365</v>
      </c>
      <c r="E27" s="47" t="str">
        <f>+IF(F27=0,0,CONCATENATE(MID(F27,FIND("-",F27,1)+1,4),"ORAS"))</f>
        <v>15 HORAS</v>
      </c>
      <c r="F27" s="12" t="s">
        <v>321</v>
      </c>
      <c r="G27" s="164">
        <f>+IF(F27="","",VLOOKUP(F27,$H$139:$I$185,2,FALSE))</f>
        <v>448638</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2</v>
      </c>
      <c r="C35" s="154">
        <v>1</v>
      </c>
      <c r="D35" s="20" t="s">
        <v>365</v>
      </c>
      <c r="E35" s="47" t="str">
        <f>+IF(F35=0,0,CONCATENATE(MID(F35,FIND("-",F35,1)+1,4),"ORAS"))</f>
        <v>15 HORAS</v>
      </c>
      <c r="F35" s="12" t="s">
        <v>336</v>
      </c>
      <c r="G35" s="164">
        <f>+IF(F35="","",VLOOKUP(F35,$H$139:$I$185,2,FALSE))</f>
        <v>388652</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2</v>
      </c>
      <c r="C36" s="154">
        <v>1</v>
      </c>
      <c r="D36" s="20" t="s">
        <v>365</v>
      </c>
      <c r="E36" s="47" t="str">
        <f>+IF(F36=0,0,CONCATENATE(MID(F36,FIND("-",F36,1)+1,4),"ORAS"))</f>
        <v>15 HORAS</v>
      </c>
      <c r="F36" s="12" t="s">
        <v>336</v>
      </c>
      <c r="G36" s="164">
        <f>+IF(F36="","",VLOOKUP(F36,$H$139:$I$185,2,FALSE))</f>
        <v>388652</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21</v>
      </c>
      <c r="C40" s="51">
        <f>SUM(C26:C32)+C34+C35+C36+C37+C38+C39</f>
        <v>8</v>
      </c>
      <c r="D40" s="51"/>
      <c r="E40" s="47">
        <f>+IF(F40=0,0,CONCATENATE(MID(F40,FIND("-",F40,1)+1,3),"ORAS"))</f>
        <v>0</v>
      </c>
      <c r="F40" s="51"/>
      <c r="G40" s="52">
        <f>+G26+G27+G28+G29+G30+G31+G34+G35+G36+G37+G38</f>
        <v>3585743</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64">
        <f t="shared" ref="G54:G63" si="4">+IF(F54="","",VLOOKUP(F54,$H$139:$I$185,2,FALSE))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64">
        <f t="shared" si="4"/>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2"/>
        <v>2</v>
      </c>
      <c r="C57" s="154">
        <v>1</v>
      </c>
      <c r="D57" s="20" t="s">
        <v>365</v>
      </c>
      <c r="E57" s="47" t="str">
        <f t="shared" si="3"/>
        <v>15 HORAS</v>
      </c>
      <c r="F57" s="12" t="s">
        <v>336</v>
      </c>
      <c r="G57" s="164">
        <f t="shared" si="4"/>
        <v>388652</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64">
        <f t="shared" si="4"/>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64">
        <f t="shared" si="4"/>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2"/>
        <v>2</v>
      </c>
      <c r="C60" s="154">
        <v>1</v>
      </c>
      <c r="D60" s="20" t="s">
        <v>365</v>
      </c>
      <c r="E60" s="47" t="str">
        <f t="shared" si="3"/>
        <v>15 HORAS</v>
      </c>
      <c r="F60" s="12" t="s">
        <v>336</v>
      </c>
      <c r="G60" s="335">
        <f t="shared" si="4"/>
        <v>388652</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335">
        <f t="shared" si="4"/>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335">
        <f t="shared" si="4"/>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335">
        <f t="shared" si="4"/>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154"/>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28</v>
      </c>
      <c r="C65" s="51">
        <f>C59+C60+C61+C62+C63+C46+C47+C48+C49+C50+C54+C55+C56+C57+C58+C64</f>
        <v>10</v>
      </c>
      <c r="D65" s="51"/>
      <c r="E65" s="125"/>
      <c r="F65" s="51"/>
      <c r="G65" s="52">
        <f>+G54+G55+G56+G57+G58+G59+G60+G61+G62+G63</f>
        <v>4323888</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73</v>
      </c>
      <c r="C67" s="143">
        <f>C65+C40+C22</f>
        <v>26</v>
      </c>
      <c r="D67" s="62">
        <f>D65+D40+D22</f>
        <v>0</v>
      </c>
      <c r="E67" s="1"/>
      <c r="F67" s="1"/>
      <c r="G67" s="52">
        <f>G65+G40+G22</f>
        <v>11959136</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87</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31</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15435620</v>
      </c>
      <c r="L70" s="380"/>
      <c r="M70" s="98">
        <f>SUM(G22,Y20)</f>
        <v>4422739</v>
      </c>
      <c r="N70" s="142">
        <f>SUM(G26:G28,G34:G38,P4:P5,Y4:Y6,Y15:Y16,Y21:Y22)</f>
        <v>6315759</v>
      </c>
      <c r="O70" s="98">
        <f>SUM(G54:G63,Y23)</f>
        <v>4697122</v>
      </c>
      <c r="P70" s="109">
        <f>SUM(M70:O70)</f>
        <v>15435620</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462</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A52:G52"/>
    <mergeCell ref="K70:L70"/>
    <mergeCell ref="A1:G1"/>
    <mergeCell ref="A2:G2"/>
    <mergeCell ref="I2:P2"/>
    <mergeCell ref="R2:Y2"/>
    <mergeCell ref="AA2:AE2"/>
  </mergeCells>
  <dataValidations count="3">
    <dataValidation type="list" allowBlank="1" showInputMessage="1" showErrorMessage="1" sqref="F39" xr:uid="{BA067270-EA49-A74B-A604-66B25AE64398}">
      <formula1>$H$139:$H$184</formula1>
    </dataValidation>
    <dataValidation type="list" allowBlank="1" showInputMessage="1" showErrorMessage="1" sqref="F4:F7 F16:F19 X15:X16 F30:F31 F26:F28 F46:F51 F34:F38 O4:O15 O18:O24 X4:X8 F54:F64 X20:X23" xr:uid="{FECC044E-BBDE-FB45-8C45-883D6D2FEF8E}">
      <formula1>$H$139:$H$185</formula1>
    </dataValidation>
    <dataValidation type="list" allowBlank="1" showInputMessage="1" showErrorMessage="1" sqref="F29 F8:F13 F20:F21" xr:uid="{C5D970C8-2382-364D-BD2D-892D58F0FC90}">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E4612-92C5-1745-BA02-834526E0DFE8}">
  <sheetPr>
    <tabColor rgb="FFFFFF00"/>
  </sheetPr>
  <dimension ref="A1:AE186"/>
  <sheetViews>
    <sheetView view="pageBreakPreview" topLeftCell="I26" zoomScale="90" zoomScaleNormal="59" zoomScaleSheetLayoutView="90" workbookViewId="0">
      <selection activeCell="O18" sqref="O18"/>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0</v>
      </c>
      <c r="C4" s="10">
        <v>1</v>
      </c>
      <c r="D4" s="10" t="s">
        <v>365</v>
      </c>
      <c r="E4" s="47" t="str">
        <f t="shared" ref="E4:E10" si="1">+IF(F4=0,0,CONCATENATE(MID(F4,FIND("-",F4,1)+1,4),"ORAS"))</f>
        <v>15 HORAS</v>
      </c>
      <c r="F4" s="12" t="s">
        <v>323</v>
      </c>
      <c r="G4" s="164">
        <f>+IF(C4=0,0,IF(F4="","",VLOOKUP(F4,$H$139:$I$185,2,FALSE))*C4)</f>
        <v>321680</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33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2</v>
      </c>
      <c r="C5" s="15">
        <v>1</v>
      </c>
      <c r="D5" s="15" t="s">
        <v>365</v>
      </c>
      <c r="E5" s="47" t="str">
        <f t="shared" si="1"/>
        <v>15 HORAS</v>
      </c>
      <c r="F5" s="12" t="s">
        <v>321</v>
      </c>
      <c r="G5" s="164">
        <f t="shared" ref="G5:G10" si="2">+IF(F5="","",VLOOKUP(F5,$H$139:$I$185,2,FALSE))</f>
        <v>448638</v>
      </c>
      <c r="H5" s="1"/>
      <c r="I5" s="17" t="s">
        <v>12</v>
      </c>
      <c r="J5" s="12" t="s">
        <v>54</v>
      </c>
      <c r="K5" s="103">
        <v>3</v>
      </c>
      <c r="L5" s="14">
        <v>1</v>
      </c>
      <c r="M5" s="15" t="s">
        <v>365</v>
      </c>
      <c r="N5" s="47" t="str">
        <f>+IF(O5=0,0,CONCATENATE(MID(O5,FIND("-",O5,1)+1,4),"ORAS"))</f>
        <v>15 HORAS</v>
      </c>
      <c r="O5" s="12" t="s">
        <v>335</v>
      </c>
      <c r="P5" s="164">
        <f>+IF(O5="","",VLOOKUP(O5,$H$139:$I$185,2,FALSE))</f>
        <v>443323</v>
      </c>
      <c r="Q5" s="1"/>
      <c r="R5" s="17" t="s">
        <v>12</v>
      </c>
      <c r="S5" s="40" t="s">
        <v>15</v>
      </c>
      <c r="T5" s="103" t="str">
        <f>+IF(X5=0,0,MID(X5,LEN(X5)-3,1))</f>
        <v>2</v>
      </c>
      <c r="U5" s="337">
        <v>1</v>
      </c>
      <c r="V5" s="20" t="s">
        <v>365</v>
      </c>
      <c r="W5" s="47" t="str">
        <f>+IF(X5=0,0,CONCATENATE(MID(X5,FIND("-",X5,1)+1,4),"ORAS"))</f>
        <v>15 HORAS</v>
      </c>
      <c r="X5" s="12" t="s">
        <v>336</v>
      </c>
      <c r="Y5" s="164">
        <f>+IF(X5="","",VLOOKUP(X5,$H$139:$I$185,2,FALSE))</f>
        <v>388652</v>
      </c>
      <c r="AA5" s="21"/>
      <c r="AB5" s="22"/>
      <c r="AC5" s="22"/>
      <c r="AD5" s="23"/>
      <c r="AE5" s="24"/>
    </row>
    <row r="6" spans="1:31" ht="15.75" x14ac:dyDescent="0.25">
      <c r="A6" s="12" t="s">
        <v>16</v>
      </c>
      <c r="B6" s="128" t="str">
        <f t="shared" si="0"/>
        <v>3</v>
      </c>
      <c r="C6" s="15">
        <v>1</v>
      </c>
      <c r="D6" s="15" t="s">
        <v>365</v>
      </c>
      <c r="E6" s="47" t="str">
        <f t="shared" si="1"/>
        <v>15 HORAS</v>
      </c>
      <c r="F6" s="12" t="s">
        <v>320</v>
      </c>
      <c r="G6" s="164">
        <f t="shared" si="2"/>
        <v>514916</v>
      </c>
      <c r="H6" s="1"/>
      <c r="I6" s="17"/>
      <c r="J6" s="12"/>
      <c r="K6" s="103"/>
      <c r="L6" s="14"/>
      <c r="M6" s="15"/>
      <c r="N6" s="47">
        <f>+IF(O6=0,0,CONCATENATE(MID(O6,FIND("-",O6,1)+1,4),"ORAS"))</f>
        <v>0</v>
      </c>
      <c r="O6" s="12">
        <v>0</v>
      </c>
      <c r="P6" s="11">
        <f>+IF(O6="","",VLOOKUP(O6,$H$139:$I$185,2,FALSE))</f>
        <v>0</v>
      </c>
      <c r="Q6" s="1"/>
      <c r="R6" s="17" t="s">
        <v>12</v>
      </c>
      <c r="S6" s="40" t="s">
        <v>17</v>
      </c>
      <c r="T6" s="103" t="str">
        <f>+IF(X6=0,0,MID(X6,LEN(X6)-3,1))</f>
        <v>3</v>
      </c>
      <c r="U6" s="337">
        <v>1</v>
      </c>
      <c r="V6" s="20" t="s">
        <v>365</v>
      </c>
      <c r="W6" s="47" t="str">
        <f>+IF(X6=0,0,CONCATENATE(MID(X6,FIND("-",X6,1)+1,4),"ORAS"))</f>
        <v>15 HORAS</v>
      </c>
      <c r="X6" s="12" t="s">
        <v>335</v>
      </c>
      <c r="Y6" s="164">
        <f>+IF(X6="","",VLOOKUP(X6,$H$139:$I$185,2,FALSE))</f>
        <v>443323</v>
      </c>
      <c r="AA6" s="21"/>
      <c r="AB6" s="22"/>
      <c r="AC6" s="22"/>
      <c r="AD6" s="23"/>
      <c r="AE6" s="24"/>
    </row>
    <row r="7" spans="1:31" ht="15.75" x14ac:dyDescent="0.25">
      <c r="A7" s="12" t="s">
        <v>28</v>
      </c>
      <c r="B7" s="128" t="str">
        <f t="shared" si="0"/>
        <v>1</v>
      </c>
      <c r="C7" s="15">
        <v>1</v>
      </c>
      <c r="D7" s="15" t="s">
        <v>365</v>
      </c>
      <c r="E7" s="47" t="str">
        <f t="shared" si="1"/>
        <v>15 HORAS</v>
      </c>
      <c r="F7" s="12" t="s">
        <v>322</v>
      </c>
      <c r="G7" s="164">
        <f t="shared" si="2"/>
        <v>381163</v>
      </c>
      <c r="H7" s="1"/>
      <c r="I7" s="17"/>
      <c r="J7" s="12"/>
      <c r="K7" s="103"/>
      <c r="L7" s="14"/>
      <c r="M7" s="15"/>
      <c r="N7" s="47"/>
      <c r="O7" s="12">
        <v>0</v>
      </c>
      <c r="P7" s="11">
        <f>+IF(O7="","",VLOOKUP(O7,$H$139:$I$185,2,FALSE))</f>
        <v>0</v>
      </c>
      <c r="Q7" s="1"/>
      <c r="R7" s="29"/>
      <c r="S7" s="338"/>
      <c r="T7" s="103"/>
      <c r="U7" s="33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 t="shared" si="2"/>
        <v>514916</v>
      </c>
      <c r="H8" s="1"/>
      <c r="I8" s="17"/>
      <c r="J8" s="12"/>
      <c r="K8" s="103"/>
      <c r="L8" s="14"/>
      <c r="M8" s="15"/>
      <c r="N8" s="47"/>
      <c r="O8" s="12">
        <v>0</v>
      </c>
      <c r="P8" s="11">
        <f>+IF(O8="","",VLOOKUP(O8,$H$139:$I$185,2,FALSE))</f>
        <v>0</v>
      </c>
      <c r="Q8" s="1"/>
      <c r="R8" s="17"/>
      <c r="S8" s="340"/>
      <c r="T8" s="337"/>
      <c r="U8" s="33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 t="shared" si="2"/>
        <v>582964</v>
      </c>
      <c r="H9" s="1"/>
      <c r="I9" s="26"/>
      <c r="J9" s="12"/>
      <c r="K9" s="103"/>
      <c r="L9" s="56"/>
      <c r="M9" s="56"/>
      <c r="N9" s="12"/>
      <c r="O9" s="12"/>
      <c r="P9" s="110"/>
      <c r="Q9" s="1"/>
      <c r="R9" s="33"/>
      <c r="S9" s="341"/>
      <c r="T9" s="341"/>
      <c r="U9" s="34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 t="shared" si="2"/>
        <v>514916</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+B10+B9+B8+B7+B6+B5+B4</f>
        <v>16</v>
      </c>
      <c r="C13" s="128">
        <f>+C10+C9+C8+C7+C6+C5+C4</f>
        <v>7</v>
      </c>
      <c r="D13" s="28"/>
      <c r="E13" s="28"/>
      <c r="F13" s="12"/>
      <c r="G13" s="52">
        <f>SUM(G4:G12)</f>
        <v>3279193</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339">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337"/>
      <c r="D18" s="15"/>
      <c r="E18" s="12"/>
      <c r="F18" s="12"/>
      <c r="G18" s="11"/>
      <c r="H18" s="1"/>
      <c r="I18" s="17" t="s">
        <v>12</v>
      </c>
      <c r="J18" s="12" t="s">
        <v>509</v>
      </c>
      <c r="K18" s="103">
        <v>1</v>
      </c>
      <c r="L18" s="14">
        <v>1</v>
      </c>
      <c r="M18" s="15" t="s">
        <v>365</v>
      </c>
      <c r="N18" s="47" t="str">
        <f>+IF(O18=0,0,CONCATENATE(MID(O18,FIND("-",O18,1)+1,4),"ORAS"))</f>
        <v>09 HORAS</v>
      </c>
      <c r="O18" s="12" t="s">
        <v>327</v>
      </c>
      <c r="P18" s="164">
        <f>+IF(O18="","",VLOOKUP(O18,$H$139:$I$185,2,FALSE))</f>
        <v>329397</v>
      </c>
      <c r="Q18" s="1"/>
      <c r="R18" s="382" t="s">
        <v>376</v>
      </c>
      <c r="S18" s="383"/>
      <c r="T18" s="383"/>
      <c r="U18" s="383"/>
      <c r="V18" s="383"/>
      <c r="W18" s="383"/>
      <c r="X18" s="383"/>
      <c r="Y18" s="384"/>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19</v>
      </c>
      <c r="C22" s="133">
        <f>+C4+C5+C6+C7+C8+C9+C10+C16</f>
        <v>8</v>
      </c>
      <c r="D22" s="51"/>
      <c r="E22" s="131"/>
      <c r="F22" s="51"/>
      <c r="G22" s="52">
        <f>SUM(G13,G16:G21)</f>
        <v>3722516</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SUM(K4:K15,K18:K24)</f>
        <v>4</v>
      </c>
      <c r="L25" s="136">
        <f>SUM(L4:L24)</f>
        <v>3</v>
      </c>
      <c r="M25" s="60"/>
      <c r="N25" s="60"/>
      <c r="O25" s="60"/>
      <c r="P25" s="137">
        <f>SUM(P4:P24)</f>
        <v>1011982</v>
      </c>
      <c r="Q25" s="1"/>
      <c r="R25" s="1"/>
      <c r="S25" s="62" t="s">
        <v>31</v>
      </c>
      <c r="T25" s="140">
        <f>+T15+T16+T4+T5+T6+T7</f>
        <v>13</v>
      </c>
      <c r="U25" s="140">
        <f>SUM(U4:U7,U21)</f>
        <v>4</v>
      </c>
      <c r="V25" s="62"/>
      <c r="W25" s="62"/>
      <c r="X25" s="62"/>
      <c r="Y25" s="63">
        <f>SUM(Y4:Y23)</f>
        <v>2902147</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3</v>
      </c>
      <c r="C27" s="68">
        <v>1</v>
      </c>
      <c r="D27" s="20" t="s">
        <v>365</v>
      </c>
      <c r="E27" s="47" t="str">
        <f>+IF(F27=0,0,CONCATENATE(MID(F27,FIND("-",F27,1)+1,4),"ORAS"))</f>
        <v>15 HORAS</v>
      </c>
      <c r="F27" s="12" t="s">
        <v>320</v>
      </c>
      <c r="G27" s="164">
        <f>+IF(F27="","",VLOOKUP(F27,$H$139:$I$185,2,FALSE))</f>
        <v>514916</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34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2</v>
      </c>
      <c r="C35" s="342">
        <v>1</v>
      </c>
      <c r="D35" s="20" t="s">
        <v>365</v>
      </c>
      <c r="E35" s="47" t="str">
        <f>+IF(F35=0,0,CONCATENATE(MID(F35,FIND("-",F35,1)+1,4),"ORAS"))</f>
        <v>15 HORAS</v>
      </c>
      <c r="F35" s="12" t="s">
        <v>336</v>
      </c>
      <c r="G35" s="164">
        <f>+IF(F35="","",VLOOKUP(F35,$H$139:$I$185,2,FALSE))</f>
        <v>388652</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34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34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34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23</v>
      </c>
      <c r="C40" s="51">
        <f>SUM(C26:C32)+C34+C35+C36+C37+C38+C39</f>
        <v>8</v>
      </c>
      <c r="D40" s="51"/>
      <c r="E40" s="47">
        <f>+IF(F40=0,0,CONCATENATE(MID(F40,FIND("-",F40,1)+1,3),"ORAS"))</f>
        <v>0</v>
      </c>
      <c r="F40" s="51"/>
      <c r="G40" s="52">
        <f>SUM(G26:G31,G34:G39)</f>
        <v>3706692</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34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3">+IF(F54=0,0,MID(F54,LEN(F54)-3,1))</f>
        <v>3</v>
      </c>
      <c r="C54" s="342">
        <v>1</v>
      </c>
      <c r="D54" s="20" t="s">
        <v>365</v>
      </c>
      <c r="E54" s="47" t="str">
        <f t="shared" ref="E54:E63" si="4">+IF(F54=0,0,CONCATENATE(MID(F54,FIND("-",F54,1)+1,4),"ORAS"))</f>
        <v>15 HORAS</v>
      </c>
      <c r="F54" s="12" t="s">
        <v>335</v>
      </c>
      <c r="G54" s="164">
        <f t="shared" ref="G54:G63" si="5">+IF(F54="","",VLOOKUP(F54,$H$139:$I$185,2,FALSE))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3"/>
        <v>3</v>
      </c>
      <c r="C55" s="342">
        <v>1</v>
      </c>
      <c r="D55" s="20" t="s">
        <v>365</v>
      </c>
      <c r="E55" s="47" t="str">
        <f t="shared" si="4"/>
        <v>15 HORAS</v>
      </c>
      <c r="F55" s="12" t="s">
        <v>335</v>
      </c>
      <c r="G55" s="164">
        <f t="shared" si="5"/>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3"/>
        <v>3</v>
      </c>
      <c r="C56" s="342">
        <v>1</v>
      </c>
      <c r="D56" s="20" t="s">
        <v>365</v>
      </c>
      <c r="E56" s="47" t="str">
        <f t="shared" si="4"/>
        <v>15 HORAS</v>
      </c>
      <c r="F56" s="12" t="s">
        <v>335</v>
      </c>
      <c r="G56" s="164">
        <f t="shared" si="5"/>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3"/>
        <v>3</v>
      </c>
      <c r="C57" s="342">
        <v>1</v>
      </c>
      <c r="D57" s="20" t="s">
        <v>365</v>
      </c>
      <c r="E57" s="47" t="str">
        <f t="shared" si="4"/>
        <v>15 HORAS</v>
      </c>
      <c r="F57" s="12" t="s">
        <v>335</v>
      </c>
      <c r="G57" s="164">
        <f t="shared" si="5"/>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3"/>
        <v>3</v>
      </c>
      <c r="C58" s="342">
        <v>1</v>
      </c>
      <c r="D58" s="20" t="s">
        <v>365</v>
      </c>
      <c r="E58" s="47" t="str">
        <f t="shared" si="4"/>
        <v>15 HORAS</v>
      </c>
      <c r="F58" s="12" t="s">
        <v>335</v>
      </c>
      <c r="G58" s="164">
        <f t="shared" si="5"/>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3"/>
        <v>3</v>
      </c>
      <c r="C59" s="342">
        <v>1</v>
      </c>
      <c r="D59" s="20" t="s">
        <v>365</v>
      </c>
      <c r="E59" s="47" t="str">
        <f t="shared" si="4"/>
        <v>15 HORAS</v>
      </c>
      <c r="F59" s="12" t="s">
        <v>335</v>
      </c>
      <c r="G59" s="164">
        <f t="shared" si="5"/>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3"/>
        <v>3</v>
      </c>
      <c r="C60" s="342">
        <v>1</v>
      </c>
      <c r="D60" s="20" t="s">
        <v>365</v>
      </c>
      <c r="E60" s="47" t="str">
        <f t="shared" si="4"/>
        <v>15 HORAS</v>
      </c>
      <c r="F60" s="12" t="s">
        <v>335</v>
      </c>
      <c r="G60" s="164">
        <f t="shared" si="5"/>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3"/>
        <v>3</v>
      </c>
      <c r="C61" s="342">
        <v>1</v>
      </c>
      <c r="D61" s="20" t="s">
        <v>365</v>
      </c>
      <c r="E61" s="47" t="str">
        <f t="shared" si="4"/>
        <v>15 HORAS</v>
      </c>
      <c r="F61" s="12" t="s">
        <v>335</v>
      </c>
      <c r="G61" s="164">
        <f t="shared" si="5"/>
        <v>443323</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3"/>
        <v>3</v>
      </c>
      <c r="C62" s="342">
        <v>1</v>
      </c>
      <c r="D62" s="20" t="s">
        <v>365</v>
      </c>
      <c r="E62" s="47" t="str">
        <f t="shared" si="4"/>
        <v>15 HORAS</v>
      </c>
      <c r="F62" s="12" t="s">
        <v>335</v>
      </c>
      <c r="G62" s="164">
        <f t="shared" si="5"/>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3"/>
        <v>3</v>
      </c>
      <c r="C63" s="342">
        <v>1</v>
      </c>
      <c r="D63" s="20" t="s">
        <v>365</v>
      </c>
      <c r="E63" s="47" t="str">
        <f t="shared" si="4"/>
        <v>15 HORAS</v>
      </c>
      <c r="F63" s="12" t="s">
        <v>335</v>
      </c>
      <c r="G63" s="164">
        <f t="shared" si="5"/>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SUM(G46:G51,G54:G64)</f>
        <v>4433230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72</v>
      </c>
      <c r="C67" s="143">
        <f>C65+C40+C22</f>
        <v>26</v>
      </c>
      <c r="D67" s="62">
        <f>D65+D40+D22</f>
        <v>0</v>
      </c>
      <c r="E67" s="1"/>
      <c r="F67" s="1"/>
      <c r="G67" s="52">
        <f>SUM(G22,G40,G65)</f>
        <v>11862438</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89</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15776567</v>
      </c>
      <c r="L70" s="380"/>
      <c r="M70" s="98">
        <f>SUM(G22,Y20)</f>
        <v>4095750</v>
      </c>
      <c r="N70" s="142">
        <f>SUM(G40,P4:P15,P18:P24,Y4:Y8,Y15:Y16,Y21:Y22)</f>
        <v>6874353</v>
      </c>
      <c r="O70" s="98">
        <f>SUM(G46:G51,G54:G63,Y23)</f>
        <v>4806464</v>
      </c>
      <c r="P70" s="109">
        <f>SUM(M70:O70)</f>
        <v>15776567</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510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6">+CONCATENATE(G140,F140)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6"/>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6"/>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6"/>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6"/>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6"/>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6"/>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6"/>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6"/>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6"/>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6"/>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6"/>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6"/>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6"/>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6"/>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6"/>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6"/>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6"/>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6"/>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6"/>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6"/>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6"/>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6"/>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6"/>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6"/>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6"/>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6"/>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6"/>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6"/>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6"/>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6"/>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6"/>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6"/>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6"/>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6"/>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6"/>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6"/>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6"/>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6"/>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6"/>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6"/>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6"/>
        <v>42.OPERARIO-6-H</v>
      </c>
    </row>
    <row r="182" spans="6:14" s="114" customFormat="1" hidden="1" x14ac:dyDescent="0.2">
      <c r="F182" s="114" t="s">
        <v>310</v>
      </c>
      <c r="G182" s="114" t="s">
        <v>268</v>
      </c>
      <c r="H182" s="114" t="s">
        <v>361</v>
      </c>
      <c r="I182" s="115">
        <v>628232</v>
      </c>
      <c r="N182" s="114" t="str">
        <f t="shared" si="6"/>
        <v>43.BOGOTA-REGION-40m³-</v>
      </c>
    </row>
    <row r="183" spans="6:14" s="114" customFormat="1" hidden="1" x14ac:dyDescent="0.2">
      <c r="F183" s="114" t="s">
        <v>311</v>
      </c>
      <c r="G183" s="114" t="s">
        <v>269</v>
      </c>
      <c r="H183" s="114" t="s">
        <v>362</v>
      </c>
      <c r="I183" s="115">
        <v>562619</v>
      </c>
      <c r="N183" s="114" t="str">
        <f t="shared" si="6"/>
        <v>44.BOGOTA-REGION-25m³-</v>
      </c>
    </row>
    <row r="184" spans="6:14" s="114" customFormat="1" hidden="1" x14ac:dyDescent="0.2">
      <c r="F184" s="114" t="s">
        <v>312</v>
      </c>
      <c r="G184" s="114" t="s">
        <v>270</v>
      </c>
      <c r="H184" s="114" t="s">
        <v>363</v>
      </c>
      <c r="I184" s="115">
        <v>418264</v>
      </c>
      <c r="N184" s="114" t="str">
        <f t="shared" si="6"/>
        <v>45.BOGOTA-REGION-FURGON-</v>
      </c>
    </row>
    <row r="185" spans="6:14" s="114" customFormat="1" hidden="1" x14ac:dyDescent="0.2">
      <c r="F185" s="114" t="s">
        <v>313</v>
      </c>
      <c r="G185" s="114" t="s">
        <v>271</v>
      </c>
      <c r="H185" s="114" t="s">
        <v>364</v>
      </c>
      <c r="I185" s="115">
        <v>288714</v>
      </c>
      <c r="N185" s="114" t="str">
        <f t="shared" si="6"/>
        <v>46.BOGOTA-REGION-4X4</v>
      </c>
    </row>
    <row r="186" spans="6:14" x14ac:dyDescent="0.2">
      <c r="H186" s="2" t="s">
        <v>318</v>
      </c>
      <c r="N186" s="2" t="str">
        <f t="shared" si="6"/>
        <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3">
    <dataValidation type="list" allowBlank="1" showInputMessage="1" showErrorMessage="1" sqref="F39" xr:uid="{C66DB2EA-0416-054E-AD5C-EB286B19077A}">
      <formula1>$H$139:$H$184</formula1>
    </dataValidation>
    <dataValidation type="list" allowBlank="1" showInputMessage="1" showErrorMessage="1" sqref="F4:F7 F16:F19 X15:X16 F30:F31 F26:F28 F46:F51 F34:F38 O4:O15 O18:O24 X4:X8 F54:F64 X20:X23" xr:uid="{ABAEF3BD-E262-9E44-AC32-277819ACCE06}">
      <formula1>$H$139:$H$185</formula1>
    </dataValidation>
    <dataValidation type="list" allowBlank="1" showInputMessage="1" showErrorMessage="1" sqref="F29 F8:F13 F20:F21" xr:uid="{5734B410-CA17-D14E-8FA5-5DF446399F73}">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C5D05-E7A4-5548-871D-FC3D32FA0546}">
  <sheetPr>
    <tabColor rgb="FFFF0000"/>
  </sheetPr>
  <dimension ref="A1:AE186"/>
  <sheetViews>
    <sheetView view="pageBreakPreview" topLeftCell="J22" zoomScale="90" zoomScaleNormal="59" zoomScaleSheetLayoutView="90" workbookViewId="0">
      <selection activeCell="X20" sqref="X20:X23"/>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33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 t="shared" ref="G5:G10" si="2">+IF(F5="","",VLOOKUP(F5,$H$139:$I$185,2,FALSE))</f>
        <v>514916</v>
      </c>
      <c r="H5" s="1"/>
      <c r="I5" s="17" t="s">
        <v>12</v>
      </c>
      <c r="J5" s="12" t="s">
        <v>54</v>
      </c>
      <c r="K5" s="103">
        <v>3</v>
      </c>
      <c r="L5" s="14">
        <v>1</v>
      </c>
      <c r="M5" s="15" t="s">
        <v>365</v>
      </c>
      <c r="N5" s="47" t="str">
        <f>+IF(O5=0,0,CONCATENATE(MID(O5,FIND("-",O5,1)+1,4),"ORAS"))</f>
        <v>15 HORAS</v>
      </c>
      <c r="O5" s="12" t="s">
        <v>335</v>
      </c>
      <c r="P5" s="164">
        <f>+IF(O5="","",VLOOKUP(O5,$H$139:$I$185,2,FALSE))</f>
        <v>443323</v>
      </c>
      <c r="Q5" s="1"/>
      <c r="R5" s="17" t="s">
        <v>12</v>
      </c>
      <c r="S5" s="40" t="s">
        <v>15</v>
      </c>
      <c r="T5" s="103" t="str">
        <f>+IF(X5=0,0,MID(X5,LEN(X5)-3,1))</f>
        <v>4</v>
      </c>
      <c r="U5" s="337">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 t="shared" si="2"/>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337">
        <v>1</v>
      </c>
      <c r="V6" s="20" t="s">
        <v>365</v>
      </c>
      <c r="W6" s="47" t="str">
        <f>+IF(X6=0,0,CONCATENATE(MID(X6,FIND("-",X6,1)+1,4),"ORAS"))</f>
        <v>15 HORAS</v>
      </c>
      <c r="X6" s="12" t="s">
        <v>334</v>
      </c>
      <c r="Y6" s="164">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64">
        <f t="shared" si="2"/>
        <v>514916</v>
      </c>
      <c r="H7" s="1"/>
      <c r="I7" s="17"/>
      <c r="J7" s="12"/>
      <c r="K7" s="103"/>
      <c r="L7" s="14"/>
      <c r="M7" s="15"/>
      <c r="N7" s="47"/>
      <c r="O7" s="12">
        <v>0</v>
      </c>
      <c r="P7" s="11">
        <f>+IF(O7="","",VLOOKUP(O7,$H$139:$I$185,2,FALSE))</f>
        <v>0</v>
      </c>
      <c r="Q7" s="1"/>
      <c r="R7" s="29"/>
      <c r="S7" s="338"/>
      <c r="T7" s="103"/>
      <c r="U7" s="33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 t="shared" si="2"/>
        <v>514916</v>
      </c>
      <c r="H8" s="1"/>
      <c r="I8" s="17"/>
      <c r="J8" s="12"/>
      <c r="K8" s="103"/>
      <c r="L8" s="14"/>
      <c r="M8" s="15"/>
      <c r="N8" s="47"/>
      <c r="O8" s="12">
        <v>0</v>
      </c>
      <c r="P8" s="11">
        <f>+IF(O8="","",VLOOKUP(O8,$H$139:$I$185,2,FALSE))</f>
        <v>0</v>
      </c>
      <c r="Q8" s="1"/>
      <c r="R8" s="17"/>
      <c r="S8" s="340"/>
      <c r="T8" s="337"/>
      <c r="U8" s="33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 t="shared" si="2"/>
        <v>582964</v>
      </c>
      <c r="H9" s="1"/>
      <c r="I9" s="26"/>
      <c r="J9" s="12"/>
      <c r="K9" s="103"/>
      <c r="L9" s="56"/>
      <c r="M9" s="56"/>
      <c r="N9" s="12"/>
      <c r="O9" s="12"/>
      <c r="P9" s="110"/>
      <c r="Q9" s="1"/>
      <c r="R9" s="33"/>
      <c r="S9" s="341"/>
      <c r="T9" s="341"/>
      <c r="U9" s="341"/>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64">
        <f t="shared" si="2"/>
        <v>582964</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+B10+B9+B8+B7+B6+B5+B4</f>
        <v>23</v>
      </c>
      <c r="C13" s="128">
        <f>+C10+C9+C8+C7+C6+C5+C4</f>
        <v>7</v>
      </c>
      <c r="D13" s="28"/>
      <c r="E13" s="28"/>
      <c r="F13" s="12"/>
      <c r="G13" s="52">
        <f>SUM(G4:G12)</f>
        <v>3740508</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339">
        <v>1</v>
      </c>
      <c r="D16" s="10" t="s">
        <v>365</v>
      </c>
      <c r="E16" s="47" t="str">
        <f>+IF(F16=0,0,CONCATENATE(MID(F16,FIND("-",F16,1)+1,4),"ORAS"))</f>
        <v>15 HORAS</v>
      </c>
      <c r="F16" s="47" t="s">
        <v>335</v>
      </c>
      <c r="G16" s="164">
        <f>+IF(C16=0,0,IF(F16="","",VLOOKUP(F16,$H$139:$I$185,2,FALSE))*C16)</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337"/>
      <c r="D18" s="15"/>
      <c r="E18" s="12"/>
      <c r="F18" s="12"/>
      <c r="G18" s="11"/>
      <c r="H18" s="1"/>
      <c r="I18" s="17"/>
      <c r="J18" s="12"/>
      <c r="K18" s="103"/>
      <c r="L18" s="14"/>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27"/>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SUM(G13,G16:G21)</f>
        <v>4183831</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SUM(K4:K15,K18:K24)</f>
        <v>3</v>
      </c>
      <c r="L25" s="136">
        <f>SUM(L4:L24)</f>
        <v>2</v>
      </c>
      <c r="M25" s="60"/>
      <c r="N25" s="60"/>
      <c r="O25" s="60"/>
      <c r="P25" s="137">
        <f>SUM(P4:P24)</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3</v>
      </c>
      <c r="C27" s="68">
        <v>1</v>
      </c>
      <c r="D27" s="20" t="s">
        <v>365</v>
      </c>
      <c r="E27" s="47" t="str">
        <f>+IF(F27=0,0,CONCATENATE(MID(F27,FIND("-",F27,1)+1,4),"ORAS"))</f>
        <v>15 HORAS</v>
      </c>
      <c r="F27" s="12" t="s">
        <v>320</v>
      </c>
      <c r="G27" s="164">
        <f>+IF(F27="","",VLOOKUP(F27,$H$139:$I$185,2,FALSE))</f>
        <v>514916</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34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342">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34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34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34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24</v>
      </c>
      <c r="C40" s="51">
        <f>SUM(C26:C32)+C34+C35+C36+C37+C38+C39</f>
        <v>8</v>
      </c>
      <c r="D40" s="51"/>
      <c r="E40" s="47">
        <f>+IF(F40=0,0,CONCATENATE(MID(F40,FIND("-",F40,1)+1,3),"ORAS"))</f>
        <v>0</v>
      </c>
      <c r="F40" s="51"/>
      <c r="G40" s="52">
        <f>SUM(G26:G31,G34:G39)</f>
        <v>3761363</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34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3">+IF(F54=0,0,MID(F54,LEN(F54)-3,1))</f>
        <v>3</v>
      </c>
      <c r="C54" s="342">
        <v>1</v>
      </c>
      <c r="D54" s="20" t="s">
        <v>365</v>
      </c>
      <c r="E54" s="47" t="str">
        <f t="shared" ref="E54:E63" si="4">+IF(F54=0,0,CONCATENATE(MID(F54,FIND("-",F54,1)+1,4),"ORAS"))</f>
        <v>15 HORAS</v>
      </c>
      <c r="F54" s="12" t="s">
        <v>335</v>
      </c>
      <c r="G54" s="164">
        <f t="shared" ref="G54:G63" si="5">+IF(F54="","",VLOOKUP(F54,$H$139:$I$185,2,FALSE))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3"/>
        <v>3</v>
      </c>
      <c r="C55" s="342">
        <v>1</v>
      </c>
      <c r="D55" s="20" t="s">
        <v>365</v>
      </c>
      <c r="E55" s="47" t="str">
        <f t="shared" si="4"/>
        <v>15 HORAS</v>
      </c>
      <c r="F55" s="12" t="s">
        <v>335</v>
      </c>
      <c r="G55" s="164">
        <f t="shared" si="5"/>
        <v>443323</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3"/>
        <v>3</v>
      </c>
      <c r="C56" s="342">
        <v>1</v>
      </c>
      <c r="D56" s="20" t="s">
        <v>365</v>
      </c>
      <c r="E56" s="47" t="str">
        <f t="shared" si="4"/>
        <v>15 HORAS</v>
      </c>
      <c r="F56" s="12" t="s">
        <v>335</v>
      </c>
      <c r="G56" s="164">
        <f t="shared" si="5"/>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3"/>
        <v>3</v>
      </c>
      <c r="C57" s="342">
        <v>1</v>
      </c>
      <c r="D57" s="20" t="s">
        <v>365</v>
      </c>
      <c r="E57" s="47" t="str">
        <f t="shared" si="4"/>
        <v>15 HORAS</v>
      </c>
      <c r="F57" s="12" t="s">
        <v>335</v>
      </c>
      <c r="G57" s="164">
        <f t="shared" si="5"/>
        <v>443323</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3"/>
        <v>3</v>
      </c>
      <c r="C58" s="342">
        <v>1</v>
      </c>
      <c r="D58" s="20" t="s">
        <v>365</v>
      </c>
      <c r="E58" s="47" t="str">
        <f t="shared" si="4"/>
        <v>15 HORAS</v>
      </c>
      <c r="F58" s="12" t="s">
        <v>335</v>
      </c>
      <c r="G58" s="164">
        <f t="shared" si="5"/>
        <v>443323</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3"/>
        <v>3</v>
      </c>
      <c r="C59" s="342">
        <v>1</v>
      </c>
      <c r="D59" s="20" t="s">
        <v>365</v>
      </c>
      <c r="E59" s="47" t="str">
        <f t="shared" si="4"/>
        <v>15 HORAS</v>
      </c>
      <c r="F59" s="12" t="s">
        <v>335</v>
      </c>
      <c r="G59" s="164">
        <f t="shared" si="5"/>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3"/>
        <v>3</v>
      </c>
      <c r="C60" s="342">
        <v>1</v>
      </c>
      <c r="D60" s="20" t="s">
        <v>365</v>
      </c>
      <c r="E60" s="47" t="str">
        <f t="shared" si="4"/>
        <v>15 HORAS</v>
      </c>
      <c r="F60" s="12" t="s">
        <v>335</v>
      </c>
      <c r="G60" s="164">
        <f t="shared" si="5"/>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3"/>
        <v>2</v>
      </c>
      <c r="C61" s="342">
        <v>1</v>
      </c>
      <c r="D61" s="20" t="s">
        <v>365</v>
      </c>
      <c r="E61" s="47" t="str">
        <f t="shared" si="4"/>
        <v>15 HORAS</v>
      </c>
      <c r="F61" s="12" t="s">
        <v>336</v>
      </c>
      <c r="G61" s="164">
        <f t="shared" si="5"/>
        <v>388652</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3"/>
        <v>3</v>
      </c>
      <c r="C62" s="342">
        <v>1</v>
      </c>
      <c r="D62" s="20" t="s">
        <v>365</v>
      </c>
      <c r="E62" s="47" t="str">
        <f t="shared" si="4"/>
        <v>15 HORAS</v>
      </c>
      <c r="F62" s="12" t="s">
        <v>335</v>
      </c>
      <c r="G62" s="164">
        <f t="shared" si="5"/>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3"/>
        <v>3</v>
      </c>
      <c r="C63" s="342">
        <v>1</v>
      </c>
      <c r="D63" s="20" t="s">
        <v>365</v>
      </c>
      <c r="E63" s="47" t="str">
        <f t="shared" si="4"/>
        <v>15 HORAS</v>
      </c>
      <c r="F63" s="12" t="s">
        <v>335</v>
      </c>
      <c r="G63" s="164">
        <f t="shared" si="5"/>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29</v>
      </c>
      <c r="C65" s="51">
        <f>C59+C60+C61+C62+C63+C46+C47+C48+C49+C50+C54+C55+C56+C57+C58+C64</f>
        <v>10</v>
      </c>
      <c r="D65" s="51"/>
      <c r="E65" s="125"/>
      <c r="F65" s="51"/>
      <c r="G65" s="52">
        <f>SUM(G46:G51,G54:G64)</f>
        <v>4378559</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79</v>
      </c>
      <c r="C67" s="143">
        <f>C65+C40+C22</f>
        <v>26</v>
      </c>
      <c r="D67" s="62">
        <f>D65+D40+D22</f>
        <v>0</v>
      </c>
      <c r="E67" s="1"/>
      <c r="F67" s="1"/>
      <c r="G67" s="52">
        <f>SUM(G22,G40,G65)</f>
        <v>12323753</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98</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16079988</v>
      </c>
      <c r="L70" s="380"/>
      <c r="M70" s="98">
        <f>SUM(G22,Y20)</f>
        <v>4557065</v>
      </c>
      <c r="N70" s="142">
        <f>SUM(G40,P4:P15,P18:P24,Y4:Y8,Y15:Y16,Y21:Y22)</f>
        <v>6771130</v>
      </c>
      <c r="O70" s="98">
        <f>SUM(G46:G51,G54:G63,Y23)</f>
        <v>4751793</v>
      </c>
      <c r="P70" s="109">
        <f>SUM(M70:O70)</f>
        <v>16079988</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510</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6">+CONCATENATE(G140,F140)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6"/>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6"/>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6"/>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6"/>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6"/>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6"/>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6"/>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6"/>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6"/>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6"/>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6"/>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6"/>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6"/>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6"/>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6"/>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6"/>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6"/>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6"/>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6"/>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6"/>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6"/>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6"/>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6"/>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6"/>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6"/>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6"/>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6"/>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6"/>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6"/>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6"/>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6"/>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6"/>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6"/>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6"/>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6"/>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6"/>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6"/>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6"/>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6"/>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6"/>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6"/>
        <v>42.OPERARIO-6-H</v>
      </c>
    </row>
    <row r="182" spans="6:14" s="114" customFormat="1" hidden="1" x14ac:dyDescent="0.2">
      <c r="F182" s="114" t="s">
        <v>310</v>
      </c>
      <c r="G182" s="114" t="s">
        <v>268</v>
      </c>
      <c r="H182" s="114" t="s">
        <v>361</v>
      </c>
      <c r="I182" s="115">
        <v>628232</v>
      </c>
      <c r="N182" s="114" t="str">
        <f t="shared" si="6"/>
        <v>43.BOGOTA-REGION-40m³-</v>
      </c>
    </row>
    <row r="183" spans="6:14" s="114" customFormat="1" hidden="1" x14ac:dyDescent="0.2">
      <c r="F183" s="114" t="s">
        <v>311</v>
      </c>
      <c r="G183" s="114" t="s">
        <v>269</v>
      </c>
      <c r="H183" s="114" t="s">
        <v>362</v>
      </c>
      <c r="I183" s="115">
        <v>562619</v>
      </c>
      <c r="N183" s="114" t="str">
        <f t="shared" si="6"/>
        <v>44.BOGOTA-REGION-25m³-</v>
      </c>
    </row>
    <row r="184" spans="6:14" s="114" customFormat="1" hidden="1" x14ac:dyDescent="0.2">
      <c r="F184" s="114" t="s">
        <v>312</v>
      </c>
      <c r="G184" s="114" t="s">
        <v>270</v>
      </c>
      <c r="H184" s="114" t="s">
        <v>363</v>
      </c>
      <c r="I184" s="115">
        <v>418264</v>
      </c>
      <c r="N184" s="114" t="str">
        <f t="shared" si="6"/>
        <v>45.BOGOTA-REGION-FURGON-</v>
      </c>
    </row>
    <row r="185" spans="6:14" s="114" customFormat="1" hidden="1" x14ac:dyDescent="0.2">
      <c r="F185" s="114" t="s">
        <v>313</v>
      </c>
      <c r="G185" s="114" t="s">
        <v>271</v>
      </c>
      <c r="H185" s="114" t="s">
        <v>364</v>
      </c>
      <c r="I185" s="115">
        <v>288714</v>
      </c>
      <c r="N185" s="114" t="str">
        <f t="shared" si="6"/>
        <v>46.BOGOTA-REGION-4X4</v>
      </c>
    </row>
    <row r="186" spans="6:14" x14ac:dyDescent="0.2">
      <c r="H186" s="2" t="s">
        <v>318</v>
      </c>
      <c r="N186" s="2" t="str">
        <f t="shared" si="6"/>
        <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3">
    <dataValidation type="list" allowBlank="1" showInputMessage="1" showErrorMessage="1" sqref="F29 F8:F13 F20:F21" xr:uid="{B1912339-09BB-244F-986B-68BD44C4B3D0}">
      <formula1>$H$140:$H$185</formula1>
    </dataValidation>
    <dataValidation type="list" allowBlank="1" showInputMessage="1" showErrorMessage="1" sqref="F4:F7 F16:F19 X15:X16 F30:F31 F26:F28 F46:F51 F34:F38 O4:O15 X20:X23 X4:X8 F54:F64 O18:O24" xr:uid="{5C884C29-38CB-194E-8FD6-3C03B58BA69C}">
      <formula1>$H$139:$H$185</formula1>
    </dataValidation>
    <dataValidation type="list" allowBlank="1" showInputMessage="1" showErrorMessage="1" sqref="F39" xr:uid="{64CA3632-42AD-2D40-8202-9B7D6CD79F20}">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CD317-3886-8049-9010-EEE69568D9E6}">
  <sheetPr>
    <tabColor rgb="FFFF0000"/>
  </sheetPr>
  <dimension ref="A1:AE186"/>
  <sheetViews>
    <sheetView view="pageBreakPreview" topLeftCell="I41" zoomScaleNormal="59" zoomScaleSheetLayoutView="100" workbookViewId="0">
      <selection activeCell="X37" sqref="X37"/>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16</v>
      </c>
      <c r="B4" s="128">
        <v>3</v>
      </c>
      <c r="C4" s="15">
        <v>1</v>
      </c>
      <c r="D4" s="15" t="s">
        <v>365</v>
      </c>
      <c r="E4" s="47">
        <f t="shared" ref="E4:E11" si="0">+IF(F4=0,0,CONCATENATE(MID(F4,FIND("-",F4,1)+1,4),"ORAS"))</f>
        <v>0</v>
      </c>
      <c r="F4" s="12">
        <v>0</v>
      </c>
      <c r="G4" s="164">
        <f>+IF(F4="","",VLOOKUP(F4,$H$139:$I$185,2,FALSE))</f>
        <v>0</v>
      </c>
      <c r="H4" s="1"/>
      <c r="I4" s="17" t="s">
        <v>12</v>
      </c>
      <c r="J4" s="12" t="s">
        <v>54</v>
      </c>
      <c r="K4" s="103" t="str">
        <f>+IF(O4=0,0,MID(O4,LEN(O4)-3,1))</f>
        <v>4</v>
      </c>
      <c r="L4" s="14">
        <v>1</v>
      </c>
      <c r="M4" s="15" t="s">
        <v>365</v>
      </c>
      <c r="N4" s="47" t="str">
        <f>+IF(O4=0,0,CONCATENATE(MID(O4,FIND("-",O4,1)+1,4),"ORAS"))</f>
        <v>09 HORAS</v>
      </c>
      <c r="O4" s="12" t="s">
        <v>324</v>
      </c>
      <c r="P4" s="164">
        <f>+IF(O4="","",VLOOKUP(O4,$H$139:$I$185,2,FALSE))</f>
        <v>509192</v>
      </c>
      <c r="Q4" s="1"/>
      <c r="R4" s="17" t="s">
        <v>12</v>
      </c>
      <c r="S4" s="340" t="s">
        <v>17</v>
      </c>
      <c r="T4" s="103" t="str">
        <f>+IF(X4=0,0,MID(X4,LEN(X4)-3,1))</f>
        <v>3</v>
      </c>
      <c r="U4" s="337">
        <v>1</v>
      </c>
      <c r="V4" s="20" t="s">
        <v>365</v>
      </c>
      <c r="W4" s="47" t="str">
        <f>+IF(X4=0,0,CONCATENATE(MID(X4,FIND("-",X4,1)+1,4),"ORAS"))</f>
        <v>04 HORAS</v>
      </c>
      <c r="X4" s="12" t="s">
        <v>345</v>
      </c>
      <c r="Y4" s="164">
        <f>+IF(X4="","",VLOOKUP(X4,$H$139:$I$185,2,FALSE))</f>
        <v>323876</v>
      </c>
      <c r="AA4" s="21"/>
      <c r="AB4" s="22"/>
      <c r="AC4" s="22"/>
      <c r="AD4" s="23"/>
      <c r="AE4" s="24"/>
    </row>
    <row r="5" spans="1:31" ht="15.75" x14ac:dyDescent="0.25">
      <c r="A5" s="9" t="s">
        <v>408</v>
      </c>
      <c r="B5" s="128">
        <v>4</v>
      </c>
      <c r="C5" s="15">
        <v>1</v>
      </c>
      <c r="D5" s="15" t="s">
        <v>365</v>
      </c>
      <c r="E5" s="47" t="str">
        <f t="shared" si="0"/>
        <v>04 HORAS</v>
      </c>
      <c r="F5" s="12" t="s">
        <v>329</v>
      </c>
      <c r="G5" s="164">
        <f>+IF(F5="","",VLOOKUP(F5,$H$139:$I$185,2,FALSE))</f>
        <v>420585</v>
      </c>
      <c r="H5" s="1"/>
      <c r="I5" s="17"/>
      <c r="J5" s="12"/>
      <c r="K5" s="103"/>
      <c r="L5" s="14"/>
      <c r="M5" s="15"/>
      <c r="N5" s="47">
        <f>+IF(O5=0,0,CONCATENATE(MID(O5,FIND("-",O5,1)+1,4),"ORAS"))</f>
        <v>0</v>
      </c>
      <c r="O5" s="12">
        <v>0</v>
      </c>
      <c r="P5" s="11">
        <f>+IF(O5="","",VLOOKUP(O5,$H$139:$I$185,2,FALSE))</f>
        <v>0</v>
      </c>
      <c r="Q5" s="1"/>
      <c r="R5" s="17"/>
      <c r="S5" s="340"/>
      <c r="T5" s="103">
        <f>+IF(X5=0,0,MID(X5,LEN(X5)-3,1))</f>
        <v>0</v>
      </c>
      <c r="U5" s="337">
        <v>0</v>
      </c>
      <c r="V5" s="20" t="s">
        <v>365</v>
      </c>
      <c r="W5" s="47">
        <f>+IF(X5=0,0,CONCATENATE(MID(X5,FIND("-",X5,1)+1,4),"ORAS"))</f>
        <v>0</v>
      </c>
      <c r="X5" s="12">
        <v>0</v>
      </c>
      <c r="Y5" s="343">
        <f>+IF(X5="","",VLOOKUP(X5,$H$139:$I$185,2,FALSE))</f>
        <v>0</v>
      </c>
      <c r="AA5" s="21"/>
      <c r="AB5" s="22"/>
      <c r="AC5" s="22"/>
      <c r="AD5" s="23"/>
      <c r="AE5" s="24"/>
    </row>
    <row r="6" spans="1:31" ht="15.75" x14ac:dyDescent="0.25">
      <c r="A6" s="25" t="s">
        <v>28</v>
      </c>
      <c r="B6" s="128">
        <v>3</v>
      </c>
      <c r="C6" s="10">
        <v>1</v>
      </c>
      <c r="D6" s="10" t="s">
        <v>365</v>
      </c>
      <c r="E6" s="47" t="str">
        <f t="shared" si="0"/>
        <v>04 HORAS</v>
      </c>
      <c r="F6" s="12" t="s">
        <v>330</v>
      </c>
      <c r="G6" s="164">
        <f>+IF(F6="","",VLOOKUP(F6,$H$139:$I$185,2,FALSE))</f>
        <v>369327</v>
      </c>
      <c r="H6" s="1"/>
      <c r="I6" s="17"/>
      <c r="J6" s="12"/>
      <c r="K6" s="103"/>
      <c r="L6" s="14"/>
      <c r="M6" s="15"/>
      <c r="N6" s="47">
        <f>+IF(O6=0,0,CONCATENATE(MID(O6,FIND("-",O6,1)+1,4),"ORAS"))</f>
        <v>0</v>
      </c>
      <c r="O6" s="12">
        <v>0</v>
      </c>
      <c r="P6" s="11">
        <f>+IF(O6="","",VLOOKUP(O6,$H$139:$I$185,2,FALSE))</f>
        <v>0</v>
      </c>
      <c r="Q6" s="1"/>
      <c r="R6" s="17"/>
      <c r="S6" s="340"/>
      <c r="T6" s="103">
        <f>+IF(X6=0,0,MID(X6,LEN(X6)-3,1))</f>
        <v>0</v>
      </c>
      <c r="U6" s="337">
        <v>0</v>
      </c>
      <c r="V6" s="20" t="s">
        <v>365</v>
      </c>
      <c r="W6" s="47">
        <f>+IF(X6=0,0,CONCATENATE(MID(X6,FIND("-",X6,1)+1,4),"ORAS"))</f>
        <v>0</v>
      </c>
      <c r="X6" s="12">
        <v>0</v>
      </c>
      <c r="Y6" s="343">
        <f>+IF(X6="","",VLOOKUP(X6,$H$139:$I$185,2,FALSE))</f>
        <v>0</v>
      </c>
      <c r="AA6" s="21"/>
      <c r="AB6" s="22"/>
      <c r="AC6" s="22"/>
      <c r="AD6" s="23"/>
      <c r="AE6" s="24"/>
    </row>
    <row r="7" spans="1:31" ht="15.75" x14ac:dyDescent="0.25">
      <c r="A7" s="25"/>
      <c r="B7" s="128">
        <v>0</v>
      </c>
      <c r="C7" s="10">
        <v>0</v>
      </c>
      <c r="D7" s="10" t="s">
        <v>511</v>
      </c>
      <c r="E7" s="47">
        <f t="shared" si="0"/>
        <v>0</v>
      </c>
      <c r="F7" s="12">
        <v>0</v>
      </c>
      <c r="G7" s="343">
        <f>+IF(F7="","",VLOOKUP(F7,$H$139:$I$185,2,FALSE))</f>
        <v>0</v>
      </c>
      <c r="H7" s="1"/>
      <c r="I7" s="17"/>
      <c r="J7" s="12"/>
      <c r="K7" s="103">
        <v>0</v>
      </c>
      <c r="L7" s="14">
        <v>0</v>
      </c>
      <c r="M7" s="15"/>
      <c r="N7" s="47">
        <f>+IF(O7=0,0,CONCATENATE(MID(O7,FIND("-",O7,1)+1,4),"ORAS"))</f>
        <v>0</v>
      </c>
      <c r="O7" s="12">
        <v>0</v>
      </c>
      <c r="P7" s="11">
        <f>+IF(O7="","",VLOOKUP(O7,$H$139:$I$185,2,FALSE))</f>
        <v>0</v>
      </c>
      <c r="Q7" s="1"/>
      <c r="R7" s="29"/>
      <c r="S7" s="338"/>
      <c r="T7" s="103"/>
      <c r="U7" s="339"/>
      <c r="V7" s="10"/>
      <c r="W7" s="47"/>
      <c r="X7" s="12">
        <v>0</v>
      </c>
      <c r="Y7" s="343">
        <f>+IF(X7="","",VLOOKUP(X7,$H$139:$I$185,2,FALSE))</f>
        <v>0</v>
      </c>
      <c r="AA7" s="21"/>
      <c r="AB7" s="21"/>
      <c r="AC7" s="21"/>
      <c r="AD7" s="21"/>
      <c r="AE7" s="21"/>
    </row>
    <row r="8" spans="1:31" ht="15.75" x14ac:dyDescent="0.25">
      <c r="A8" s="25"/>
      <c r="B8" s="128">
        <v>0</v>
      </c>
      <c r="C8" s="15">
        <v>0</v>
      </c>
      <c r="D8" s="15" t="s">
        <v>511</v>
      </c>
      <c r="E8" s="47">
        <f t="shared" si="0"/>
        <v>0</v>
      </c>
      <c r="F8" s="12">
        <v>0</v>
      </c>
      <c r="G8" s="11">
        <f>+IF(C8=0,0,IF(F8="","",VLOOKUP(F8,$H$139:$I$185,2,FALSE))*C8)</f>
        <v>0</v>
      </c>
      <c r="H8" s="1"/>
      <c r="I8" s="17"/>
      <c r="J8" s="12"/>
      <c r="K8" s="103"/>
      <c r="L8" s="14"/>
      <c r="M8" s="15"/>
      <c r="N8" s="47">
        <f>+IF(O8=0,0,CONCATENATE(MID(O8,FIND("-",O8,1)+1,4),"ORAS"))</f>
        <v>0</v>
      </c>
      <c r="O8" s="12">
        <v>0</v>
      </c>
      <c r="P8" s="11">
        <f>+IF(O8="","",VLOOKUP(O8,$H$139:$I$185,2,FALSE))</f>
        <v>0</v>
      </c>
      <c r="Q8" s="1"/>
      <c r="R8" s="17"/>
      <c r="S8" s="340"/>
      <c r="T8" s="337"/>
      <c r="U8" s="337">
        <f>+U4+U5+U6+U7</f>
        <v>1</v>
      </c>
      <c r="V8" s="15"/>
      <c r="W8" s="12"/>
      <c r="X8" s="12"/>
      <c r="Y8" s="139"/>
      <c r="AA8" s="21"/>
      <c r="AB8" s="21"/>
      <c r="AC8" s="21"/>
      <c r="AD8" s="21"/>
      <c r="AE8" s="21"/>
    </row>
    <row r="9" spans="1:31" ht="15.75" x14ac:dyDescent="0.25">
      <c r="A9" s="25"/>
      <c r="B9" s="128">
        <f>+IF(F9=0,0,MID(F9,LEN(F9)-3,1))</f>
        <v>0</v>
      </c>
      <c r="C9" s="15">
        <v>0</v>
      </c>
      <c r="D9" s="15" t="s">
        <v>511</v>
      </c>
      <c r="E9" s="47">
        <f t="shared" si="0"/>
        <v>0</v>
      </c>
      <c r="F9" s="12">
        <v>0</v>
      </c>
      <c r="G9" s="11">
        <f>+IF(F10="","",VLOOKUP(F10,$H$139:$I$185,2,FALSE))</f>
        <v>0</v>
      </c>
      <c r="H9" s="1"/>
      <c r="I9" s="26"/>
      <c r="J9" s="12"/>
      <c r="K9" s="103"/>
      <c r="L9" s="56"/>
      <c r="M9" s="56"/>
      <c r="N9" s="12"/>
      <c r="O9" s="12"/>
      <c r="P9" s="110"/>
      <c r="Q9" s="1"/>
      <c r="R9" s="33"/>
      <c r="S9" s="341"/>
      <c r="T9" s="341"/>
      <c r="U9" s="341"/>
      <c r="V9" s="35"/>
      <c r="W9" s="35"/>
      <c r="X9" s="35"/>
      <c r="Y9" s="1"/>
      <c r="AA9" s="21"/>
      <c r="AB9" s="21"/>
      <c r="AC9" s="21"/>
      <c r="AD9" s="21"/>
      <c r="AE9" s="21"/>
    </row>
    <row r="10" spans="1:31" ht="15.75" x14ac:dyDescent="0.25">
      <c r="A10" s="127"/>
      <c r="B10" s="128">
        <f>+IF(F10=0,0,MID(F10,LEN(F10)-3,1))</f>
        <v>0</v>
      </c>
      <c r="C10" s="15">
        <v>0</v>
      </c>
      <c r="D10" s="15" t="s">
        <v>511</v>
      </c>
      <c r="E10" s="47">
        <f t="shared" si="0"/>
        <v>0</v>
      </c>
      <c r="F10" s="12">
        <v>0</v>
      </c>
      <c r="G10" s="11">
        <f>+IF(F11="","",VLOOKUP(F11,$H$139:$I$185,2,FALSE))</f>
        <v>0</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f>+IF(F11=0,0,MID(F11,LEN(F11)-3,1))</f>
        <v>0</v>
      </c>
      <c r="C11" s="15">
        <v>0</v>
      </c>
      <c r="D11" s="15" t="s">
        <v>511</v>
      </c>
      <c r="E11" s="47">
        <f t="shared" si="0"/>
        <v>0</v>
      </c>
      <c r="F11" s="12">
        <v>0</v>
      </c>
      <c r="G11" s="11">
        <f>+IF(C11=0,0,IF(F11="","",VLOOKUP(F11,$H$139:$I$185,2,FALSE))*C11)</f>
        <v>0</v>
      </c>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+B11+B10+B9+B8+B6+B5+B4</f>
        <v>10</v>
      </c>
      <c r="C13" s="128">
        <f>+C11+C10+C9+C8+C6+C5+C4</f>
        <v>3</v>
      </c>
      <c r="D13" s="28"/>
      <c r="E13" s="28"/>
      <c r="F13" s="12"/>
      <c r="G13" s="52">
        <f>SUM(G4:G12)</f>
        <v>789912</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4</v>
      </c>
      <c r="U15" s="40">
        <v>0</v>
      </c>
      <c r="V15" s="40" t="s">
        <v>377</v>
      </c>
      <c r="W15" s="47" t="str">
        <f>+IF(X15=0,0,CONCATENATE(MID(X15,FIND("-",X15,1)+1,4),"ORAS"))</f>
        <v>08 HORAS</v>
      </c>
      <c r="X15" s="12" t="s">
        <v>359</v>
      </c>
      <c r="Y15" s="16">
        <f>+IF(X15="","",VLOOKUP(X15,$H$139:$I$185,2,FALSE))*T15</f>
        <v>214308</v>
      </c>
    </row>
    <row r="16" spans="1:31" ht="18.75" customHeight="1" x14ac:dyDescent="0.2">
      <c r="A16" s="160" t="s">
        <v>14</v>
      </c>
      <c r="B16" s="128">
        <v>3</v>
      </c>
      <c r="C16" s="339">
        <v>1</v>
      </c>
      <c r="D16" s="10" t="s">
        <v>365</v>
      </c>
      <c r="E16" s="47" t="str">
        <f>+IF(F16=0,0,CONCATENATE(MID(F16,FIND("-",F16,1)+1,4),"ORAS"))</f>
        <v>04 HORAS</v>
      </c>
      <c r="F16" s="47" t="s">
        <v>345</v>
      </c>
      <c r="G16" s="164">
        <f>+IF(C16=0,0,IF(F16="","",VLOOKUP(F16,$H$139:$I$185,2,FALSE))*C16)</f>
        <v>323876</v>
      </c>
      <c r="H16" s="1"/>
      <c r="I16" s="396" t="s">
        <v>25</v>
      </c>
      <c r="J16" s="397"/>
      <c r="K16" s="397"/>
      <c r="L16" s="397"/>
      <c r="M16" s="397"/>
      <c r="N16" s="397"/>
      <c r="O16" s="397"/>
      <c r="P16" s="398"/>
      <c r="Q16" s="1"/>
      <c r="R16" s="39" t="s">
        <v>12</v>
      </c>
      <c r="S16" s="40" t="s">
        <v>23</v>
      </c>
      <c r="T16" s="346">
        <v>15</v>
      </c>
      <c r="U16" s="40">
        <v>0</v>
      </c>
      <c r="V16" s="40" t="s">
        <v>377</v>
      </c>
      <c r="W16" s="12" t="str">
        <f>+IF(X16=0,0,CONCATENATE(MID(X16,FIND("-",X16,1)+1,4),"ORAS"))</f>
        <v>06 HORAS</v>
      </c>
      <c r="X16" s="12" t="s">
        <v>360</v>
      </c>
      <c r="Y16" s="345">
        <f>+IF(X16="","",VLOOKUP(X16,$H$139:$I$185,2,FALSE))*T16</f>
        <v>623430</v>
      </c>
    </row>
    <row r="17" spans="1:31" ht="23.25" customHeight="1" x14ac:dyDescent="0.2">
      <c r="A17" s="41"/>
      <c r="B17" s="161"/>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337"/>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09 HORAS</v>
      </c>
      <c r="X20" s="12" t="s">
        <v>353</v>
      </c>
      <c r="Y20" s="164">
        <f>+IF(X20="","",VLOOKUP(X20,$H$139:$I$185,2,FALSE))</f>
        <v>242399</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09 HORAS</v>
      </c>
      <c r="X21" s="12" t="s">
        <v>350</v>
      </c>
      <c r="Y21" s="164">
        <f>+IF(X21="","",VLOOKUP(X21,$H$139:$I$185,2,FALSE))</f>
        <v>214754</v>
      </c>
      <c r="AA21" s="21"/>
      <c r="AB21" s="21"/>
      <c r="AC21" s="21"/>
      <c r="AD21" s="21"/>
      <c r="AE21" s="21"/>
    </row>
    <row r="22" spans="1:31" ht="15.75" x14ac:dyDescent="0.25">
      <c r="A22" s="50" t="s">
        <v>29</v>
      </c>
      <c r="B22" s="133">
        <f>SUM(B4:B13)+B16+B17+B18+B19+B20+B21</f>
        <v>23</v>
      </c>
      <c r="C22" s="133">
        <f>+C4+C5+C6+C8+C9+C10+C11+C16</f>
        <v>4</v>
      </c>
      <c r="D22" s="51"/>
      <c r="E22" s="131"/>
      <c r="F22" s="51"/>
      <c r="G22" s="52">
        <f>SUM(G13,G16:G20)</f>
        <v>1113788</v>
      </c>
      <c r="H22" s="1"/>
      <c r="I22" s="26"/>
      <c r="J22" s="12"/>
      <c r="K22" s="103"/>
      <c r="L22" s="27"/>
      <c r="M22" s="27"/>
      <c r="N22" s="47"/>
      <c r="O22" s="12"/>
      <c r="P22" s="43"/>
      <c r="Q22" s="1"/>
      <c r="R22" s="17" t="s">
        <v>12</v>
      </c>
      <c r="S22" s="40" t="s">
        <v>23</v>
      </c>
      <c r="T22" s="103" t="s">
        <v>377</v>
      </c>
      <c r="U22" s="40" t="s">
        <v>377</v>
      </c>
      <c r="V22" s="15" t="s">
        <v>365</v>
      </c>
      <c r="W22" s="12" t="str">
        <f>+IF(X22=0,0,CONCATENATE(MID(X22,FIND("-",X22,1)+1,4),"ORAS"))</f>
        <v>09 HORAS</v>
      </c>
      <c r="X22" s="12" t="s">
        <v>353</v>
      </c>
      <c r="Y22" s="166">
        <f>+IF(X22="","",VLOOKUP(X22,$H$139:$I$185,2,FALSE))</f>
        <v>242399</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57</v>
      </c>
      <c r="S23" s="40" t="s">
        <v>23</v>
      </c>
      <c r="T23" s="103" t="s">
        <v>377</v>
      </c>
      <c r="U23" s="40" t="s">
        <v>377</v>
      </c>
      <c r="V23" s="15" t="s">
        <v>365</v>
      </c>
      <c r="W23" s="12" t="str">
        <f>+IF(X23=0,0,CONCATENATE(MID(X23,FIND("-",X23,1)+1,4),"ORAS"))</f>
        <v>09 HORAS</v>
      </c>
      <c r="X23" s="12" t="s">
        <v>353</v>
      </c>
      <c r="Y23" s="164">
        <f>+IF(X23="","",VLOOKUP(X23,$H$139:$I$185,2,FALSE))</f>
        <v>242399</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38" t="s">
        <v>57</v>
      </c>
      <c r="S24" s="40" t="s">
        <v>23</v>
      </c>
      <c r="T24" s="103" t="s">
        <v>377</v>
      </c>
      <c r="U24" s="40" t="s">
        <v>377</v>
      </c>
      <c r="V24" s="15" t="s">
        <v>365</v>
      </c>
      <c r="W24" s="12" t="str">
        <f>+IF(X24=0,0,CONCATENATE(MID(X24,FIND("-",X24,1)+1,4),"ORAS"))</f>
        <v>04 HORAS</v>
      </c>
      <c r="X24" s="12" t="s">
        <v>354</v>
      </c>
      <c r="Y24" s="164">
        <f>+IF(X24="","",VLOOKUP(X24,$H$139:$I$185,2,FALSE))</f>
        <v>195220</v>
      </c>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4</v>
      </c>
      <c r="L25" s="136">
        <f>SUM(L4:L24)</f>
        <v>1</v>
      </c>
      <c r="M25" s="60"/>
      <c r="N25" s="60"/>
      <c r="O25" s="60"/>
      <c r="P25" s="137">
        <f>SUM(P4:P23)</f>
        <v>509192</v>
      </c>
      <c r="Q25" s="1"/>
      <c r="R25" s="1"/>
      <c r="S25" s="62" t="s">
        <v>31</v>
      </c>
      <c r="T25" s="140">
        <f>+T15+T16+T4+T5+T6+T7</f>
        <v>22</v>
      </c>
      <c r="U25" s="140">
        <f>SUM(U4:U7,U21)</f>
        <v>2</v>
      </c>
      <c r="V25" s="62"/>
      <c r="W25" s="60"/>
      <c r="X25" s="62"/>
      <c r="Y25" s="371">
        <f>SUM(Y4:Y24)</f>
        <v>2298785</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330</v>
      </c>
      <c r="G26" s="164">
        <f>+IF(C26=0,0,IF(F26="","",VLOOKUP(F26,$H$139:$I$185,2,FALSE))*C26)</f>
        <v>369327</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c r="B27" s="102">
        <v>0</v>
      </c>
      <c r="C27" s="68">
        <v>0</v>
      </c>
      <c r="D27" s="20" t="s">
        <v>511</v>
      </c>
      <c r="E27" s="47">
        <f>+IF(F27=0,0,CONCATENATE(MID(F27,FIND("-",F27,1)+1,4),"ORAS"))</f>
        <v>0</v>
      </c>
      <c r="F27" s="12">
        <v>0</v>
      </c>
      <c r="G27" s="343">
        <f>+IF(F27="","",VLOOKUP(F27,$H$139:$I$185,2,FALSE))</f>
        <v>0</v>
      </c>
      <c r="H27" s="1"/>
      <c r="I27" s="1"/>
      <c r="J27" s="1"/>
      <c r="K27" s="1"/>
      <c r="L27" s="1"/>
      <c r="M27" s="1"/>
      <c r="N27" s="1"/>
      <c r="O27" s="1"/>
      <c r="P27" s="1"/>
      <c r="Q27" s="1"/>
      <c r="R27" s="1"/>
      <c r="S27" s="1"/>
      <c r="T27" s="1"/>
      <c r="U27" s="1"/>
      <c r="V27" s="1"/>
      <c r="W27" s="1"/>
      <c r="X27" s="1"/>
      <c r="Y27" s="1"/>
    </row>
    <row r="28" spans="1:31" ht="15.75" customHeight="1" x14ac:dyDescent="0.2">
      <c r="A28" s="44"/>
      <c r="B28" s="102">
        <v>0</v>
      </c>
      <c r="C28" s="68">
        <v>0</v>
      </c>
      <c r="D28" s="20" t="s">
        <v>511</v>
      </c>
      <c r="E28" s="47">
        <f>+IF(F28=0,0,CONCATENATE(MID(F28,FIND("-",F28,1)+1,4),"ORAS"))</f>
        <v>0</v>
      </c>
      <c r="F28" s="12">
        <v>0</v>
      </c>
      <c r="G28" s="343">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343"/>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512</v>
      </c>
      <c r="B34" s="102" t="str">
        <f>+IF(F34=0,0,MID(F34,LEN(F34)-3,1))</f>
        <v>3</v>
      </c>
      <c r="C34" s="342">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9" t="s">
        <v>37</v>
      </c>
      <c r="B35" s="102" t="str">
        <f>+IF(F35=0,0,MID(F35,LEN(F35)-3,1))</f>
        <v>3</v>
      </c>
      <c r="C35" s="342">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342">
        <v>1</v>
      </c>
      <c r="D36" s="20" t="s">
        <v>365</v>
      </c>
      <c r="E36" s="47" t="str">
        <f>+IF(F36=0,0,CONCATENATE(MID(F36,FIND("-",F36,1)+1,4),"ORAS"))</f>
        <v>04 HORAS</v>
      </c>
      <c r="F36" s="12" t="s">
        <v>345</v>
      </c>
      <c r="G36" s="164">
        <f>+IF(F36="","",VLOOKUP(F36,$H$139:$I$185,2,FALSE))</f>
        <v>323876</v>
      </c>
      <c r="H36" s="1"/>
      <c r="I36" s="1"/>
      <c r="J36" s="1"/>
      <c r="K36" s="1"/>
      <c r="L36" s="1"/>
      <c r="M36" s="1"/>
      <c r="N36" s="1"/>
      <c r="O36" s="1"/>
      <c r="P36" s="1"/>
      <c r="Q36" s="1"/>
      <c r="R36" s="1"/>
      <c r="S36" s="1"/>
      <c r="T36" s="1"/>
      <c r="U36" s="1"/>
      <c r="V36" s="1"/>
      <c r="W36" s="1"/>
      <c r="X36" s="1"/>
      <c r="Y36" s="1"/>
    </row>
    <row r="37" spans="1:25" ht="15.75" x14ac:dyDescent="0.2">
      <c r="A37" s="44" t="s">
        <v>513</v>
      </c>
      <c r="B37" s="102">
        <v>4</v>
      </c>
      <c r="C37" s="68">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342"/>
      <c r="D38" s="20"/>
      <c r="E38" s="47">
        <f>+IF(F38=0,0,CONCATENATE(MID(F38,FIND("-",F38,1)+1,4),"ORAS"))</f>
        <v>0</v>
      </c>
      <c r="F38" s="12">
        <v>0</v>
      </c>
      <c r="G38" s="343">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16</v>
      </c>
      <c r="C40" s="51">
        <f>SUM(C26:C32)+C34+C35+C36+C37+C38+C39</f>
        <v>5</v>
      </c>
      <c r="D40" s="51"/>
      <c r="E40" s="47">
        <f>+IF(F40=0,0,CONCATENATE(MID(F40,FIND("-",F40,1)+1,3),"ORAS"))</f>
        <v>0</v>
      </c>
      <c r="F40" s="51"/>
      <c r="G40" s="52">
        <f>SUM(G26:G31,G34:G39)</f>
        <v>1784278</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25"/>
      <c r="B46" s="128"/>
      <c r="C46" s="10"/>
      <c r="D46" s="10"/>
      <c r="E46" s="47">
        <f t="shared" ref="E46:E49" si="1">+IF(F46=0,0,CONCATENATE(MID(F46,FIND("-",F46,1)+1,4),"ORAS"))</f>
        <v>0</v>
      </c>
      <c r="F46" s="12">
        <v>0</v>
      </c>
      <c r="G46" s="343">
        <f>+IF(C46=0,0,IF(F46="","",VLOOKUP(F46,$H$139:$I$185,2,FALSE))*C46)</f>
        <v>0</v>
      </c>
      <c r="H46" s="1"/>
      <c r="I46" s="1"/>
      <c r="J46" s="402"/>
      <c r="K46" s="402"/>
      <c r="L46" s="402"/>
      <c r="M46" s="402"/>
      <c r="N46" s="402"/>
      <c r="O46" s="402"/>
      <c r="P46" s="402"/>
      <c r="Q46" s="1"/>
      <c r="R46" s="1"/>
      <c r="S46" s="1"/>
      <c r="T46" s="1"/>
      <c r="U46" s="1"/>
      <c r="V46" s="1"/>
      <c r="W46" s="1"/>
      <c r="X46" s="1"/>
      <c r="Y46" s="1"/>
    </row>
    <row r="47" spans="1:25" ht="15.75" x14ac:dyDescent="0.2">
      <c r="A47" s="25"/>
      <c r="B47" s="128"/>
      <c r="C47" s="10"/>
      <c r="D47" s="10"/>
      <c r="E47" s="47">
        <f t="shared" si="1"/>
        <v>0</v>
      </c>
      <c r="F47" s="12">
        <v>0</v>
      </c>
      <c r="G47" s="343">
        <f>+IF(C47=0,0,IF(F47="","",VLOOKUP(F47,$H$139:$I$185,2,FALSE))*C47)</f>
        <v>0</v>
      </c>
      <c r="H47" s="1"/>
      <c r="I47" s="1"/>
      <c r="J47" s="402"/>
      <c r="K47" s="402"/>
      <c r="L47" s="402"/>
      <c r="M47" s="402"/>
      <c r="N47" s="402"/>
      <c r="O47" s="402"/>
      <c r="P47" s="402"/>
      <c r="Q47" s="1"/>
      <c r="R47" s="1"/>
      <c r="S47" s="1"/>
      <c r="T47" s="1"/>
      <c r="U47" s="1"/>
      <c r="V47" s="1"/>
      <c r="W47" s="1"/>
      <c r="X47" s="1"/>
      <c r="Y47" s="1"/>
    </row>
    <row r="48" spans="1:25" ht="15.75" x14ac:dyDescent="0.2">
      <c r="A48" s="25"/>
      <c r="B48" s="128"/>
      <c r="C48" s="10"/>
      <c r="D48" s="10"/>
      <c r="E48" s="47">
        <f t="shared" si="1"/>
        <v>0</v>
      </c>
      <c r="F48" s="12">
        <v>0</v>
      </c>
      <c r="G48" s="343">
        <f>+IF(C48=0,0,IF(F48="","",VLOOKUP(F48,$H$139:$I$185,2,FALSE))*C48)</f>
        <v>0</v>
      </c>
      <c r="H48" s="1"/>
      <c r="I48" s="1"/>
      <c r="J48" s="402"/>
      <c r="K48" s="402"/>
      <c r="L48" s="402"/>
      <c r="M48" s="402"/>
      <c r="N48" s="402"/>
      <c r="O48" s="402"/>
      <c r="P48" s="402"/>
      <c r="Q48" s="1"/>
      <c r="R48" s="1"/>
      <c r="S48" s="1"/>
      <c r="T48" s="1"/>
      <c r="U48" s="1"/>
      <c r="V48" s="1"/>
      <c r="W48" s="1"/>
      <c r="X48" s="1"/>
      <c r="Y48" s="1"/>
    </row>
    <row r="49" spans="1:25" ht="15.75" x14ac:dyDescent="0.2">
      <c r="A49" s="25"/>
      <c r="B49" s="128"/>
      <c r="C49" s="10"/>
      <c r="D49" s="10"/>
      <c r="E49" s="47">
        <f t="shared" si="1"/>
        <v>0</v>
      </c>
      <c r="F49" s="12">
        <v>0</v>
      </c>
      <c r="G49" s="343">
        <f>+IF(C49=0,0,IF(F49="","",VLOOKUP(F49,$H$139:$I$185,2,FALSE))*C49)</f>
        <v>0</v>
      </c>
      <c r="H49" s="1"/>
      <c r="I49" s="1"/>
      <c r="J49" s="402"/>
      <c r="K49" s="402"/>
      <c r="L49" s="402"/>
      <c r="M49" s="402"/>
      <c r="N49" s="402"/>
      <c r="O49" s="402"/>
      <c r="P49" s="402"/>
      <c r="Q49" s="1"/>
      <c r="R49" s="1"/>
      <c r="S49" s="1"/>
      <c r="T49" s="1"/>
      <c r="U49" s="1"/>
      <c r="V49" s="1"/>
      <c r="W49" s="1"/>
      <c r="X49" s="1"/>
      <c r="Y49" s="1"/>
    </row>
    <row r="50" spans="1:25" ht="15.75" x14ac:dyDescent="0.2">
      <c r="A50" s="80"/>
      <c r="B50" s="344"/>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1" si="2">+IF(F54=0,0,MID(F54,LEN(F54)-3,1))</f>
        <v>3</v>
      </c>
      <c r="C54" s="342">
        <v>1</v>
      </c>
      <c r="D54" s="20" t="s">
        <v>365</v>
      </c>
      <c r="E54" s="47" t="str">
        <f t="shared" ref="E54:E63" si="3">+IF(F54=0,0,CONCATENATE(MID(F54,FIND("-",F54,1)+1,4),"ORAS"))</f>
        <v>04 HORAS</v>
      </c>
      <c r="F54" s="12" t="s">
        <v>345</v>
      </c>
      <c r="G54" s="164">
        <f t="shared" ref="G54:G63" si="4">+IF(F54="","",VLOOKUP(F54,$H$139:$I$185,2,FALSE))</f>
        <v>323876</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342">
        <v>1</v>
      </c>
      <c r="D55" s="20" t="s">
        <v>365</v>
      </c>
      <c r="E55" s="47" t="str">
        <f t="shared" si="3"/>
        <v>04 HORAS</v>
      </c>
      <c r="F55" s="12" t="s">
        <v>345</v>
      </c>
      <c r="G55" s="164">
        <f t="shared" si="4"/>
        <v>323876</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342">
        <v>1</v>
      </c>
      <c r="D56" s="20" t="s">
        <v>365</v>
      </c>
      <c r="E56" s="47" t="str">
        <f t="shared" si="3"/>
        <v>04 HORAS</v>
      </c>
      <c r="F56" s="12" t="s">
        <v>345</v>
      </c>
      <c r="G56" s="164">
        <f t="shared" si="4"/>
        <v>323876</v>
      </c>
      <c r="H56" s="1"/>
      <c r="I56" s="1"/>
      <c r="J56" s="402"/>
      <c r="K56" s="402"/>
      <c r="L56" s="402"/>
      <c r="M56" s="402"/>
      <c r="N56" s="402"/>
      <c r="O56" s="402"/>
      <c r="P56" s="402"/>
      <c r="Q56" s="1"/>
      <c r="R56" s="1"/>
      <c r="S56" s="1"/>
      <c r="T56" s="1"/>
      <c r="U56" s="1"/>
      <c r="V56" s="1"/>
      <c r="W56" s="1"/>
      <c r="X56" s="1"/>
      <c r="Y56" s="1"/>
    </row>
    <row r="57" spans="1:25" ht="15.75" x14ac:dyDescent="0.25">
      <c r="A57" s="25" t="s">
        <v>372</v>
      </c>
      <c r="B57" s="103">
        <v>3</v>
      </c>
      <c r="C57" s="342">
        <v>1</v>
      </c>
      <c r="D57" s="20" t="s">
        <v>365</v>
      </c>
      <c r="E57" s="47" t="str">
        <f t="shared" si="3"/>
        <v>04 HORAS</v>
      </c>
      <c r="F57" s="12" t="s">
        <v>345</v>
      </c>
      <c r="G57" s="164">
        <f t="shared" si="4"/>
        <v>323876</v>
      </c>
      <c r="H57" s="1"/>
      <c r="I57" s="1"/>
      <c r="J57" s="402"/>
      <c r="K57" s="402"/>
      <c r="L57" s="402"/>
      <c r="M57" s="402"/>
      <c r="N57" s="402"/>
      <c r="O57" s="402"/>
      <c r="P57" s="402"/>
      <c r="Q57" s="1"/>
      <c r="R57" s="1"/>
      <c r="S57" s="1"/>
      <c r="T57" s="1"/>
      <c r="U57" s="1"/>
      <c r="V57" s="1"/>
      <c r="W57" s="1"/>
      <c r="X57" s="1"/>
      <c r="Y57" s="1"/>
    </row>
    <row r="58" spans="1:25" ht="15.75" x14ac:dyDescent="0.25">
      <c r="A58" s="25" t="s">
        <v>373</v>
      </c>
      <c r="B58" s="103">
        <v>3</v>
      </c>
      <c r="C58" s="342">
        <v>1</v>
      </c>
      <c r="D58" s="20" t="s">
        <v>365</v>
      </c>
      <c r="E58" s="47" t="str">
        <f t="shared" si="3"/>
        <v>04 HORAS</v>
      </c>
      <c r="F58" s="12" t="s">
        <v>345</v>
      </c>
      <c r="G58" s="164">
        <f t="shared" si="4"/>
        <v>323876</v>
      </c>
      <c r="H58" s="1"/>
      <c r="I58" s="1"/>
      <c r="J58" s="402"/>
      <c r="K58" s="402"/>
      <c r="L58" s="402"/>
      <c r="M58" s="402"/>
      <c r="N58" s="402"/>
      <c r="O58" s="402"/>
      <c r="P58" s="402"/>
      <c r="Q58" s="1"/>
      <c r="R58" s="1"/>
      <c r="S58" s="1"/>
      <c r="T58" s="1"/>
      <c r="U58" s="1"/>
      <c r="V58" s="1"/>
      <c r="W58" s="1"/>
      <c r="X58" s="1"/>
      <c r="Y58" s="1"/>
    </row>
    <row r="59" spans="1:25" ht="15.75" x14ac:dyDescent="0.25">
      <c r="A59" s="25"/>
      <c r="B59" s="103"/>
      <c r="C59" s="342"/>
      <c r="D59" s="20"/>
      <c r="E59" s="47">
        <f t="shared" si="3"/>
        <v>0</v>
      </c>
      <c r="F59" s="12">
        <v>0</v>
      </c>
      <c r="G59" s="343">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f t="shared" si="2"/>
        <v>0</v>
      </c>
      <c r="C60" s="342">
        <v>0</v>
      </c>
      <c r="D60" s="20"/>
      <c r="E60" s="47">
        <f t="shared" si="3"/>
        <v>0</v>
      </c>
      <c r="F60" s="12">
        <v>0</v>
      </c>
      <c r="G60" s="343">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f t="shared" si="2"/>
        <v>0</v>
      </c>
      <c r="C61" s="342">
        <v>0</v>
      </c>
      <c r="D61" s="20"/>
      <c r="E61" s="47">
        <f t="shared" si="3"/>
        <v>0</v>
      </c>
      <c r="F61" s="12">
        <v>0</v>
      </c>
      <c r="G61" s="343">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v>0</v>
      </c>
      <c r="C62" s="342">
        <v>0</v>
      </c>
      <c r="D62" s="20"/>
      <c r="E62" s="47">
        <f t="shared" si="3"/>
        <v>0</v>
      </c>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342"/>
      <c r="D63" s="20"/>
      <c r="E63" s="47">
        <f t="shared" si="3"/>
        <v>0</v>
      </c>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SUM(G46:G51,G54:G64)</f>
        <v>1619380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54</v>
      </c>
      <c r="C67" s="143">
        <f>C65+C40+C22</f>
        <v>14</v>
      </c>
      <c r="D67" s="62">
        <f>D65+D40+D22</f>
        <v>0</v>
      </c>
      <c r="E67" s="1"/>
      <c r="F67" s="1"/>
      <c r="G67" s="52">
        <f>SUM(G22,G40,G65)</f>
        <v>4517446</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80</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17</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7325423</v>
      </c>
      <c r="L70" s="380"/>
      <c r="M70" s="98">
        <f>SUM(G22,Y20)</f>
        <v>1356187</v>
      </c>
      <c r="N70" s="142">
        <f>SUM(G40,P4:P15,Y4:Y8,Y15:Y16,Y21:Y22)</f>
        <v>3912237</v>
      </c>
      <c r="O70" s="98">
        <f>SUM(G46:G51,G54:G64,Y23:Y24)</f>
        <v>2056999</v>
      </c>
      <c r="P70" s="109">
        <f>SUM(M70:O70)</f>
        <v>7325423</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3">
    <dataValidation type="list" allowBlank="1" showInputMessage="1" showErrorMessage="1" sqref="F29 F20:F21 F12:F13" xr:uid="{76CEBA61-861C-9C4D-8269-D628AAE198D2}">
      <formula1>$H$140:$H$185</formula1>
    </dataValidation>
    <dataValidation type="list" allowBlank="1" showInputMessage="1" showErrorMessage="1" sqref="F16:F19 X15:X16 F30:F31 F26:F28 O4:O15 F46:F51 F34:F38 O18:O24 X4:X8 X20:X24 F4:F11 F54:F64" xr:uid="{ABBD9A54-1A97-E04F-B101-974FCA623989}">
      <formula1>$H$139:$H$185</formula1>
    </dataValidation>
    <dataValidation type="list" allowBlank="1" showInputMessage="1" showErrorMessage="1" sqref="F39" xr:uid="{4F63F6FF-1AD9-5648-A7E9-CE1F8B80CD7C}">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7DAD1-6B8C-D44B-AE66-6488BE865B50}">
  <sheetPr>
    <tabColor rgb="FFFF0000"/>
  </sheetPr>
  <dimension ref="A1:AE186"/>
  <sheetViews>
    <sheetView view="pageBreakPreview" topLeftCell="J34" zoomScaleNormal="59" zoomScaleSheetLayoutView="100" workbookViewId="0">
      <selection activeCell="Y25" sqref="Y25"/>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16</v>
      </c>
      <c r="B4" s="128">
        <v>3</v>
      </c>
      <c r="C4" s="15">
        <v>1</v>
      </c>
      <c r="D4" s="15" t="s">
        <v>365</v>
      </c>
      <c r="E4" s="47">
        <f t="shared" ref="E4:E11" si="0">+IF(F4=0,0,CONCATENATE(MID(F4,FIND("-",F4,1)+1,4),"ORAS"))</f>
        <v>0</v>
      </c>
      <c r="F4" s="12">
        <v>0</v>
      </c>
      <c r="G4" s="164">
        <f>+IF(F4="","",VLOOKUP(F4,$H$139:$I$185,2,FALSE))</f>
        <v>0</v>
      </c>
      <c r="H4" s="1"/>
      <c r="I4" s="17" t="s">
        <v>12</v>
      </c>
      <c r="J4" s="12" t="s">
        <v>54</v>
      </c>
      <c r="K4" s="103">
        <f>+IF(O4=0,0,MID(O4,LEN(O4)-3,1))</f>
        <v>0</v>
      </c>
      <c r="L4" s="14">
        <v>0</v>
      </c>
      <c r="M4" s="15" t="s">
        <v>365</v>
      </c>
      <c r="N4" s="47">
        <f>+IF(O4=0,0,CONCATENATE(MID(O4,FIND("-",O4,1)+1,4),"ORAS"))</f>
        <v>0</v>
      </c>
      <c r="O4" s="12">
        <v>0</v>
      </c>
      <c r="P4" s="11">
        <f>+IF(O4="","",VLOOKUP(O4,$H$139:$I$185,2,FALSE))</f>
        <v>0</v>
      </c>
      <c r="Q4" s="1"/>
      <c r="R4" s="17" t="s">
        <v>12</v>
      </c>
      <c r="S4" s="340" t="s">
        <v>17</v>
      </c>
      <c r="T4" s="161" t="str">
        <f>+IF(X4=0,0,MID(X4,LEN(X4)-3,1))</f>
        <v>4</v>
      </c>
      <c r="U4" s="337">
        <v>1</v>
      </c>
      <c r="V4" s="20" t="s">
        <v>365</v>
      </c>
      <c r="W4" s="47" t="str">
        <f>+IF(X4=0,0,CONCATENATE(MID(X4,FIND("-",X4,1)+1,4),"ORAS"))</f>
        <v>04 HORAS</v>
      </c>
      <c r="X4" s="12" t="s">
        <v>344</v>
      </c>
      <c r="Y4" s="164">
        <f>+IF(X4="","",VLOOKUP(X4,$H$139:$I$185,2,FALSE))</f>
        <v>374201</v>
      </c>
      <c r="AA4" s="21"/>
      <c r="AB4" s="22"/>
      <c r="AC4" s="22"/>
      <c r="AD4" s="23"/>
      <c r="AE4" s="24"/>
    </row>
    <row r="5" spans="1:31" ht="15.75" x14ac:dyDescent="0.25">
      <c r="A5" s="9" t="s">
        <v>408</v>
      </c>
      <c r="B5" s="128">
        <v>4</v>
      </c>
      <c r="C5" s="15">
        <v>1</v>
      </c>
      <c r="D5" s="15" t="s">
        <v>365</v>
      </c>
      <c r="E5" s="47" t="str">
        <f t="shared" si="0"/>
        <v>04 HORAS</v>
      </c>
      <c r="F5" s="12" t="s">
        <v>329</v>
      </c>
      <c r="G5" s="164">
        <f>+IF(F5="","",VLOOKUP(F5,$H$139:$I$185,2,FALSE))</f>
        <v>420585</v>
      </c>
      <c r="H5" s="1"/>
      <c r="I5" s="17"/>
      <c r="J5" s="12"/>
      <c r="K5" s="103"/>
      <c r="L5" s="14"/>
      <c r="M5" s="15"/>
      <c r="N5" s="47">
        <f>+IF(O5=0,0,CONCATENATE(MID(O5,FIND("-",O5,1)+1,4),"ORAS"))</f>
        <v>0</v>
      </c>
      <c r="O5" s="12">
        <v>0</v>
      </c>
      <c r="P5" s="11">
        <f>+IF(O5="","",VLOOKUP(O5,$H$139:$I$185,2,FALSE))</f>
        <v>0</v>
      </c>
      <c r="Q5" s="1"/>
      <c r="R5" s="367" t="s">
        <v>11</v>
      </c>
      <c r="S5" s="342" t="s">
        <v>23</v>
      </c>
      <c r="T5" s="161" t="s">
        <v>377</v>
      </c>
      <c r="U5" s="337" t="s">
        <v>377</v>
      </c>
      <c r="V5" s="20" t="s">
        <v>365</v>
      </c>
      <c r="W5" s="47" t="s">
        <v>532</v>
      </c>
      <c r="X5" s="12" t="s">
        <v>353</v>
      </c>
      <c r="Y5" s="164">
        <v>242399</v>
      </c>
      <c r="AA5" s="21"/>
      <c r="AB5" s="22"/>
      <c r="AC5" s="22"/>
      <c r="AD5" s="23"/>
      <c r="AE5" s="24"/>
    </row>
    <row r="6" spans="1:31" ht="15.75" x14ac:dyDescent="0.25">
      <c r="A6" s="25" t="s">
        <v>28</v>
      </c>
      <c r="B6" s="128">
        <v>3</v>
      </c>
      <c r="C6" s="10">
        <v>1</v>
      </c>
      <c r="D6" s="10" t="s">
        <v>365</v>
      </c>
      <c r="E6" s="47" t="str">
        <f t="shared" si="0"/>
        <v>04 HORAS</v>
      </c>
      <c r="F6" s="12" t="s">
        <v>330</v>
      </c>
      <c r="G6" s="164">
        <f>+IF(F6="","",VLOOKUP(F6,$H$139:$I$185,2,FALSE))</f>
        <v>369327</v>
      </c>
      <c r="H6" s="1"/>
      <c r="I6" s="17"/>
      <c r="J6" s="12"/>
      <c r="K6" s="103"/>
      <c r="L6" s="14"/>
      <c r="M6" s="15"/>
      <c r="N6" s="47">
        <f>+IF(O6=0,0,CONCATENATE(MID(O6,FIND("-",O6,1)+1,4),"ORAS"))</f>
        <v>0</v>
      </c>
      <c r="O6" s="12">
        <v>0</v>
      </c>
      <c r="P6" s="11">
        <f>+IF(O6="","",VLOOKUP(O6,$H$139:$I$185,2,FALSE))</f>
        <v>0</v>
      </c>
      <c r="Q6" s="1"/>
      <c r="R6" s="39" t="s">
        <v>12</v>
      </c>
      <c r="S6" s="342" t="s">
        <v>23</v>
      </c>
      <c r="T6" s="161" t="s">
        <v>377</v>
      </c>
      <c r="U6" s="337">
        <v>1</v>
      </c>
      <c r="V6" s="20" t="s">
        <v>365</v>
      </c>
      <c r="W6" s="47" t="s">
        <v>532</v>
      </c>
      <c r="X6" s="12" t="s">
        <v>350</v>
      </c>
      <c r="Y6" s="164">
        <v>214754</v>
      </c>
      <c r="AA6" s="21"/>
      <c r="AB6" s="22"/>
      <c r="AC6" s="22"/>
      <c r="AD6" s="23"/>
      <c r="AE6" s="24"/>
    </row>
    <row r="7" spans="1:31" ht="15.75" x14ac:dyDescent="0.25">
      <c r="A7" s="25"/>
      <c r="B7" s="128">
        <v>0</v>
      </c>
      <c r="C7" s="10">
        <v>0</v>
      </c>
      <c r="D7" s="10" t="s">
        <v>511</v>
      </c>
      <c r="E7" s="47">
        <f t="shared" si="0"/>
        <v>0</v>
      </c>
      <c r="F7" s="12">
        <v>0</v>
      </c>
      <c r="G7" s="343">
        <f>+IF(F7="","",VLOOKUP(F7,$H$139:$I$185,2,FALSE))</f>
        <v>0</v>
      </c>
      <c r="H7" s="1"/>
      <c r="I7" s="17"/>
      <c r="J7" s="12"/>
      <c r="K7" s="103">
        <v>0</v>
      </c>
      <c r="L7" s="14">
        <v>0</v>
      </c>
      <c r="M7" s="15"/>
      <c r="N7" s="47">
        <f>+IF(O7=0,0,CONCATENATE(MID(O7,FIND("-",O7,1)+1,4),"ORAS"))</f>
        <v>0</v>
      </c>
      <c r="O7" s="12">
        <v>0</v>
      </c>
      <c r="P7" s="11">
        <f>+IF(O7="","",VLOOKUP(O7,$H$139:$I$185,2,FALSE))</f>
        <v>0</v>
      </c>
      <c r="Q7" s="1"/>
      <c r="R7" s="17" t="s">
        <v>12</v>
      </c>
      <c r="S7" s="368" t="s">
        <v>23</v>
      </c>
      <c r="T7" s="161" t="s">
        <v>377</v>
      </c>
      <c r="U7" s="339" t="s">
        <v>377</v>
      </c>
      <c r="V7" s="10" t="s">
        <v>365</v>
      </c>
      <c r="W7" s="47" t="s">
        <v>532</v>
      </c>
      <c r="X7" s="12" t="s">
        <v>353</v>
      </c>
      <c r="Y7" s="164">
        <v>242399</v>
      </c>
      <c r="AA7" s="21"/>
      <c r="AB7" s="21"/>
      <c r="AC7" s="21"/>
      <c r="AD7" s="21"/>
      <c r="AE7" s="21"/>
    </row>
    <row r="8" spans="1:31" ht="15.75" x14ac:dyDescent="0.25">
      <c r="A8" s="25"/>
      <c r="B8" s="128">
        <v>0</v>
      </c>
      <c r="C8" s="15">
        <v>0</v>
      </c>
      <c r="D8" s="15" t="s">
        <v>511</v>
      </c>
      <c r="E8" s="47">
        <f t="shared" si="0"/>
        <v>0</v>
      </c>
      <c r="F8" s="12">
        <v>0</v>
      </c>
      <c r="G8" s="11">
        <f>+IF(C8=0,0,IF(F8="","",VLOOKUP(F8,$H$139:$I$185,2,FALSE))*C8)</f>
        <v>0</v>
      </c>
      <c r="H8" s="1"/>
      <c r="I8" s="17"/>
      <c r="J8" s="12"/>
      <c r="K8" s="103"/>
      <c r="L8" s="14"/>
      <c r="M8" s="15"/>
      <c r="N8" s="47">
        <f>+IF(O8=0,0,CONCATENATE(MID(O8,FIND("-",O8,1)+1,4),"ORAS"))</f>
        <v>0</v>
      </c>
      <c r="O8" s="12">
        <v>0</v>
      </c>
      <c r="P8" s="11">
        <f>+IF(O8="","",VLOOKUP(O8,$H$139:$I$185,2,FALSE))</f>
        <v>0</v>
      </c>
      <c r="Q8" s="1"/>
      <c r="R8" s="17" t="s">
        <v>12</v>
      </c>
      <c r="S8" s="368" t="s">
        <v>23</v>
      </c>
      <c r="T8" s="161" t="s">
        <v>377</v>
      </c>
      <c r="U8" s="339" t="s">
        <v>377</v>
      </c>
      <c r="V8" s="10" t="s">
        <v>365</v>
      </c>
      <c r="W8" s="47" t="str">
        <f>+IF(X8=0,0,CONCATENATE(MID(X8,FIND("-",X8,1)+1,4),"ORAS"))</f>
        <v>09 HORAS</v>
      </c>
      <c r="X8" s="12" t="s">
        <v>353</v>
      </c>
      <c r="Y8" s="164">
        <f>+IF(X8="","",VLOOKUP(X8,$H$139:$I$185,2,FALSE))</f>
        <v>242399</v>
      </c>
      <c r="AA8" s="21"/>
      <c r="AB8" s="21"/>
      <c r="AC8" s="21"/>
      <c r="AD8" s="21"/>
      <c r="AE8" s="21"/>
    </row>
    <row r="9" spans="1:31" ht="15.75" x14ac:dyDescent="0.25">
      <c r="A9" s="25"/>
      <c r="B9" s="128">
        <f>+IF(F9=0,0,MID(F9,LEN(F9)-3,1))</f>
        <v>0</v>
      </c>
      <c r="C9" s="15">
        <v>0</v>
      </c>
      <c r="D9" s="15" t="s">
        <v>511</v>
      </c>
      <c r="E9" s="47">
        <f t="shared" si="0"/>
        <v>0</v>
      </c>
      <c r="F9" s="12">
        <v>0</v>
      </c>
      <c r="G9" s="11">
        <f>+IF(F10="","",VLOOKUP(F10,$H$139:$I$185,2,FALSE))</f>
        <v>0</v>
      </c>
      <c r="H9" s="1"/>
      <c r="I9" s="26"/>
      <c r="J9" s="12"/>
      <c r="K9" s="103"/>
      <c r="L9" s="56"/>
      <c r="M9" s="56"/>
      <c r="N9" s="12"/>
      <c r="O9" s="12"/>
      <c r="P9" s="110"/>
      <c r="Q9" s="1"/>
      <c r="R9" s="17"/>
      <c r="S9" s="340"/>
      <c r="T9" s="369"/>
      <c r="U9" s="340"/>
      <c r="V9" s="15"/>
      <c r="W9" s="15"/>
      <c r="X9" s="15"/>
      <c r="Y9" s="366"/>
      <c r="AA9" s="21"/>
      <c r="AB9" s="21"/>
      <c r="AC9" s="21"/>
      <c r="AD9" s="21"/>
      <c r="AE9" s="21"/>
    </row>
    <row r="10" spans="1:31" ht="15.75" x14ac:dyDescent="0.25">
      <c r="A10" s="127"/>
      <c r="B10" s="128">
        <f>+IF(F10=0,0,MID(F10,LEN(F10)-3,1))</f>
        <v>0</v>
      </c>
      <c r="C10" s="15">
        <v>0</v>
      </c>
      <c r="D10" s="15" t="s">
        <v>511</v>
      </c>
      <c r="E10" s="47">
        <f t="shared" si="0"/>
        <v>0</v>
      </c>
      <c r="F10" s="12">
        <v>0</v>
      </c>
      <c r="G10" s="11">
        <f>+IF(F11="","",VLOOKUP(F11,$H$139:$I$185,2,FALSE))</f>
        <v>0</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f>+IF(F11=0,0,MID(F11,LEN(F11)-3,1))</f>
        <v>0</v>
      </c>
      <c r="C11" s="15">
        <v>0</v>
      </c>
      <c r="D11" s="15" t="s">
        <v>511</v>
      </c>
      <c r="E11" s="47">
        <f t="shared" si="0"/>
        <v>0</v>
      </c>
      <c r="F11" s="12">
        <v>0</v>
      </c>
      <c r="G11" s="11">
        <f>+IF(C11=0,0,IF(F11="","",VLOOKUP(F11,$H$139:$I$185,2,FALSE))*C11)</f>
        <v>0</v>
      </c>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+B11+B10+B9+B8+B6+B5+B4</f>
        <v>10</v>
      </c>
      <c r="C13" s="128">
        <f>+C11+C10+C9+C8+C6+C5+C4</f>
        <v>3</v>
      </c>
      <c r="D13" s="28"/>
      <c r="E13" s="28"/>
      <c r="F13" s="12"/>
      <c r="G13" s="52">
        <f>SUM(G4:G12)</f>
        <v>789912</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61">
        <v>3</v>
      </c>
      <c r="U15" s="40">
        <v>0</v>
      </c>
      <c r="V15" s="40" t="s">
        <v>377</v>
      </c>
      <c r="W15" s="47" t="str">
        <f>+IF(X15=0,0,CONCATENATE(MID(X15,FIND("-",X15,1)+1,4),"ORAS"))</f>
        <v>08 HORAS</v>
      </c>
      <c r="X15" s="12" t="s">
        <v>359</v>
      </c>
      <c r="Y15" s="166">
        <f>+IF(X15="","",VLOOKUP(X15,$H$139:$I$185,2,FALSE))*T15</f>
        <v>160731</v>
      </c>
    </row>
    <row r="16" spans="1:31" ht="18.75" customHeight="1" x14ac:dyDescent="0.2">
      <c r="A16" s="160" t="s">
        <v>14</v>
      </c>
      <c r="B16" s="128">
        <v>3</v>
      </c>
      <c r="C16" s="339">
        <v>1</v>
      </c>
      <c r="D16" s="10" t="s">
        <v>365</v>
      </c>
      <c r="E16" s="47" t="str">
        <f>+IF(F16=0,0,CONCATENATE(MID(F16,FIND("-",F16,1)+1,4),"ORAS"))</f>
        <v>04 HORAS</v>
      </c>
      <c r="F16" s="47" t="s">
        <v>345</v>
      </c>
      <c r="G16" s="164">
        <f>+IF(C16=0,0,IF(F16="","",VLOOKUP(F16,$H$139:$I$185,2,FALSE))*C16)</f>
        <v>323876</v>
      </c>
      <c r="H16" s="1"/>
      <c r="I16" s="396" t="s">
        <v>25</v>
      </c>
      <c r="J16" s="397"/>
      <c r="K16" s="397"/>
      <c r="L16" s="397"/>
      <c r="M16" s="397"/>
      <c r="N16" s="397"/>
      <c r="O16" s="397"/>
      <c r="P16" s="398"/>
      <c r="Q16" s="1"/>
      <c r="R16" s="39"/>
      <c r="S16" s="40"/>
      <c r="T16" s="161"/>
      <c r="U16" s="40"/>
      <c r="V16" s="40"/>
      <c r="W16" s="12">
        <f>+IF(X16=0,0,CONCATENATE(MID(X16,FIND("-",X16,1)+1,4),"ORAS"))</f>
        <v>0</v>
      </c>
      <c r="X16" s="12">
        <v>0</v>
      </c>
      <c r="Y16" s="16">
        <f>+IF(X16="","",VLOOKUP(X16,$H$139:$I$185,2,FALSE))*T16</f>
        <v>0</v>
      </c>
    </row>
    <row r="17" spans="1:31" ht="23.25" customHeight="1" x14ac:dyDescent="0.2">
      <c r="A17" s="41"/>
      <c r="B17" s="161"/>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337"/>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82" t="s">
        <v>376</v>
      </c>
      <c r="S18" s="383"/>
      <c r="T18" s="383"/>
      <c r="U18" s="383"/>
      <c r="V18" s="383"/>
      <c r="W18" s="383"/>
      <c r="X18" s="383"/>
      <c r="Y18" s="384"/>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v>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61" t="s">
        <v>377</v>
      </c>
      <c r="U20" s="40" t="s">
        <v>377</v>
      </c>
      <c r="V20" s="10" t="s">
        <v>365</v>
      </c>
      <c r="W20" s="47" t="str">
        <f>+IF(X20=0,0,CONCATENATE(MID(X20,FIND("-",X20,1)+1,4),"ORAS"))</f>
        <v>09 HORAS</v>
      </c>
      <c r="X20" s="12" t="s">
        <v>353</v>
      </c>
      <c r="Y20" s="164">
        <f>+IF(X20="","",VLOOKUP(X20,$H$139:$I$185,2,FALSE))</f>
        <v>242399</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61" t="s">
        <v>377</v>
      </c>
      <c r="U21" s="40">
        <v>1</v>
      </c>
      <c r="V21" s="10" t="s">
        <v>365</v>
      </c>
      <c r="W21" s="47" t="str">
        <f>+IF(X21=0,0,CONCATENATE(MID(X21,FIND("-",X21,1)+1,4),"ORAS"))</f>
        <v>09 HORAS</v>
      </c>
      <c r="X21" s="12" t="s">
        <v>350</v>
      </c>
      <c r="Y21" s="164">
        <f>+IF(X21="","",VLOOKUP(X21,$H$139:$I$185,2,FALSE))</f>
        <v>214754</v>
      </c>
      <c r="AA21" s="21"/>
      <c r="AB21" s="21"/>
      <c r="AC21" s="21"/>
      <c r="AD21" s="21"/>
      <c r="AE21" s="21"/>
    </row>
    <row r="22" spans="1:31" ht="15.75" x14ac:dyDescent="0.25">
      <c r="A22" s="50" t="s">
        <v>29</v>
      </c>
      <c r="B22" s="133">
        <f>SUM(B4:B13)+B16+B17+B18+B19+B20+B21</f>
        <v>23</v>
      </c>
      <c r="C22" s="133">
        <f>+C4+C5+C6+C8+C9+C10+C11+C16</f>
        <v>4</v>
      </c>
      <c r="D22" s="51"/>
      <c r="E22" s="131"/>
      <c r="F22" s="51"/>
      <c r="G22" s="52">
        <f>SUM(G13,G16:G20)</f>
        <v>1113788</v>
      </c>
      <c r="H22" s="1"/>
      <c r="I22" s="26"/>
      <c r="J22" s="12"/>
      <c r="K22" s="103"/>
      <c r="L22" s="27"/>
      <c r="M22" s="27"/>
      <c r="N22" s="47"/>
      <c r="O22" s="12"/>
      <c r="P22" s="43"/>
      <c r="Q22" s="1"/>
      <c r="R22" s="17" t="s">
        <v>12</v>
      </c>
      <c r="S22" s="40" t="s">
        <v>23</v>
      </c>
      <c r="T22" s="161" t="s">
        <v>377</v>
      </c>
      <c r="U22" s="40" t="s">
        <v>377</v>
      </c>
      <c r="V22" s="15" t="s">
        <v>365</v>
      </c>
      <c r="W22" s="12" t="str">
        <f>+IF(X22=0,0,CONCATENATE(MID(X22,FIND("-",X22,1)+1,4),"ORAS"))</f>
        <v>09 HORAS</v>
      </c>
      <c r="X22" s="12" t="s">
        <v>353</v>
      </c>
      <c r="Y22" s="166">
        <f>+IF(X22="","",VLOOKUP(X22,$H$139:$I$185,2,FALSE))</f>
        <v>242399</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38" t="s">
        <v>57</v>
      </c>
      <c r="S23" s="40" t="s">
        <v>23</v>
      </c>
      <c r="T23" s="161" t="s">
        <v>377</v>
      </c>
      <c r="U23" s="40" t="s">
        <v>377</v>
      </c>
      <c r="V23" s="15" t="s">
        <v>365</v>
      </c>
      <c r="W23" s="12" t="str">
        <f>+IF(X23=0,0,CONCATENATE(MID(X23,FIND("-",X23,1)+1,4),"ORAS"))</f>
        <v>09 HORAS</v>
      </c>
      <c r="X23" s="12" t="s">
        <v>353</v>
      </c>
      <c r="Y23" s="164">
        <f>+IF(X23="","",VLOOKUP(X23,$H$139:$I$185,2,FALSE))</f>
        <v>242399</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38" t="s">
        <v>57</v>
      </c>
      <c r="S24" s="40" t="s">
        <v>23</v>
      </c>
      <c r="T24" s="161" t="s">
        <v>377</v>
      </c>
      <c r="U24" s="40" t="s">
        <v>377</v>
      </c>
      <c r="V24" s="15" t="s">
        <v>365</v>
      </c>
      <c r="W24" s="12" t="str">
        <f>+IF(X24=0,0,CONCATENATE(MID(X24,FIND("-",X24,1)+1,4),"ORAS"))</f>
        <v>09 HORAS</v>
      </c>
      <c r="X24" s="12" t="s">
        <v>353</v>
      </c>
      <c r="Y24" s="164">
        <f>+IF(X24="","",VLOOKUP(X24,$H$139:$I$185,2,FALSE))</f>
        <v>242399</v>
      </c>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0</v>
      </c>
      <c r="L25" s="136">
        <f>SUM(L4:L24)</f>
        <v>0</v>
      </c>
      <c r="M25" s="60"/>
      <c r="N25" s="60"/>
      <c r="O25" s="60"/>
      <c r="P25" s="137">
        <f>SUM(P4:P23)</f>
        <v>0</v>
      </c>
      <c r="Q25" s="1"/>
      <c r="R25" s="1"/>
      <c r="S25" s="62" t="s">
        <v>31</v>
      </c>
      <c r="T25" s="370">
        <f>T4+T15</f>
        <v>7</v>
      </c>
      <c r="U25" s="140">
        <f>SUM(U4:U7,U21)</f>
        <v>3</v>
      </c>
      <c r="V25" s="62"/>
      <c r="W25" s="60"/>
      <c r="X25" s="62"/>
      <c r="Y25" s="372">
        <f>SUM(Y4:Y24)</f>
        <v>2661233</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330</v>
      </c>
      <c r="G26" s="164">
        <f>+IF(C26=0,0,IF(F26="","",VLOOKUP(F26,$H$139:$I$185,2,FALSE))*C26)</f>
        <v>369327</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c r="B27" s="102">
        <v>0</v>
      </c>
      <c r="C27" s="68">
        <v>0</v>
      </c>
      <c r="D27" s="20" t="s">
        <v>511</v>
      </c>
      <c r="E27" s="47">
        <f>+IF(F27=0,0,CONCATENATE(MID(F27,FIND("-",F27,1)+1,4),"ORAS"))</f>
        <v>0</v>
      </c>
      <c r="F27" s="12">
        <v>0</v>
      </c>
      <c r="G27" s="343">
        <f>+IF(F27="","",VLOOKUP(F27,$H$139:$I$185,2,FALSE))</f>
        <v>0</v>
      </c>
      <c r="H27" s="1"/>
      <c r="I27" s="1"/>
      <c r="J27" s="1"/>
      <c r="K27" s="1"/>
      <c r="L27" s="1"/>
      <c r="M27" s="1"/>
      <c r="N27" s="1"/>
      <c r="O27" s="1"/>
      <c r="P27" s="1"/>
      <c r="Q27" s="1"/>
      <c r="R27" s="1"/>
      <c r="S27" s="1"/>
      <c r="T27" s="1"/>
      <c r="U27" s="1"/>
      <c r="V27" s="1"/>
      <c r="W27" s="1"/>
      <c r="X27" s="1"/>
      <c r="Y27" s="1"/>
    </row>
    <row r="28" spans="1:31" ht="15.75" customHeight="1" x14ac:dyDescent="0.2">
      <c r="A28" s="44"/>
      <c r="B28" s="102">
        <v>0</v>
      </c>
      <c r="C28" s="68">
        <v>0</v>
      </c>
      <c r="D28" s="20" t="s">
        <v>511</v>
      </c>
      <c r="E28" s="47">
        <f>+IF(F28=0,0,CONCATENATE(MID(F28,FIND("-",F28,1)+1,4),"ORAS"))</f>
        <v>0</v>
      </c>
      <c r="F28" s="12">
        <v>0</v>
      </c>
      <c r="G28" s="343">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343"/>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512</v>
      </c>
      <c r="B34" s="102" t="str">
        <f>+IF(F34=0,0,MID(F34,LEN(F34)-3,1))</f>
        <v>3</v>
      </c>
      <c r="C34" s="342">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9" t="s">
        <v>37</v>
      </c>
      <c r="B35" s="102" t="str">
        <f>+IF(F35=0,0,MID(F35,LEN(F35)-3,1))</f>
        <v>3</v>
      </c>
      <c r="C35" s="342">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342">
        <v>1</v>
      </c>
      <c r="D36" s="20" t="s">
        <v>365</v>
      </c>
      <c r="E36" s="47" t="str">
        <f>+IF(F36=0,0,CONCATENATE(MID(F36,FIND("-",F36,1)+1,4),"ORAS"))</f>
        <v>04 HORAS</v>
      </c>
      <c r="F36" s="12" t="s">
        <v>345</v>
      </c>
      <c r="G36" s="164">
        <f>+IF(F36="","",VLOOKUP(F36,$H$139:$I$185,2,FALSE))</f>
        <v>323876</v>
      </c>
      <c r="H36" s="1"/>
      <c r="I36" s="1"/>
      <c r="J36" s="1"/>
      <c r="K36" s="1"/>
      <c r="L36" s="1"/>
      <c r="M36" s="1"/>
      <c r="N36" s="1"/>
      <c r="O36" s="1"/>
      <c r="P36" s="1"/>
      <c r="Q36" s="1"/>
      <c r="R36" s="1"/>
      <c r="S36" s="1"/>
      <c r="T36" s="1"/>
      <c r="U36" s="1"/>
      <c r="V36" s="1"/>
      <c r="W36" s="1"/>
      <c r="X36" s="1"/>
      <c r="Y36" s="1"/>
    </row>
    <row r="37" spans="1:25" ht="15.75" x14ac:dyDescent="0.2">
      <c r="A37" s="44" t="s">
        <v>513</v>
      </c>
      <c r="B37" s="102">
        <v>3</v>
      </c>
      <c r="C37" s="68">
        <v>1</v>
      </c>
      <c r="D37" s="20" t="s">
        <v>365</v>
      </c>
      <c r="E37" s="47" t="str">
        <f>+IF(F37=0,0,CONCATENATE(MID(F37,FIND("-",F37,1)+1,4),"ORAS"))</f>
        <v>04 HORAS</v>
      </c>
      <c r="F37" s="12" t="s">
        <v>345</v>
      </c>
      <c r="G37" s="164">
        <f>+IF(F37="","",VLOOKUP(F37,$H$139:$I$185,2,FALSE))</f>
        <v>323876</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342"/>
      <c r="D38" s="20"/>
      <c r="E38" s="47">
        <f>+IF(F38=0,0,CONCATENATE(MID(F38,FIND("-",F38,1)+1,4),"ORAS"))</f>
        <v>0</v>
      </c>
      <c r="F38" s="12">
        <v>0</v>
      </c>
      <c r="G38" s="343">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15</v>
      </c>
      <c r="C40" s="51">
        <f>SUM(C26:C32)+C34+C35+C36+C37+C38+C39</f>
        <v>5</v>
      </c>
      <c r="D40" s="51"/>
      <c r="E40" s="47">
        <f>+IF(F40=0,0,CONCATENATE(MID(F40,FIND("-",F40,1)+1,3),"ORAS"))</f>
        <v>0</v>
      </c>
      <c r="F40" s="51"/>
      <c r="G40" s="52">
        <f>SUM(G26:G31,G34:G39)</f>
        <v>1664831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25"/>
      <c r="B46" s="128"/>
      <c r="C46" s="10"/>
      <c r="D46" s="10"/>
      <c r="E46" s="47">
        <f t="shared" ref="E46:E49" si="1">+IF(F46=0,0,CONCATENATE(MID(F46,FIND("-",F46,1)+1,4),"ORAS"))</f>
        <v>0</v>
      </c>
      <c r="F46" s="12">
        <v>0</v>
      </c>
      <c r="G46" s="343">
        <f>+IF(C46=0,0,IF(F46="","",VLOOKUP(F46,$H$139:$I$185,2,FALSE))*C46)</f>
        <v>0</v>
      </c>
      <c r="H46" s="1"/>
      <c r="I46" s="1"/>
      <c r="J46" s="402"/>
      <c r="K46" s="402"/>
      <c r="L46" s="402"/>
      <c r="M46" s="402"/>
      <c r="N46" s="402"/>
      <c r="O46" s="402"/>
      <c r="P46" s="402"/>
      <c r="Q46" s="1"/>
      <c r="R46" s="1"/>
      <c r="S46" s="1"/>
      <c r="T46" s="1"/>
      <c r="U46" s="1"/>
      <c r="V46" s="1"/>
      <c r="W46" s="1"/>
      <c r="X46" s="1"/>
      <c r="Y46" s="1"/>
    </row>
    <row r="47" spans="1:25" ht="15.75" x14ac:dyDescent="0.2">
      <c r="A47" s="25"/>
      <c r="B47" s="128"/>
      <c r="C47" s="10"/>
      <c r="D47" s="10"/>
      <c r="E47" s="47">
        <f t="shared" si="1"/>
        <v>0</v>
      </c>
      <c r="F47" s="12">
        <v>0</v>
      </c>
      <c r="G47" s="343">
        <f>+IF(C47=0,0,IF(F47="","",VLOOKUP(F47,$H$139:$I$185,2,FALSE))*C47)</f>
        <v>0</v>
      </c>
      <c r="H47" s="1"/>
      <c r="I47" s="1"/>
      <c r="J47" s="402"/>
      <c r="K47" s="402"/>
      <c r="L47" s="402"/>
      <c r="M47" s="402"/>
      <c r="N47" s="402"/>
      <c r="O47" s="402"/>
      <c r="P47" s="402"/>
      <c r="Q47" s="1"/>
      <c r="R47" s="1"/>
      <c r="S47" s="1"/>
      <c r="T47" s="1"/>
      <c r="U47" s="1"/>
      <c r="V47" s="1"/>
      <c r="W47" s="1"/>
      <c r="X47" s="1"/>
      <c r="Y47" s="1"/>
    </row>
    <row r="48" spans="1:25" ht="15.75" x14ac:dyDescent="0.2">
      <c r="A48" s="25"/>
      <c r="B48" s="128"/>
      <c r="C48" s="10"/>
      <c r="D48" s="10"/>
      <c r="E48" s="47">
        <f t="shared" si="1"/>
        <v>0</v>
      </c>
      <c r="F48" s="12">
        <v>0</v>
      </c>
      <c r="G48" s="343">
        <f>+IF(C48=0,0,IF(F48="","",VLOOKUP(F48,$H$139:$I$185,2,FALSE))*C48)</f>
        <v>0</v>
      </c>
      <c r="H48" s="1"/>
      <c r="I48" s="1"/>
      <c r="J48" s="402"/>
      <c r="K48" s="402"/>
      <c r="L48" s="402"/>
      <c r="M48" s="402"/>
      <c r="N48" s="402"/>
      <c r="O48" s="402"/>
      <c r="P48" s="402"/>
      <c r="Q48" s="1"/>
      <c r="R48" s="1"/>
      <c r="S48" s="1"/>
      <c r="T48" s="1"/>
      <c r="U48" s="1"/>
      <c r="V48" s="1"/>
      <c r="W48" s="1"/>
      <c r="X48" s="1"/>
      <c r="Y48" s="1"/>
    </row>
    <row r="49" spans="1:25" ht="15.75" x14ac:dyDescent="0.2">
      <c r="A49" s="25"/>
      <c r="B49" s="128"/>
      <c r="C49" s="10"/>
      <c r="D49" s="10"/>
      <c r="E49" s="47">
        <f t="shared" si="1"/>
        <v>0</v>
      </c>
      <c r="F49" s="12">
        <v>0</v>
      </c>
      <c r="G49" s="343">
        <f>+IF(C49=0,0,IF(F49="","",VLOOKUP(F49,$H$139:$I$185,2,FALSE))*C49)</f>
        <v>0</v>
      </c>
      <c r="H49" s="1"/>
      <c r="I49" s="1"/>
      <c r="J49" s="402"/>
      <c r="K49" s="402"/>
      <c r="L49" s="402"/>
      <c r="M49" s="402"/>
      <c r="N49" s="402"/>
      <c r="O49" s="402"/>
      <c r="P49" s="402"/>
      <c r="Q49" s="1"/>
      <c r="R49" s="1"/>
      <c r="S49" s="1"/>
      <c r="T49" s="1"/>
      <c r="U49" s="1"/>
      <c r="V49" s="1"/>
      <c r="W49" s="1"/>
      <c r="X49" s="1"/>
      <c r="Y49" s="1"/>
    </row>
    <row r="50" spans="1:25" ht="15.75" x14ac:dyDescent="0.2">
      <c r="A50" s="80"/>
      <c r="B50" s="344"/>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1" si="2">+IF(F54=0,0,MID(F54,LEN(F54)-3,1))</f>
        <v>3</v>
      </c>
      <c r="C54" s="342">
        <v>1</v>
      </c>
      <c r="D54" s="20" t="s">
        <v>365</v>
      </c>
      <c r="E54" s="47" t="str">
        <f t="shared" ref="E54:E63" si="3">+IF(F54=0,0,CONCATENATE(MID(F54,FIND("-",F54,1)+1,4),"ORAS"))</f>
        <v>04 HORAS</v>
      </c>
      <c r="F54" s="12" t="s">
        <v>345</v>
      </c>
      <c r="G54" s="164">
        <f t="shared" ref="G54:G63" si="4">+IF(F54="","",VLOOKUP(F54,$H$139:$I$185,2,FALSE))</f>
        <v>323876</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2"/>
        <v>3</v>
      </c>
      <c r="C55" s="342">
        <v>1</v>
      </c>
      <c r="D55" s="20" t="s">
        <v>365</v>
      </c>
      <c r="E55" s="47" t="str">
        <f t="shared" si="3"/>
        <v>04 HORAS</v>
      </c>
      <c r="F55" s="12" t="s">
        <v>345</v>
      </c>
      <c r="G55" s="164">
        <f t="shared" si="4"/>
        <v>323876</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2"/>
        <v>3</v>
      </c>
      <c r="C56" s="342">
        <v>1</v>
      </c>
      <c r="D56" s="20" t="s">
        <v>365</v>
      </c>
      <c r="E56" s="47" t="str">
        <f t="shared" si="3"/>
        <v>04 HORAS</v>
      </c>
      <c r="F56" s="12" t="s">
        <v>345</v>
      </c>
      <c r="G56" s="164">
        <f t="shared" si="4"/>
        <v>323876</v>
      </c>
      <c r="H56" s="1"/>
      <c r="I56" s="1"/>
      <c r="J56" s="402"/>
      <c r="K56" s="402"/>
      <c r="L56" s="402"/>
      <c r="M56" s="402"/>
      <c r="N56" s="402"/>
      <c r="O56" s="402"/>
      <c r="P56" s="402"/>
      <c r="Q56" s="1"/>
      <c r="R56" s="1"/>
      <c r="S56" s="1"/>
      <c r="T56" s="1"/>
      <c r="U56" s="1"/>
      <c r="V56" s="1"/>
      <c r="W56" s="1"/>
      <c r="X56" s="1"/>
      <c r="Y56" s="1"/>
    </row>
    <row r="57" spans="1:25" ht="15.75" x14ac:dyDescent="0.25">
      <c r="A57" s="25" t="s">
        <v>372</v>
      </c>
      <c r="B57" s="103">
        <v>3</v>
      </c>
      <c r="C57" s="342">
        <v>1</v>
      </c>
      <c r="D57" s="20" t="s">
        <v>365</v>
      </c>
      <c r="E57" s="47" t="str">
        <f t="shared" si="3"/>
        <v>04 HORAS</v>
      </c>
      <c r="F57" s="12" t="s">
        <v>345</v>
      </c>
      <c r="G57" s="164">
        <f t="shared" si="4"/>
        <v>323876</v>
      </c>
      <c r="H57" s="1"/>
      <c r="I57" s="1"/>
      <c r="J57" s="402"/>
      <c r="K57" s="402"/>
      <c r="L57" s="402"/>
      <c r="M57" s="402"/>
      <c r="N57" s="402"/>
      <c r="O57" s="402"/>
      <c r="P57" s="402"/>
      <c r="Q57" s="1"/>
      <c r="R57" s="1"/>
      <c r="S57" s="1"/>
      <c r="T57" s="1"/>
      <c r="U57" s="1"/>
      <c r="V57" s="1"/>
      <c r="W57" s="1"/>
      <c r="X57" s="1"/>
      <c r="Y57" s="1"/>
    </row>
    <row r="58" spans="1:25" ht="15.75" x14ac:dyDescent="0.25">
      <c r="A58" s="25" t="s">
        <v>373</v>
      </c>
      <c r="B58" s="103">
        <v>3</v>
      </c>
      <c r="C58" s="342">
        <v>1</v>
      </c>
      <c r="D58" s="20" t="s">
        <v>365</v>
      </c>
      <c r="E58" s="47" t="str">
        <f t="shared" si="3"/>
        <v>04 HORAS</v>
      </c>
      <c r="F58" s="12" t="s">
        <v>345</v>
      </c>
      <c r="G58" s="164">
        <f t="shared" si="4"/>
        <v>323876</v>
      </c>
      <c r="H58" s="1"/>
      <c r="I58" s="1"/>
      <c r="J58" s="402"/>
      <c r="K58" s="402"/>
      <c r="L58" s="402"/>
      <c r="M58" s="402"/>
      <c r="N58" s="402"/>
      <c r="O58" s="402"/>
      <c r="P58" s="402"/>
      <c r="Q58" s="1"/>
      <c r="R58" s="1"/>
      <c r="S58" s="1"/>
      <c r="T58" s="1"/>
      <c r="U58" s="1"/>
      <c r="V58" s="1"/>
      <c r="W58" s="1"/>
      <c r="X58" s="1"/>
      <c r="Y58" s="1"/>
    </row>
    <row r="59" spans="1:25" ht="15.75" x14ac:dyDescent="0.25">
      <c r="A59" s="25"/>
      <c r="B59" s="103"/>
      <c r="C59" s="342"/>
      <c r="D59" s="20"/>
      <c r="E59" s="47">
        <f t="shared" si="3"/>
        <v>0</v>
      </c>
      <c r="F59" s="12">
        <v>0</v>
      </c>
      <c r="G59" s="343">
        <f t="shared" si="4"/>
        <v>0</v>
      </c>
      <c r="H59" s="1"/>
      <c r="I59" s="1"/>
      <c r="J59" s="402"/>
      <c r="K59" s="402"/>
      <c r="L59" s="402"/>
      <c r="M59" s="402"/>
      <c r="N59" s="402"/>
      <c r="O59" s="402"/>
      <c r="P59" s="402"/>
      <c r="Q59" s="1"/>
      <c r="R59" s="1"/>
      <c r="S59" s="1"/>
      <c r="T59" s="1"/>
      <c r="U59" s="1"/>
      <c r="V59" s="1"/>
      <c r="W59" s="1"/>
      <c r="X59" s="1"/>
      <c r="Y59" s="1"/>
    </row>
    <row r="60" spans="1:25" ht="15.75" x14ac:dyDescent="0.25">
      <c r="A60" s="134"/>
      <c r="B60" s="103">
        <f t="shared" si="2"/>
        <v>0</v>
      </c>
      <c r="C60" s="342">
        <v>0</v>
      </c>
      <c r="D60" s="20"/>
      <c r="E60" s="47">
        <f t="shared" si="3"/>
        <v>0</v>
      </c>
      <c r="F60" s="12">
        <v>0</v>
      </c>
      <c r="G60" s="343">
        <f t="shared" si="4"/>
        <v>0</v>
      </c>
      <c r="H60" s="1"/>
      <c r="I60" s="1"/>
      <c r="J60" s="402"/>
      <c r="K60" s="402"/>
      <c r="L60" s="402"/>
      <c r="M60" s="402"/>
      <c r="N60" s="402"/>
      <c r="O60" s="402"/>
      <c r="P60" s="402"/>
      <c r="Q60" s="1"/>
      <c r="R60" s="1"/>
      <c r="S60" s="1"/>
      <c r="T60" s="1"/>
      <c r="U60" s="1"/>
      <c r="V60" s="1"/>
      <c r="W60" s="1"/>
      <c r="X60" s="1"/>
      <c r="Y60" s="1"/>
    </row>
    <row r="61" spans="1:25" ht="15.75" x14ac:dyDescent="0.25">
      <c r="A61" s="134"/>
      <c r="B61" s="103">
        <f t="shared" si="2"/>
        <v>0</v>
      </c>
      <c r="C61" s="342">
        <v>0</v>
      </c>
      <c r="D61" s="20"/>
      <c r="E61" s="47">
        <f t="shared" si="3"/>
        <v>0</v>
      </c>
      <c r="F61" s="12">
        <v>0</v>
      </c>
      <c r="G61" s="343">
        <f t="shared" si="4"/>
        <v>0</v>
      </c>
      <c r="H61" s="1"/>
      <c r="I61" s="1"/>
      <c r="J61" s="402"/>
      <c r="K61" s="402"/>
      <c r="L61" s="402"/>
      <c r="M61" s="402"/>
      <c r="N61" s="402"/>
      <c r="O61" s="402"/>
      <c r="P61" s="402"/>
      <c r="Q61" s="1"/>
      <c r="R61" s="1"/>
      <c r="S61" s="1"/>
      <c r="T61" s="1"/>
      <c r="U61" s="1"/>
      <c r="V61" s="1"/>
      <c r="W61" s="1"/>
      <c r="X61" s="1"/>
      <c r="Y61" s="1"/>
    </row>
    <row r="62" spans="1:25" ht="15.75" x14ac:dyDescent="0.25">
      <c r="A62" s="25"/>
      <c r="B62" s="103">
        <v>0</v>
      </c>
      <c r="C62" s="342">
        <v>0</v>
      </c>
      <c r="D62" s="20"/>
      <c r="E62" s="47">
        <f t="shared" si="3"/>
        <v>0</v>
      </c>
      <c r="F62" s="12">
        <v>0</v>
      </c>
      <c r="G62" s="11">
        <f t="shared" si="4"/>
        <v>0</v>
      </c>
      <c r="H62" s="1"/>
      <c r="I62" s="1"/>
      <c r="J62" s="402"/>
      <c r="K62" s="402"/>
      <c r="L62" s="402"/>
      <c r="M62" s="402"/>
      <c r="N62" s="402"/>
      <c r="O62" s="402"/>
      <c r="P62" s="402"/>
      <c r="Q62" s="1"/>
      <c r="R62" s="1"/>
      <c r="S62" s="1"/>
      <c r="T62" s="1"/>
      <c r="U62" s="1"/>
      <c r="V62" s="1"/>
      <c r="W62" s="1"/>
      <c r="X62" s="1"/>
      <c r="Y62" s="1"/>
    </row>
    <row r="63" spans="1:25" ht="15.75" x14ac:dyDescent="0.25">
      <c r="A63" s="25"/>
      <c r="B63" s="103"/>
      <c r="C63" s="342"/>
      <c r="D63" s="20"/>
      <c r="E63" s="47">
        <f t="shared" si="3"/>
        <v>0</v>
      </c>
      <c r="F63" s="12">
        <v>0</v>
      </c>
      <c r="G63" s="11">
        <f t="shared" si="4"/>
        <v>0</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SUM(G46:G51,G54:G64)</f>
        <v>1619380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53</v>
      </c>
      <c r="C67" s="143">
        <f>C65+C40+C22</f>
        <v>14</v>
      </c>
      <c r="D67" s="62">
        <f>D65+D40+D22</f>
        <v>0</v>
      </c>
      <c r="E67" s="1"/>
      <c r="F67" s="1"/>
      <c r="G67" s="52">
        <f>SUM(G22,G40,G65)</f>
        <v>4397999</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60</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17</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7059232</v>
      </c>
      <c r="L70" s="380"/>
      <c r="M70" s="98">
        <f>SUM(G22,Y20)</f>
        <v>1356187</v>
      </c>
      <c r="N70" s="142">
        <f>SUM(G40,P4:P15,Y4:Y8,Y15:Y16,Y21:Y22)</f>
        <v>3598867</v>
      </c>
      <c r="O70" s="98">
        <f>SUM(G46:G51,G54:G64,Y23:Y24)</f>
        <v>2104178</v>
      </c>
      <c r="P70" s="109">
        <f>SUM(M70:O70)</f>
        <v>7059232</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416</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3">
    <dataValidation type="list" allowBlank="1" showInputMessage="1" showErrorMessage="1" sqref="F39" xr:uid="{E59C49FE-4770-6844-B15E-301730F1F521}">
      <formula1>$H$139:$H$184</formula1>
    </dataValidation>
    <dataValidation type="list" allowBlank="1" showInputMessage="1" showErrorMessage="1" sqref="F16:F19 X15:X16 F30:F31 F26:F28 O4:O15 F46:F51 F34:F38 O18:O24 X4:X8 X20:X24 F4:F11 F54:F64" xr:uid="{7875FB6D-37C6-0E4B-8AFB-D47F451B8882}">
      <formula1>$H$139:$H$185</formula1>
    </dataValidation>
    <dataValidation type="list" allowBlank="1" showInputMessage="1" showErrorMessage="1" sqref="F29 F20:F21 F12:F13" xr:uid="{9303912C-1176-4745-8948-8F70B76A1521}">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legacy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567BB-E7BF-2749-9197-6BC784B20D40}">
  <sheetPr>
    <tabColor rgb="FFFF0000"/>
  </sheetPr>
  <dimension ref="A1:AE191"/>
  <sheetViews>
    <sheetView view="pageBreakPreview" topLeftCell="G59" zoomScaleNormal="59" zoomScaleSheetLayoutView="100" workbookViewId="0">
      <selection activeCell="A29" sqref="A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+IF(F4="","",VLOOKUP(F4,$H$139:$I$191,2,FALSE))</f>
        <v>514916</v>
      </c>
      <c r="H4" s="1"/>
      <c r="I4" s="17" t="s">
        <v>12</v>
      </c>
      <c r="J4" s="12" t="s">
        <v>237</v>
      </c>
      <c r="K4" s="103">
        <v>0</v>
      </c>
      <c r="L4" s="14">
        <v>1</v>
      </c>
      <c r="M4" s="15" t="s">
        <v>365</v>
      </c>
      <c r="N4" s="47" t="str">
        <f>+IF(O4=0,0,CONCATENATE(MID(O4,FIND("-",O4,1)+1,4),"ORAS"))</f>
        <v>15 HORAS</v>
      </c>
      <c r="O4" s="12" t="s">
        <v>349</v>
      </c>
      <c r="P4" s="164">
        <f>+IF(O4="","",VLOOKUP(O4,$H$139:$I$191,2,FALSE))</f>
        <v>239262</v>
      </c>
      <c r="Q4" s="1"/>
      <c r="R4" s="17" t="s">
        <v>12</v>
      </c>
      <c r="S4" s="40" t="s">
        <v>13</v>
      </c>
      <c r="T4" s="103" t="str">
        <f>+IF(X4=0,0,MID(X4,LEN(X4)-3,1))</f>
        <v>3</v>
      </c>
      <c r="U4" s="337">
        <v>1</v>
      </c>
      <c r="V4" s="20" t="s">
        <v>365</v>
      </c>
      <c r="W4" s="47" t="str">
        <f>+IF(X4=0,0,CONCATENATE(MID(X4,FIND("-",X4,1)+1,4),"ORAS"))</f>
        <v>15 HORAS</v>
      </c>
      <c r="X4" s="12" t="s">
        <v>335</v>
      </c>
      <c r="Y4" s="164">
        <f t="shared" ref="Y4:Y6" si="2">+IF(X4="","",VLOOKUP(X4,$H$139:$I$191,2,FALSE))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+IF(F5="","",VLOOKUP(F5,$H$139:I$191,2,FALSE))</f>
        <v>514916</v>
      </c>
      <c r="H5" s="1"/>
      <c r="I5" s="17" t="s">
        <v>12</v>
      </c>
      <c r="J5" s="12" t="s">
        <v>54</v>
      </c>
      <c r="K5" s="103">
        <v>3</v>
      </c>
      <c r="L5" s="14">
        <v>1</v>
      </c>
      <c r="M5" s="15" t="s">
        <v>365</v>
      </c>
      <c r="N5" s="47" t="str">
        <f>+IF(O5=0,0,CONCATENATE(MID(O5,FIND("-",O5,1)+1,4),"ORAS"))</f>
        <v>15 HORAS</v>
      </c>
      <c r="O5" s="12" t="s">
        <v>335</v>
      </c>
      <c r="P5" s="164">
        <f t="shared" ref="P5:P8" si="3">+IF(O5="","",VLOOKUP(O5,$H$139:$I$191,2,FALSE))</f>
        <v>443323</v>
      </c>
      <c r="Q5" s="1"/>
      <c r="R5" s="17" t="s">
        <v>12</v>
      </c>
      <c r="S5" s="40" t="s">
        <v>15</v>
      </c>
      <c r="T5" s="103" t="str">
        <f>+IF(X5=0,0,MID(X5,LEN(X5)-3,1))</f>
        <v>3</v>
      </c>
      <c r="U5" s="337">
        <v>1</v>
      </c>
      <c r="V5" s="20" t="s">
        <v>365</v>
      </c>
      <c r="W5" s="47" t="str">
        <f>+IF(X5=0,0,CONCATENATE(MID(X5,FIND("-",X5,1)+1,4),"ORAS"))</f>
        <v>15 HORAS</v>
      </c>
      <c r="X5" s="12" t="s">
        <v>335</v>
      </c>
      <c r="Y5" s="164">
        <f t="shared" si="2"/>
        <v>443323</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+IF(F6="","",VLOOKUP(F6,$H$139:I$191,2,FALSE))</f>
        <v>514916</v>
      </c>
      <c r="H6" s="1"/>
      <c r="I6" s="17"/>
      <c r="J6" s="12"/>
      <c r="K6" s="103"/>
      <c r="L6" s="14"/>
      <c r="M6" s="15"/>
      <c r="N6" s="47">
        <f>+IF(O6=0,0,CONCATENATE(MID(O6,FIND("-",O6,1)+1,4),"ORAS"))</f>
        <v>0</v>
      </c>
      <c r="O6" s="12">
        <v>0</v>
      </c>
      <c r="P6" s="164">
        <f t="shared" si="3"/>
        <v>0</v>
      </c>
      <c r="Q6" s="1"/>
      <c r="R6" s="17" t="s">
        <v>12</v>
      </c>
      <c r="S6" s="40" t="s">
        <v>17</v>
      </c>
      <c r="T6" s="103" t="str">
        <f>+IF(X6=0,0,MID(X6,LEN(X6)-3,1))</f>
        <v>4</v>
      </c>
      <c r="U6" s="337">
        <v>1</v>
      </c>
      <c r="V6" s="20" t="s">
        <v>365</v>
      </c>
      <c r="W6" s="47" t="str">
        <f>+IF(X6=0,0,CONCATENATE(MID(X6,FIND("-",X6,1)+1,4),"ORAS"))</f>
        <v>15 HORAS</v>
      </c>
      <c r="X6" s="12" t="s">
        <v>334</v>
      </c>
      <c r="Y6" s="164">
        <f t="shared" si="2"/>
        <v>501739</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+IF(F7="","",VLOOKUP(F7,$H$139:I$191,2,FALSE))</f>
        <v>514916</v>
      </c>
      <c r="H7" s="1"/>
      <c r="I7" s="17"/>
      <c r="J7" s="12"/>
      <c r="K7" s="103"/>
      <c r="L7" s="14"/>
      <c r="M7" s="15"/>
      <c r="N7" s="47"/>
      <c r="O7" s="12">
        <v>0</v>
      </c>
      <c r="P7" s="164">
        <f t="shared" si="3"/>
        <v>0</v>
      </c>
      <c r="Q7" s="1"/>
      <c r="R7" s="29"/>
      <c r="S7" s="338"/>
      <c r="T7" s="103"/>
      <c r="U7" s="33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+IF(F8="","",VLOOKUP(F8,$H$139:I$191,2,FALSE))</f>
        <v>514916</v>
      </c>
      <c r="H8" s="1"/>
      <c r="I8" s="17"/>
      <c r="J8" s="12"/>
      <c r="K8" s="103"/>
      <c r="L8" s="14"/>
      <c r="M8" s="15"/>
      <c r="N8" s="47"/>
      <c r="O8" s="12">
        <v>0</v>
      </c>
      <c r="P8" s="164">
        <f t="shared" si="3"/>
        <v>0</v>
      </c>
      <c r="Q8" s="1"/>
      <c r="R8" s="17"/>
      <c r="S8" s="340"/>
      <c r="T8" s="337"/>
      <c r="U8" s="33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+IF(F9="","",VLOOKUP(F9,$H$139:I$191,2,FALSE))</f>
        <v>582964</v>
      </c>
      <c r="H9" s="1"/>
      <c r="I9" s="26"/>
      <c r="J9" s="12"/>
      <c r="K9" s="103"/>
      <c r="L9" s="56"/>
      <c r="M9" s="56"/>
      <c r="N9" s="12"/>
      <c r="O9" s="12"/>
      <c r="P9" s="110"/>
      <c r="Q9" s="1"/>
      <c r="R9" s="33"/>
      <c r="S9" s="341"/>
      <c r="T9" s="341"/>
      <c r="U9" s="34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+IF(F10="","",VLOOKUP(F10,$H$139:I$191,2,FALSE))</f>
        <v>514916</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+B10+B9+B8+B7+B6+B5+B4</f>
        <v>22</v>
      </c>
      <c r="C13" s="128">
        <f>+C10+C9+C8+C7+C6+C5+C4</f>
        <v>7</v>
      </c>
      <c r="D13" s="28"/>
      <c r="E13" s="28"/>
      <c r="F13" s="12"/>
      <c r="G13" s="52">
        <f>SUM(G4:G12)</f>
        <v>3672460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4">
        <f>+(IF(X15="","",VLOOKUP(X15,$H$139:$I$191,2,FALSE)))*T15</f>
        <v>160731</v>
      </c>
    </row>
    <row r="16" spans="1:31" ht="18.75" customHeight="1" x14ac:dyDescent="0.2">
      <c r="A16" s="174" t="s">
        <v>244</v>
      </c>
      <c r="B16" s="102" t="str">
        <f>+IF(F16=0,0,MID(F16,LEN(F16)-3,1))</f>
        <v>3</v>
      </c>
      <c r="C16" s="339">
        <v>1</v>
      </c>
      <c r="D16" s="10" t="s">
        <v>365</v>
      </c>
      <c r="E16" s="47" t="str">
        <f>+IF(F16=0,0,CONCATENATE(MID(F16,FIND("-",F16,1)+1,4),"ORAS"))</f>
        <v>15 HORAS</v>
      </c>
      <c r="F16" s="12" t="s">
        <v>335</v>
      </c>
      <c r="G16" s="164">
        <f>+IF(F16="","",VLOOKUP(F16,$H$139:I$191,2,FALSE))</f>
        <v>443323</v>
      </c>
      <c r="H16" s="1"/>
      <c r="I16" s="396" t="s">
        <v>25</v>
      </c>
      <c r="J16" s="397"/>
      <c r="K16" s="397"/>
      <c r="L16" s="397"/>
      <c r="M16" s="397"/>
      <c r="N16" s="397"/>
      <c r="O16" s="397"/>
      <c r="P16" s="398"/>
      <c r="Q16" s="1"/>
      <c r="R16" s="39" t="s">
        <v>12</v>
      </c>
      <c r="S16" s="40" t="s">
        <v>236</v>
      </c>
      <c r="T16" s="103">
        <v>2</v>
      </c>
      <c r="U16" s="40">
        <v>0</v>
      </c>
      <c r="V16" s="40" t="s">
        <v>377</v>
      </c>
      <c r="W16" s="12" t="str">
        <f>+IF(X16=0,0,CONCATENATE(MID(X16,FIND("-",X16,1)+1,4),"ORAS"))</f>
        <v>08 HORAS</v>
      </c>
      <c r="X16" s="12" t="s">
        <v>359</v>
      </c>
      <c r="Y16" s="164">
        <f>+(IF(X16="","",VLOOKUP(X16,$H$139:$I$191,2,FALSE)))*T16</f>
        <v>107154</v>
      </c>
    </row>
    <row r="17" spans="1:31" ht="23.25" customHeight="1" x14ac:dyDescent="0.2">
      <c r="A17" s="129"/>
      <c r="B17" s="103"/>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337"/>
      <c r="D18" s="15"/>
      <c r="E18" s="12"/>
      <c r="F18" s="12"/>
      <c r="G18" s="11"/>
      <c r="H18" s="1"/>
      <c r="I18" s="17" t="s">
        <v>535</v>
      </c>
      <c r="J18" s="12" t="s">
        <v>536</v>
      </c>
      <c r="K18" s="103"/>
      <c r="L18" s="14">
        <v>1</v>
      </c>
      <c r="M18" s="15" t="s">
        <v>365</v>
      </c>
      <c r="N18" s="47" t="str">
        <f>+IF(O18=0,0,CONCATENATE(MID(O18,FIND("-",O18,1)+1,4),"ORAS"))</f>
        <v>09 HORAS</v>
      </c>
      <c r="O18" s="12" t="s">
        <v>324</v>
      </c>
      <c r="P18" s="164">
        <f t="shared" ref="P18:P19" si="4">+IF(O18="","",VLOOKUP(O18,$H$139:$I$191,2,FALSE))</f>
        <v>509192</v>
      </c>
      <c r="Q18" s="1"/>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27"/>
      <c r="N19" s="47">
        <f>+IF(O19=0,0,CONCATENATE(MID(O19,FIND("-",O19,1)+1,4),"ORAS"))</f>
        <v>0</v>
      </c>
      <c r="O19" s="12">
        <v>0</v>
      </c>
      <c r="P19" s="164">
        <f t="shared" si="4"/>
        <v>0</v>
      </c>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 t="shared" ref="Y20:Y23" si="5">+IF(X20="","",VLOOKUP(X20,$H$139:$I$191,2,FALSE))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 t="shared" si="5"/>
        <v>239262</v>
      </c>
      <c r="AA21" s="21"/>
      <c r="AB21" s="21"/>
      <c r="AC21" s="21"/>
      <c r="AD21" s="21"/>
      <c r="AE21" s="21"/>
    </row>
    <row r="22" spans="1:31" ht="15.75" x14ac:dyDescent="0.25">
      <c r="A22" s="50" t="s">
        <v>29</v>
      </c>
      <c r="B22" s="133">
        <f>SUM(B4:B13)+B16+B17+B18+B19+B20+B21</f>
        <v>25</v>
      </c>
      <c r="C22" s="133">
        <f>+C4+C5+C6+C7+C8+C9+C10+C16</f>
        <v>8</v>
      </c>
      <c r="D22" s="51"/>
      <c r="E22" s="131"/>
      <c r="F22" s="51"/>
      <c r="G22" s="52">
        <f>SUM(G13,G16:G21)</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4">
        <f t="shared" si="5"/>
        <v>373234</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4">
        <f t="shared" si="5"/>
        <v>373234</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SUM(K4:K15,K18:K24)</f>
        <v>3</v>
      </c>
      <c r="L25" s="136">
        <f>SUM(L4:L24)</f>
        <v>3</v>
      </c>
      <c r="M25" s="60"/>
      <c r="N25" s="60"/>
      <c r="O25" s="60"/>
      <c r="P25" s="137">
        <f>SUM(P4:P24)</f>
        <v>1191777</v>
      </c>
      <c r="Q25" s="1"/>
      <c r="R25" s="1"/>
      <c r="S25" s="62" t="s">
        <v>31</v>
      </c>
      <c r="T25" s="140">
        <f>+T15+T16+T4+T5+T6+T7</f>
        <v>15</v>
      </c>
      <c r="U25" s="140">
        <f>SUM(U4:U7,U21)</f>
        <v>4</v>
      </c>
      <c r="V25" s="62"/>
      <c r="W25" s="62"/>
      <c r="X25" s="62"/>
      <c r="Y25" s="63">
        <f>SUM(Y4:Y23)</f>
        <v>3015234</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+IF(F26="","",VLOOKUP(F26,$H$139:I$191,2,FALSE))</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64">
        <f>+IF(F27="","",VLOOKUP(F27,$H$139:I$191,2,FALSE))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+IF(F28="","",VLOOKUP(F28,$H$139:I$191,2,FALSE))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342">
        <v>1</v>
      </c>
      <c r="D34" s="20" t="s">
        <v>365</v>
      </c>
      <c r="E34" s="47" t="str">
        <f>+IF(F34=0,0,CONCATENATE(MID(F34,FIND("-",F34,1)+1,4),"ORAS"))</f>
        <v>15 HORAS</v>
      </c>
      <c r="F34" s="12" t="s">
        <v>335</v>
      </c>
      <c r="G34" s="164">
        <f>+IF(F34="","",VLOOKUP(F34,$H$139:I$191,2,FALSE))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342">
        <v>1</v>
      </c>
      <c r="D35" s="20" t="s">
        <v>365</v>
      </c>
      <c r="E35" s="47" t="str">
        <f>+IF(F35=0,0,CONCATENATE(MID(F35,FIND("-",F35,1)+1,4),"ORAS"))</f>
        <v>15 HORAS</v>
      </c>
      <c r="F35" s="12" t="s">
        <v>335</v>
      </c>
      <c r="G35" s="164">
        <f>+IF(F35="","",VLOOKUP(F35,$H$139:I$191,2,FALSE))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342">
        <v>1</v>
      </c>
      <c r="D36" s="20" t="s">
        <v>365</v>
      </c>
      <c r="E36" s="47" t="str">
        <f>+IF(F36=0,0,CONCATENATE(MID(F36,FIND("-",F36,1)+1,4),"ORAS"))</f>
        <v>15 HORAS</v>
      </c>
      <c r="F36" s="12" t="s">
        <v>335</v>
      </c>
      <c r="G36" s="164">
        <f>+IF(F36="","",VLOOKUP(F36,$H$139:I$191,2,FALSE))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342">
        <v>1</v>
      </c>
      <c r="D37" s="20" t="s">
        <v>365</v>
      </c>
      <c r="E37" s="47" t="str">
        <f>+IF(F37=0,0,CONCATENATE(MID(F37,FIND("-",F37,1)+1,4),"ORAS"))</f>
        <v>15 HORAS</v>
      </c>
      <c r="F37" s="12" t="s">
        <v>335</v>
      </c>
      <c r="G37" s="164">
        <f>+IF(F37="","",VLOOKUP(F37,$H$139:I$191,2,FALSE))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342">
        <v>1</v>
      </c>
      <c r="D38" s="20" t="s">
        <v>365</v>
      </c>
      <c r="E38" s="47" t="str">
        <f>+IF(F38=0,0,CONCATENATE(MID(F38,FIND("-",F38,1)+1,4),"ORAS"))</f>
        <v>15 HORAS</v>
      </c>
      <c r="F38" s="12" t="s">
        <v>335</v>
      </c>
      <c r="G38" s="164">
        <f>+IF(F38="","",VLOOKUP(F38,$H$139:I$191,2,FALSE))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SUM(G26:G31,G34:G39)</f>
        <v>3829411</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34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t="str">
        <f t="shared" ref="B54:B63" si="6">+IF(F54=0,0,MID(F54,LEN(F54)-3,1))</f>
        <v>3</v>
      </c>
      <c r="C54" s="342">
        <v>1</v>
      </c>
      <c r="D54" s="20" t="s">
        <v>365</v>
      </c>
      <c r="E54" s="47" t="str">
        <f t="shared" ref="E54:E63" si="7">+IF(F54=0,0,CONCATENATE(MID(F54,FIND("-",F54,1)+1,4),"ORAS"))</f>
        <v>15 HORAS</v>
      </c>
      <c r="F54" s="12" t="s">
        <v>335</v>
      </c>
      <c r="G54" s="164">
        <f>+IF(F54="","",VLOOKUP(F54,$H$139:I$191,2,FALSE))</f>
        <v>443323</v>
      </c>
      <c r="H54" s="1"/>
      <c r="I54" s="1"/>
      <c r="J54" s="402"/>
      <c r="K54" s="402"/>
      <c r="L54" s="402"/>
      <c r="M54" s="402"/>
      <c r="N54" s="402"/>
      <c r="O54" s="402"/>
      <c r="P54" s="402"/>
      <c r="Q54" s="1"/>
      <c r="R54" s="1"/>
      <c r="S54" s="1"/>
      <c r="T54" s="1"/>
      <c r="U54" s="1"/>
      <c r="V54" s="1"/>
      <c r="W54" s="1"/>
      <c r="X54" s="1"/>
      <c r="Y54" s="1"/>
    </row>
    <row r="55" spans="1:25" ht="15.75" x14ac:dyDescent="0.25">
      <c r="A55" s="69" t="s">
        <v>42</v>
      </c>
      <c r="B55" s="103" t="str">
        <f t="shared" si="6"/>
        <v>2</v>
      </c>
      <c r="C55" s="342">
        <v>1</v>
      </c>
      <c r="D55" s="20" t="s">
        <v>365</v>
      </c>
      <c r="E55" s="47" t="str">
        <f t="shared" si="7"/>
        <v>15 HORAS</v>
      </c>
      <c r="F55" s="12" t="s">
        <v>336</v>
      </c>
      <c r="G55" s="164">
        <f>+IF(F55="","",VLOOKUP(F55,$H$139:I$191,2,FALSE))</f>
        <v>388652</v>
      </c>
      <c r="H55" s="1"/>
      <c r="I55" s="1"/>
      <c r="J55" s="402"/>
      <c r="K55" s="402"/>
      <c r="L55" s="402"/>
      <c r="M55" s="402"/>
      <c r="N55" s="402"/>
      <c r="O55" s="402"/>
      <c r="P55" s="402"/>
      <c r="Q55" s="1"/>
      <c r="R55" s="1"/>
      <c r="S55" s="1"/>
      <c r="T55" s="1"/>
      <c r="U55" s="1"/>
      <c r="V55" s="1"/>
      <c r="W55" s="1"/>
      <c r="X55" s="1"/>
      <c r="Y55" s="1"/>
    </row>
    <row r="56" spans="1:25" ht="15.75" x14ac:dyDescent="0.25">
      <c r="A56" s="69" t="s">
        <v>253</v>
      </c>
      <c r="B56" s="103" t="str">
        <f t="shared" si="6"/>
        <v>3</v>
      </c>
      <c r="C56" s="342">
        <v>1</v>
      </c>
      <c r="D56" s="20" t="s">
        <v>365</v>
      </c>
      <c r="E56" s="47" t="str">
        <f t="shared" si="7"/>
        <v>15 HORAS</v>
      </c>
      <c r="F56" s="12" t="s">
        <v>335</v>
      </c>
      <c r="G56" s="164">
        <f>+IF(F56="","",VLOOKUP(F56,$H$139:I$191,2,FALSE))</f>
        <v>443323</v>
      </c>
      <c r="H56" s="1"/>
      <c r="I56" s="1"/>
      <c r="J56" s="402"/>
      <c r="K56" s="402"/>
      <c r="L56" s="402"/>
      <c r="M56" s="402"/>
      <c r="N56" s="402"/>
      <c r="O56" s="402"/>
      <c r="P56" s="402"/>
      <c r="Q56" s="1"/>
      <c r="R56" s="1"/>
      <c r="S56" s="1"/>
      <c r="T56" s="1"/>
      <c r="U56" s="1"/>
      <c r="V56" s="1"/>
      <c r="W56" s="1"/>
      <c r="X56" s="1"/>
      <c r="Y56" s="1"/>
    </row>
    <row r="57" spans="1:25" ht="15.75" x14ac:dyDescent="0.25">
      <c r="A57" s="69" t="s">
        <v>367</v>
      </c>
      <c r="B57" s="103" t="str">
        <f t="shared" si="6"/>
        <v>2</v>
      </c>
      <c r="C57" s="342">
        <v>1</v>
      </c>
      <c r="D57" s="20" t="s">
        <v>365</v>
      </c>
      <c r="E57" s="47" t="str">
        <f t="shared" si="7"/>
        <v>15 HORAS</v>
      </c>
      <c r="F57" s="12" t="s">
        <v>336</v>
      </c>
      <c r="G57" s="164">
        <f>+IF(F57="","",VLOOKUP(F57,$H$139:I$191,2,FALSE))</f>
        <v>388652</v>
      </c>
      <c r="H57" s="1"/>
      <c r="I57" s="1"/>
      <c r="J57" s="402"/>
      <c r="K57" s="402"/>
      <c r="L57" s="402"/>
      <c r="M57" s="402"/>
      <c r="N57" s="402"/>
      <c r="O57" s="402"/>
      <c r="P57" s="402"/>
      <c r="Q57" s="1"/>
      <c r="R57" s="1"/>
      <c r="S57" s="1"/>
      <c r="T57" s="1"/>
      <c r="U57" s="1"/>
      <c r="V57" s="1"/>
      <c r="W57" s="1"/>
      <c r="X57" s="1"/>
      <c r="Y57" s="1"/>
    </row>
    <row r="58" spans="1:25" ht="15.75" x14ac:dyDescent="0.25">
      <c r="A58" s="134" t="s">
        <v>368</v>
      </c>
      <c r="B58" s="103" t="str">
        <f t="shared" si="6"/>
        <v>2</v>
      </c>
      <c r="C58" s="342">
        <v>1</v>
      </c>
      <c r="D58" s="20" t="s">
        <v>365</v>
      </c>
      <c r="E58" s="47" t="str">
        <f t="shared" si="7"/>
        <v>15 HORAS</v>
      </c>
      <c r="F58" s="12" t="s">
        <v>336</v>
      </c>
      <c r="G58" s="164">
        <f>+IF(F58="","",VLOOKUP(F58,$H$139:I$191,2,FALSE))</f>
        <v>388652</v>
      </c>
      <c r="H58" s="1"/>
      <c r="I58" s="1"/>
      <c r="J58" s="402"/>
      <c r="K58" s="402"/>
      <c r="L58" s="402"/>
      <c r="M58" s="402"/>
      <c r="N58" s="402"/>
      <c r="O58" s="402"/>
      <c r="P58" s="402"/>
      <c r="Q58" s="1"/>
      <c r="R58" s="1"/>
      <c r="S58" s="1"/>
      <c r="T58" s="1"/>
      <c r="U58" s="1"/>
      <c r="V58" s="1"/>
      <c r="W58" s="1"/>
      <c r="X58" s="1"/>
      <c r="Y58" s="1"/>
    </row>
    <row r="59" spans="1:25" ht="15.75" x14ac:dyDescent="0.25">
      <c r="A59" s="134" t="s">
        <v>369</v>
      </c>
      <c r="B59" s="103" t="str">
        <f t="shared" si="6"/>
        <v>3</v>
      </c>
      <c r="C59" s="342">
        <v>1</v>
      </c>
      <c r="D59" s="20" t="s">
        <v>365</v>
      </c>
      <c r="E59" s="47" t="str">
        <f t="shared" si="7"/>
        <v>15 HORAS</v>
      </c>
      <c r="F59" s="12" t="s">
        <v>335</v>
      </c>
      <c r="G59" s="164">
        <f>+IF(F59="","",VLOOKUP(F59,$H$139:I$191,2,FALSE))</f>
        <v>443323</v>
      </c>
      <c r="H59" s="1"/>
      <c r="I59" s="1"/>
      <c r="J59" s="402"/>
      <c r="K59" s="402"/>
      <c r="L59" s="402"/>
      <c r="M59" s="402"/>
      <c r="N59" s="402"/>
      <c r="O59" s="402"/>
      <c r="P59" s="402"/>
      <c r="Q59" s="1"/>
      <c r="R59" s="1"/>
      <c r="S59" s="1"/>
      <c r="T59" s="1"/>
      <c r="U59" s="1"/>
      <c r="V59" s="1"/>
      <c r="W59" s="1"/>
      <c r="X59" s="1"/>
      <c r="Y59" s="1"/>
    </row>
    <row r="60" spans="1:25" ht="15.75" x14ac:dyDescent="0.25">
      <c r="A60" s="134" t="s">
        <v>370</v>
      </c>
      <c r="B60" s="103" t="str">
        <f t="shared" si="6"/>
        <v>3</v>
      </c>
      <c r="C60" s="342">
        <v>1</v>
      </c>
      <c r="D60" s="20" t="s">
        <v>365</v>
      </c>
      <c r="E60" s="47" t="str">
        <f t="shared" si="7"/>
        <v>15 HORAS</v>
      </c>
      <c r="F60" s="12" t="s">
        <v>335</v>
      </c>
      <c r="G60" s="164">
        <f>+IF(F60="","",VLOOKUP(F60,$H$139:I$191,2,FALSE))</f>
        <v>443323</v>
      </c>
      <c r="H60" s="1"/>
      <c r="I60" s="1"/>
      <c r="J60" s="402"/>
      <c r="K60" s="402"/>
      <c r="L60" s="402"/>
      <c r="M60" s="402"/>
      <c r="N60" s="402"/>
      <c r="O60" s="402"/>
      <c r="P60" s="402"/>
      <c r="Q60" s="1"/>
      <c r="R60" s="1"/>
      <c r="S60" s="1"/>
      <c r="T60" s="1"/>
      <c r="U60" s="1"/>
      <c r="V60" s="1"/>
      <c r="W60" s="1"/>
      <c r="X60" s="1"/>
      <c r="Y60" s="1"/>
    </row>
    <row r="61" spans="1:25" ht="15.75" x14ac:dyDescent="0.25">
      <c r="A61" s="134" t="s">
        <v>371</v>
      </c>
      <c r="B61" s="103" t="str">
        <f t="shared" si="6"/>
        <v>2</v>
      </c>
      <c r="C61" s="342">
        <v>1</v>
      </c>
      <c r="D61" s="20" t="s">
        <v>365</v>
      </c>
      <c r="E61" s="47" t="str">
        <f t="shared" si="7"/>
        <v>15 HORAS</v>
      </c>
      <c r="F61" s="12" t="s">
        <v>336</v>
      </c>
      <c r="G61" s="164">
        <f>+IF(F61="","",VLOOKUP(F61,$H$139:I$191,2,FALSE))</f>
        <v>388652</v>
      </c>
      <c r="H61" s="1"/>
      <c r="I61" s="1"/>
      <c r="J61" s="402"/>
      <c r="K61" s="402"/>
      <c r="L61" s="402"/>
      <c r="M61" s="402"/>
      <c r="N61" s="402"/>
      <c r="O61" s="402"/>
      <c r="P61" s="402"/>
      <c r="Q61" s="1"/>
      <c r="R61" s="1"/>
      <c r="S61" s="1"/>
      <c r="T61" s="1"/>
      <c r="U61" s="1"/>
      <c r="V61" s="1"/>
      <c r="W61" s="1"/>
      <c r="X61" s="1"/>
      <c r="Y61" s="1"/>
    </row>
    <row r="62" spans="1:25" ht="15.75" x14ac:dyDescent="0.25">
      <c r="A62" s="25" t="s">
        <v>372</v>
      </c>
      <c r="B62" s="103" t="str">
        <f t="shared" si="6"/>
        <v>3</v>
      </c>
      <c r="C62" s="342">
        <v>1</v>
      </c>
      <c r="D62" s="20" t="s">
        <v>365</v>
      </c>
      <c r="E62" s="47" t="str">
        <f t="shared" si="7"/>
        <v>15 HORAS</v>
      </c>
      <c r="F62" s="12" t="s">
        <v>335</v>
      </c>
      <c r="G62" s="164">
        <f>+IF(F62="","",VLOOKUP(F62,$H$139:I$191,2,FALSE))</f>
        <v>443323</v>
      </c>
      <c r="H62" s="1"/>
      <c r="I62" s="1"/>
      <c r="J62" s="402"/>
      <c r="K62" s="402"/>
      <c r="L62" s="402"/>
      <c r="M62" s="402"/>
      <c r="N62" s="402"/>
      <c r="O62" s="402"/>
      <c r="P62" s="402"/>
      <c r="Q62" s="1"/>
      <c r="R62" s="1"/>
      <c r="S62" s="1"/>
      <c r="T62" s="1"/>
      <c r="U62" s="1"/>
      <c r="V62" s="1"/>
      <c r="W62" s="1"/>
      <c r="X62" s="1"/>
      <c r="Y62" s="1"/>
    </row>
    <row r="63" spans="1:25" ht="15.75" x14ac:dyDescent="0.25">
      <c r="A63" s="25" t="s">
        <v>373</v>
      </c>
      <c r="B63" s="103" t="str">
        <f t="shared" si="6"/>
        <v>3</v>
      </c>
      <c r="C63" s="342">
        <v>1</v>
      </c>
      <c r="D63" s="20" t="s">
        <v>365</v>
      </c>
      <c r="E63" s="47" t="str">
        <f t="shared" si="7"/>
        <v>15 HORAS</v>
      </c>
      <c r="F63" s="12" t="s">
        <v>335</v>
      </c>
      <c r="G63" s="164">
        <f>+IF(F63="","",VLOOKUP(F63,$H$139:I$191,2,FALSE))</f>
        <v>443323</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26</v>
      </c>
      <c r="C65" s="51">
        <f>C59+C60+C61+C62+C63+C46+C47+C48+C49+C50+C54+C55+C56+C57+C58+C64</f>
        <v>10</v>
      </c>
      <c r="D65" s="51"/>
      <c r="E65" s="125"/>
      <c r="F65" s="51"/>
      <c r="G65" s="52">
        <f>SUM(G46:G51,G54:G64)</f>
        <v>4214546</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76</v>
      </c>
      <c r="C67" s="143">
        <f>C65+C40+C22</f>
        <v>26</v>
      </c>
      <c r="D67" s="62">
        <f>D65+D40+D22</f>
        <v>0</v>
      </c>
      <c r="E67" s="1"/>
      <c r="F67" s="1"/>
      <c r="G67" s="52">
        <f>SUM(G22,G40,G65)</f>
        <v>12159740</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94</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16366751</v>
      </c>
      <c r="L70" s="380"/>
      <c r="M70" s="98">
        <f>SUM(G22,Y20)</f>
        <v>4489017</v>
      </c>
      <c r="N70" s="142">
        <f>SUM(G40,P4:P15,P18:P24,Y4:Y8,Y15:Y16,Y21:Y22)</f>
        <v>7289954</v>
      </c>
      <c r="O70" s="98">
        <f>SUM(G46:G51,G54:G63,Y23)</f>
        <v>4587780</v>
      </c>
      <c r="P70" s="109">
        <f>SUM(M70:O70)</f>
        <v>16366751</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514</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x14ac:dyDescent="0.2">
      <c r="F139" s="114">
        <v>0</v>
      </c>
      <c r="G139" s="114">
        <v>0</v>
      </c>
      <c r="H139" s="114">
        <v>0</v>
      </c>
      <c r="I139" s="114">
        <v>0</v>
      </c>
      <c r="J139" s="114">
        <v>0</v>
      </c>
      <c r="K139" s="114">
        <v>0</v>
      </c>
      <c r="L139" s="114">
        <v>0</v>
      </c>
      <c r="M139" s="114">
        <v>0</v>
      </c>
      <c r="N139" s="114" t="str">
        <f>+CONCATENATE(G139,"VEHICULO",M139)</f>
        <v>0VEHICULO0</v>
      </c>
    </row>
    <row r="140" spans="6:14" s="114" customFormat="1" x14ac:dyDescent="0.2">
      <c r="F140" s="114" t="s">
        <v>280</v>
      </c>
      <c r="G140" s="114" t="s">
        <v>150</v>
      </c>
      <c r="H140" s="114" t="s">
        <v>319</v>
      </c>
      <c r="I140" s="115">
        <v>582964</v>
      </c>
      <c r="J140" s="115" t="s">
        <v>144</v>
      </c>
      <c r="K140" s="126">
        <v>4</v>
      </c>
      <c r="L140" s="114" t="s">
        <v>258</v>
      </c>
      <c r="M140" s="114" t="s">
        <v>149</v>
      </c>
      <c r="N140" s="114" t="str">
        <f t="shared" ref="N140:N186" si="8">+CONCATENATE(G140,F140)</f>
        <v>1.40m³-15H-4OP</v>
      </c>
    </row>
    <row r="141" spans="6:14" s="114" customFormat="1" x14ac:dyDescent="0.2">
      <c r="F141" s="114" t="s">
        <v>281</v>
      </c>
      <c r="G141" s="114" t="s">
        <v>151</v>
      </c>
      <c r="H141" s="114" t="s">
        <v>320</v>
      </c>
      <c r="I141" s="115">
        <v>514916</v>
      </c>
      <c r="J141" s="115" t="s">
        <v>144</v>
      </c>
      <c r="K141" s="126">
        <v>3</v>
      </c>
      <c r="L141" s="114" t="s">
        <v>259</v>
      </c>
      <c r="M141" s="114" t="s">
        <v>149</v>
      </c>
      <c r="N141" s="114" t="str">
        <f t="shared" si="8"/>
        <v>2.40m³-15H-3OP</v>
      </c>
    </row>
    <row r="142" spans="6:14" s="114" customFormat="1" x14ac:dyDescent="0.2">
      <c r="F142" s="114" t="s">
        <v>282</v>
      </c>
      <c r="G142" s="114" t="s">
        <v>152</v>
      </c>
      <c r="H142" s="114" t="s">
        <v>321</v>
      </c>
      <c r="I142" s="115">
        <v>448638</v>
      </c>
      <c r="J142" s="115" t="s">
        <v>144</v>
      </c>
      <c r="K142" s="126">
        <v>2</v>
      </c>
      <c r="L142" s="114" t="s">
        <v>260</v>
      </c>
      <c r="M142" s="114" t="s">
        <v>149</v>
      </c>
      <c r="N142" s="114" t="str">
        <f t="shared" si="8"/>
        <v>3.40m³-15H-2OP</v>
      </c>
    </row>
    <row r="143" spans="6:14" s="114" customFormat="1" x14ac:dyDescent="0.2">
      <c r="F143" s="114" t="s">
        <v>283</v>
      </c>
      <c r="G143" s="114" t="s">
        <v>153</v>
      </c>
      <c r="H143" s="114" t="s">
        <v>322</v>
      </c>
      <c r="I143" s="115">
        <v>381163</v>
      </c>
      <c r="J143" s="115" t="s">
        <v>144</v>
      </c>
      <c r="K143" s="126">
        <v>1</v>
      </c>
      <c r="L143" s="114" t="s">
        <v>261</v>
      </c>
      <c r="M143" s="114" t="s">
        <v>149</v>
      </c>
      <c r="N143" s="114" t="str">
        <f t="shared" si="8"/>
        <v>4.40m³-15H-1OP</v>
      </c>
    </row>
    <row r="144" spans="6:14" s="114" customFormat="1" x14ac:dyDescent="0.2">
      <c r="F144" s="114" t="s">
        <v>284</v>
      </c>
      <c r="G144" s="114" t="s">
        <v>154</v>
      </c>
      <c r="H144" s="114" t="s">
        <v>323</v>
      </c>
      <c r="I144" s="115">
        <v>321680</v>
      </c>
      <c r="J144" s="115" t="s">
        <v>144</v>
      </c>
      <c r="K144" s="126">
        <v>0</v>
      </c>
      <c r="L144" s="114" t="s">
        <v>262</v>
      </c>
      <c r="M144" s="114" t="s">
        <v>149</v>
      </c>
      <c r="N144" s="114" t="str">
        <f t="shared" si="8"/>
        <v>5.40m³-15H-0OP</v>
      </c>
    </row>
    <row r="145" spans="6:14" s="114" customFormat="1" x14ac:dyDescent="0.2">
      <c r="F145" s="114" t="s">
        <v>285</v>
      </c>
      <c r="G145" s="114" t="s">
        <v>155</v>
      </c>
      <c r="H145" s="114" t="s">
        <v>324</v>
      </c>
      <c r="I145" s="115">
        <v>509192</v>
      </c>
      <c r="J145" s="115" t="s">
        <v>146</v>
      </c>
      <c r="K145" s="126">
        <v>4</v>
      </c>
      <c r="L145" s="114" t="s">
        <v>107</v>
      </c>
      <c r="M145" s="114" t="s">
        <v>149</v>
      </c>
      <c r="N145" s="114" t="str">
        <f t="shared" si="8"/>
        <v>6.40m³-9H-4OP</v>
      </c>
    </row>
    <row r="146" spans="6:14" s="114" customFormat="1" x14ac:dyDescent="0.2">
      <c r="F146" s="114" t="s">
        <v>286</v>
      </c>
      <c r="G146" s="114" t="s">
        <v>156</v>
      </c>
      <c r="H146" s="114" t="s">
        <v>325</v>
      </c>
      <c r="I146" s="115">
        <v>450204</v>
      </c>
      <c r="J146" s="115" t="s">
        <v>146</v>
      </c>
      <c r="K146" s="126">
        <v>3</v>
      </c>
      <c r="L146" s="114" t="s">
        <v>108</v>
      </c>
      <c r="M146" s="114" t="s">
        <v>149</v>
      </c>
      <c r="N146" s="114" t="str">
        <f t="shared" si="8"/>
        <v>7.40m³-9H-3OP</v>
      </c>
    </row>
    <row r="147" spans="6:14" s="114" customFormat="1" x14ac:dyDescent="0.2">
      <c r="F147" s="114" t="s">
        <v>287</v>
      </c>
      <c r="G147" s="114" t="s">
        <v>157</v>
      </c>
      <c r="H147" s="114" t="s">
        <v>326</v>
      </c>
      <c r="I147" s="115">
        <v>392186</v>
      </c>
      <c r="J147" s="115" t="s">
        <v>146</v>
      </c>
      <c r="K147" s="126">
        <v>2</v>
      </c>
      <c r="L147" s="114" t="s">
        <v>109</v>
      </c>
      <c r="M147" s="114" t="s">
        <v>149</v>
      </c>
      <c r="N147" s="114" t="str">
        <f t="shared" si="8"/>
        <v>8.40m³-9H-2OP</v>
      </c>
    </row>
    <row r="148" spans="6:14" s="114" customFormat="1" x14ac:dyDescent="0.2">
      <c r="F148" s="114" t="s">
        <v>288</v>
      </c>
      <c r="G148" s="114" t="s">
        <v>158</v>
      </c>
      <c r="H148" s="114" t="s">
        <v>327</v>
      </c>
      <c r="I148" s="115">
        <v>329397</v>
      </c>
      <c r="J148" s="115" t="s">
        <v>146</v>
      </c>
      <c r="K148" s="126">
        <v>1</v>
      </c>
      <c r="L148" s="114" t="s">
        <v>110</v>
      </c>
      <c r="M148" s="114" t="s">
        <v>149</v>
      </c>
      <c r="N148" s="114" t="str">
        <f t="shared" si="8"/>
        <v>9.40m³-9H-1OP</v>
      </c>
    </row>
    <row r="149" spans="6:14" s="114" customFormat="1" x14ac:dyDescent="0.2">
      <c r="F149" s="114" t="s">
        <v>289</v>
      </c>
      <c r="G149" s="114" t="s">
        <v>159</v>
      </c>
      <c r="H149" s="114" t="s">
        <v>328</v>
      </c>
      <c r="I149" s="115">
        <v>280919</v>
      </c>
      <c r="J149" s="115" t="s">
        <v>146</v>
      </c>
      <c r="K149" s="126">
        <v>0</v>
      </c>
      <c r="L149" s="114" t="s">
        <v>111</v>
      </c>
      <c r="M149" s="114" t="s">
        <v>149</v>
      </c>
      <c r="N149" s="114" t="str">
        <f t="shared" si="8"/>
        <v>10.40m³-9H-0OP</v>
      </c>
    </row>
    <row r="150" spans="6:14" s="114" customFormat="1" x14ac:dyDescent="0.2">
      <c r="F150" s="114" t="s">
        <v>290</v>
      </c>
      <c r="G150" s="114" t="s">
        <v>160</v>
      </c>
      <c r="H150" s="114" t="s">
        <v>329</v>
      </c>
      <c r="I150" s="115">
        <v>420585</v>
      </c>
      <c r="J150" s="115" t="s">
        <v>145</v>
      </c>
      <c r="K150" s="126">
        <v>4</v>
      </c>
      <c r="L150" s="114" t="s">
        <v>112</v>
      </c>
      <c r="M150" s="114" t="s">
        <v>149</v>
      </c>
      <c r="N150" s="114" t="str">
        <f t="shared" si="8"/>
        <v>11.40m³-4H-4OP</v>
      </c>
    </row>
    <row r="151" spans="6:14" s="114" customFormat="1" x14ac:dyDescent="0.2">
      <c r="F151" s="114" t="s">
        <v>291</v>
      </c>
      <c r="G151" s="114" t="s">
        <v>161</v>
      </c>
      <c r="H151" s="114" t="s">
        <v>330</v>
      </c>
      <c r="I151" s="115">
        <v>369327</v>
      </c>
      <c r="J151" s="115" t="s">
        <v>145</v>
      </c>
      <c r="K151" s="126">
        <v>3</v>
      </c>
      <c r="L151" s="114" t="s">
        <v>113</v>
      </c>
      <c r="M151" s="114" t="s">
        <v>149</v>
      </c>
      <c r="N151" s="114" t="str">
        <f t="shared" si="8"/>
        <v>12.40m³-4H-3OP</v>
      </c>
    </row>
    <row r="152" spans="6:14" s="114" customFormat="1" x14ac:dyDescent="0.2">
      <c r="F152" s="114" t="s">
        <v>292</v>
      </c>
      <c r="G152" s="114" t="s">
        <v>162</v>
      </c>
      <c r="H152" s="114" t="s">
        <v>331</v>
      </c>
      <c r="I152" s="115">
        <v>323463</v>
      </c>
      <c r="J152" s="115" t="s">
        <v>145</v>
      </c>
      <c r="K152" s="126">
        <v>2</v>
      </c>
      <c r="L152" s="114" t="s">
        <v>114</v>
      </c>
      <c r="M152" s="114" t="s">
        <v>149</v>
      </c>
      <c r="N152" s="114" t="str">
        <f t="shared" si="8"/>
        <v>13.40m³-4H-2OP</v>
      </c>
    </row>
    <row r="153" spans="6:14" s="114" customFormat="1" x14ac:dyDescent="0.2">
      <c r="F153" s="114" t="s">
        <v>293</v>
      </c>
      <c r="G153" s="114" t="s">
        <v>163</v>
      </c>
      <c r="H153" s="114" t="s">
        <v>332</v>
      </c>
      <c r="I153" s="115">
        <v>270330</v>
      </c>
      <c r="J153" s="115" t="s">
        <v>145</v>
      </c>
      <c r="K153" s="126">
        <v>1</v>
      </c>
      <c r="L153" s="114" t="s">
        <v>115</v>
      </c>
      <c r="M153" s="114" t="s">
        <v>149</v>
      </c>
      <c r="N153" s="114" t="str">
        <f t="shared" si="8"/>
        <v>14.40m³-4H-1OP</v>
      </c>
    </row>
    <row r="154" spans="6:14" s="114" customFormat="1" x14ac:dyDescent="0.2">
      <c r="F154" s="114" t="s">
        <v>294</v>
      </c>
      <c r="G154" s="114" t="s">
        <v>164</v>
      </c>
      <c r="H154" s="114" t="s">
        <v>333</v>
      </c>
      <c r="I154" s="115">
        <v>221709</v>
      </c>
      <c r="J154" s="115" t="s">
        <v>145</v>
      </c>
      <c r="K154" s="126">
        <v>0</v>
      </c>
      <c r="L154" s="114" t="s">
        <v>116</v>
      </c>
      <c r="M154" s="114" t="s">
        <v>149</v>
      </c>
      <c r="N154" s="114" t="str">
        <f t="shared" si="8"/>
        <v>15.40m³-4H-0OP</v>
      </c>
    </row>
    <row r="155" spans="6:14" s="114" customFormat="1" x14ac:dyDescent="0.2">
      <c r="F155" s="114" t="s">
        <v>295</v>
      </c>
      <c r="G155" s="114" t="s">
        <v>165</v>
      </c>
      <c r="H155" s="114" t="s">
        <v>334</v>
      </c>
      <c r="I155" s="115">
        <v>501739</v>
      </c>
      <c r="J155" s="115" t="s">
        <v>144</v>
      </c>
      <c r="K155" s="126">
        <v>4</v>
      </c>
      <c r="L155" s="114" t="s">
        <v>263</v>
      </c>
      <c r="M155" s="114" t="s">
        <v>149</v>
      </c>
      <c r="N155" s="114" t="str">
        <f t="shared" si="8"/>
        <v>16.25m³-15H-4OP</v>
      </c>
    </row>
    <row r="156" spans="6:14" s="114" customFormat="1" x14ac:dyDescent="0.2">
      <c r="F156" s="114" t="s">
        <v>296</v>
      </c>
      <c r="G156" s="114" t="s">
        <v>166</v>
      </c>
      <c r="H156" s="114" t="s">
        <v>335</v>
      </c>
      <c r="I156" s="115">
        <v>443323</v>
      </c>
      <c r="J156" s="115" t="s">
        <v>144</v>
      </c>
      <c r="K156" s="126">
        <v>3</v>
      </c>
      <c r="L156" s="114" t="s">
        <v>264</v>
      </c>
      <c r="M156" s="114" t="s">
        <v>149</v>
      </c>
      <c r="N156" s="114" t="str">
        <f t="shared" si="8"/>
        <v>17.25m³-15H-3OP</v>
      </c>
    </row>
    <row r="157" spans="6:14" s="114" customFormat="1" x14ac:dyDescent="0.2">
      <c r="F157" s="114" t="s">
        <v>297</v>
      </c>
      <c r="G157" s="114" t="s">
        <v>167</v>
      </c>
      <c r="H157" s="114" t="s">
        <v>336</v>
      </c>
      <c r="I157" s="115">
        <v>388652</v>
      </c>
      <c r="J157" s="115" t="s">
        <v>144</v>
      </c>
      <c r="K157" s="126">
        <v>2</v>
      </c>
      <c r="L157" s="114" t="s">
        <v>265</v>
      </c>
      <c r="M157" s="114" t="s">
        <v>149</v>
      </c>
      <c r="N157" s="114" t="str">
        <f t="shared" si="8"/>
        <v>18.25m³-15H-2OP</v>
      </c>
    </row>
    <row r="158" spans="6:14" s="114" customFormat="1" x14ac:dyDescent="0.2">
      <c r="F158" s="114" t="s">
        <v>298</v>
      </c>
      <c r="G158" s="114" t="s">
        <v>168</v>
      </c>
      <c r="H158" s="114" t="s">
        <v>337</v>
      </c>
      <c r="I158" s="115">
        <v>323189</v>
      </c>
      <c r="J158" s="115" t="s">
        <v>144</v>
      </c>
      <c r="K158" s="126">
        <v>1</v>
      </c>
      <c r="L158" s="114" t="s">
        <v>266</v>
      </c>
      <c r="M158" s="114" t="s">
        <v>149</v>
      </c>
      <c r="N158" s="114" t="str">
        <f t="shared" si="8"/>
        <v>19.25m³-15H-1OP</v>
      </c>
    </row>
    <row r="159" spans="6:14" s="114" customFormat="1" x14ac:dyDescent="0.2">
      <c r="F159" s="114" t="s">
        <v>299</v>
      </c>
      <c r="G159" s="114" t="s">
        <v>169</v>
      </c>
      <c r="H159" s="114" t="s">
        <v>338</v>
      </c>
      <c r="I159" s="115">
        <v>256051</v>
      </c>
      <c r="J159" s="115" t="s">
        <v>144</v>
      </c>
      <c r="K159" s="126">
        <v>0</v>
      </c>
      <c r="L159" s="114" t="s">
        <v>267</v>
      </c>
      <c r="M159" s="114" t="s">
        <v>149</v>
      </c>
      <c r="N159" s="114" t="str">
        <f t="shared" si="8"/>
        <v>20.25m³-15H-0OP</v>
      </c>
    </row>
    <row r="160" spans="6:14" s="114" customFormat="1" x14ac:dyDescent="0.2">
      <c r="F160" s="114" t="s">
        <v>300</v>
      </c>
      <c r="G160" s="114" t="s">
        <v>170</v>
      </c>
      <c r="H160" s="114" t="s">
        <v>339</v>
      </c>
      <c r="I160" s="115">
        <v>433978</v>
      </c>
      <c r="J160" s="115" t="s">
        <v>146</v>
      </c>
      <c r="K160" s="126">
        <v>4</v>
      </c>
      <c r="L160" s="114" t="s">
        <v>122</v>
      </c>
      <c r="M160" s="114" t="s">
        <v>149</v>
      </c>
      <c r="N160" s="114" t="str">
        <f t="shared" si="8"/>
        <v>21.25m³-9H-4OP</v>
      </c>
    </row>
    <row r="161" spans="6:14" s="114" customFormat="1" x14ac:dyDescent="0.2">
      <c r="F161" s="114" t="s">
        <v>301</v>
      </c>
      <c r="G161" s="114" t="s">
        <v>171</v>
      </c>
      <c r="H161" s="114" t="s">
        <v>340</v>
      </c>
      <c r="I161" s="115">
        <v>386383</v>
      </c>
      <c r="J161" s="115" t="s">
        <v>146</v>
      </c>
      <c r="K161" s="126">
        <v>3</v>
      </c>
      <c r="L161" s="114" t="s">
        <v>123</v>
      </c>
      <c r="M161" s="114" t="s">
        <v>149</v>
      </c>
      <c r="N161" s="114" t="str">
        <f t="shared" si="8"/>
        <v>22.25m³-9H-3OP</v>
      </c>
    </row>
    <row r="162" spans="6:14" s="114" customFormat="1" x14ac:dyDescent="0.2">
      <c r="F162" s="114" t="s">
        <v>302</v>
      </c>
      <c r="G162" s="114" t="s">
        <v>172</v>
      </c>
      <c r="H162" s="114" t="s">
        <v>341</v>
      </c>
      <c r="I162" s="115">
        <v>345928</v>
      </c>
      <c r="J162" s="115" t="s">
        <v>146</v>
      </c>
      <c r="K162" s="126">
        <v>2</v>
      </c>
      <c r="L162" s="114" t="s">
        <v>124</v>
      </c>
      <c r="M162" s="114" t="s">
        <v>149</v>
      </c>
      <c r="N162" s="114" t="str">
        <f t="shared" si="8"/>
        <v>23.25m³-9H-2OP</v>
      </c>
    </row>
    <row r="163" spans="6:14" s="114" customFormat="1" x14ac:dyDescent="0.2">
      <c r="F163" s="114" t="s">
        <v>303</v>
      </c>
      <c r="G163" s="114" t="s">
        <v>173</v>
      </c>
      <c r="H163" s="114" t="s">
        <v>342</v>
      </c>
      <c r="I163" s="115">
        <v>290841</v>
      </c>
      <c r="J163" s="115" t="s">
        <v>146</v>
      </c>
      <c r="K163" s="126">
        <v>1</v>
      </c>
      <c r="L163" s="114" t="s">
        <v>125</v>
      </c>
      <c r="M163" s="114" t="s">
        <v>149</v>
      </c>
      <c r="N163" s="114" t="str">
        <f t="shared" si="8"/>
        <v>24.25m³-9H-1OP</v>
      </c>
    </row>
    <row r="164" spans="6:14" s="114" customFormat="1" x14ac:dyDescent="0.2">
      <c r="F164" s="114" t="s">
        <v>304</v>
      </c>
      <c r="G164" s="114" t="s">
        <v>174</v>
      </c>
      <c r="H164" s="114" t="s">
        <v>343</v>
      </c>
      <c r="I164" s="115">
        <v>225849</v>
      </c>
      <c r="J164" s="115" t="s">
        <v>146</v>
      </c>
      <c r="K164" s="126">
        <v>0</v>
      </c>
      <c r="L164" s="114" t="s">
        <v>126</v>
      </c>
      <c r="M164" s="114" t="s">
        <v>149</v>
      </c>
      <c r="N164" s="114" t="str">
        <f t="shared" si="8"/>
        <v>25.25m³-9H-0OP</v>
      </c>
    </row>
    <row r="165" spans="6:14" s="114" customFormat="1" x14ac:dyDescent="0.2">
      <c r="F165" s="114" t="s">
        <v>305</v>
      </c>
      <c r="G165" s="114" t="s">
        <v>175</v>
      </c>
      <c r="H165" s="114" t="s">
        <v>344</v>
      </c>
      <c r="I165" s="115">
        <v>374201</v>
      </c>
      <c r="J165" s="115" t="s">
        <v>145</v>
      </c>
      <c r="K165" s="126">
        <v>4</v>
      </c>
      <c r="L165" s="114" t="s">
        <v>127</v>
      </c>
      <c r="M165" s="114" t="s">
        <v>149</v>
      </c>
      <c r="N165" s="114" t="str">
        <f t="shared" si="8"/>
        <v>26.25m³-4H-4OP</v>
      </c>
    </row>
    <row r="166" spans="6:14" s="114" customFormat="1" x14ac:dyDescent="0.2">
      <c r="F166" s="114" t="s">
        <v>306</v>
      </c>
      <c r="G166" s="114" t="s">
        <v>176</v>
      </c>
      <c r="H166" s="114" t="s">
        <v>345</v>
      </c>
      <c r="I166" s="115">
        <v>323876</v>
      </c>
      <c r="J166" s="115" t="s">
        <v>145</v>
      </c>
      <c r="K166" s="126">
        <v>3</v>
      </c>
      <c r="L166" s="114" t="s">
        <v>128</v>
      </c>
      <c r="M166" s="114" t="s">
        <v>149</v>
      </c>
      <c r="N166" s="114" t="str">
        <f t="shared" si="8"/>
        <v>27.25m³-4H-3OP</v>
      </c>
    </row>
    <row r="167" spans="6:14" s="114" customFormat="1" x14ac:dyDescent="0.2">
      <c r="F167" s="114" t="s">
        <v>307</v>
      </c>
      <c r="G167" s="114" t="s">
        <v>177</v>
      </c>
      <c r="H167" s="114" t="s">
        <v>346</v>
      </c>
      <c r="I167" s="115">
        <v>283531</v>
      </c>
      <c r="J167" s="115" t="s">
        <v>145</v>
      </c>
      <c r="K167" s="126">
        <v>2</v>
      </c>
      <c r="L167" s="114" t="s">
        <v>129</v>
      </c>
      <c r="M167" s="114" t="s">
        <v>149</v>
      </c>
      <c r="N167" s="114" t="str">
        <f t="shared" si="8"/>
        <v>28.25m³-4H-2OP</v>
      </c>
    </row>
    <row r="168" spans="6:14" s="114" customFormat="1" x14ac:dyDescent="0.2">
      <c r="F168" s="114" t="s">
        <v>308</v>
      </c>
      <c r="G168" s="114" t="s">
        <v>178</v>
      </c>
      <c r="H168" s="114" t="s">
        <v>347</v>
      </c>
      <c r="I168" s="115">
        <v>236854</v>
      </c>
      <c r="J168" s="115" t="s">
        <v>145</v>
      </c>
      <c r="K168" s="126">
        <v>1</v>
      </c>
      <c r="L168" s="114" t="s">
        <v>130</v>
      </c>
      <c r="M168" s="114" t="s">
        <v>149</v>
      </c>
      <c r="N168" s="114" t="str">
        <f t="shared" si="8"/>
        <v>29.25m³-4H-1OP</v>
      </c>
    </row>
    <row r="169" spans="6:14" s="114" customFormat="1" x14ac:dyDescent="0.2">
      <c r="F169" s="114" t="s">
        <v>309</v>
      </c>
      <c r="G169" s="114" t="s">
        <v>179</v>
      </c>
      <c r="H169" s="114" t="s">
        <v>348</v>
      </c>
      <c r="I169" s="115">
        <v>179940</v>
      </c>
      <c r="J169" s="115" t="s">
        <v>145</v>
      </c>
      <c r="K169" s="126">
        <v>0</v>
      </c>
      <c r="L169" s="114" t="s">
        <v>131</v>
      </c>
      <c r="M169" s="114" t="s">
        <v>149</v>
      </c>
      <c r="N169" s="114" t="str">
        <f t="shared" si="8"/>
        <v>30.25m³-4H-0OP</v>
      </c>
    </row>
    <row r="170" spans="6:14" s="114" customFormat="1" x14ac:dyDescent="0.2">
      <c r="F170" s="114" t="s">
        <v>315</v>
      </c>
      <c r="G170" s="114" t="s">
        <v>180</v>
      </c>
      <c r="H170" s="114" t="s">
        <v>349</v>
      </c>
      <c r="I170" s="115">
        <v>239262</v>
      </c>
      <c r="J170" s="115" t="s">
        <v>144</v>
      </c>
      <c r="K170" s="126">
        <v>0</v>
      </c>
      <c r="L170" s="114" t="s">
        <v>132</v>
      </c>
      <c r="M170" s="114" t="s">
        <v>149</v>
      </c>
      <c r="N170" s="114" t="str">
        <f t="shared" si="8"/>
        <v>31.FURGON-15H</v>
      </c>
    </row>
    <row r="171" spans="6:14" s="114" customFormat="1" x14ac:dyDescent="0.2">
      <c r="F171" s="114" t="s">
        <v>316</v>
      </c>
      <c r="G171" s="114" t="s">
        <v>181</v>
      </c>
      <c r="H171" s="114" t="s">
        <v>350</v>
      </c>
      <c r="I171" s="115">
        <v>214754</v>
      </c>
      <c r="J171" s="115" t="s">
        <v>146</v>
      </c>
      <c r="K171" s="126">
        <v>0</v>
      </c>
      <c r="L171" s="114" t="s">
        <v>133</v>
      </c>
      <c r="M171" s="114" t="s">
        <v>149</v>
      </c>
      <c r="N171" s="114" t="str">
        <f t="shared" si="8"/>
        <v>32.FURGON-9H</v>
      </c>
    </row>
    <row r="172" spans="6:14" s="114" customFormat="1" x14ac:dyDescent="0.2">
      <c r="F172" s="114" t="s">
        <v>317</v>
      </c>
      <c r="G172" s="114" t="s">
        <v>182</v>
      </c>
      <c r="H172" s="114" t="s">
        <v>351</v>
      </c>
      <c r="I172" s="115">
        <v>173120</v>
      </c>
      <c r="J172" s="115" t="s">
        <v>145</v>
      </c>
      <c r="K172" s="126">
        <v>0</v>
      </c>
      <c r="L172" s="114" t="s">
        <v>134</v>
      </c>
      <c r="M172" s="114" t="s">
        <v>149</v>
      </c>
      <c r="N172" s="114" t="str">
        <f t="shared" si="8"/>
        <v>33.FURGON-4H</v>
      </c>
    </row>
    <row r="173" spans="6:14" s="114" customFormat="1" x14ac:dyDescent="0.2">
      <c r="F173" s="114" t="s">
        <v>272</v>
      </c>
      <c r="G173" s="114" t="s">
        <v>183</v>
      </c>
      <c r="H173" s="114" t="s">
        <v>352</v>
      </c>
      <c r="I173" s="115">
        <v>373234</v>
      </c>
      <c r="J173" s="115" t="s">
        <v>144</v>
      </c>
      <c r="K173" s="126">
        <v>0</v>
      </c>
      <c r="L173" s="114" t="s">
        <v>135</v>
      </c>
      <c r="M173" s="114" t="s">
        <v>149</v>
      </c>
      <c r="N173" s="114" t="str">
        <f t="shared" si="8"/>
        <v>34.4X4-15H</v>
      </c>
    </row>
    <row r="174" spans="6:14" s="114" customFormat="1" x14ac:dyDescent="0.2">
      <c r="F174" s="114" t="s">
        <v>273</v>
      </c>
      <c r="G174" s="114" t="s">
        <v>184</v>
      </c>
      <c r="H174" s="114" t="s">
        <v>353</v>
      </c>
      <c r="I174" s="115">
        <v>242399</v>
      </c>
      <c r="J174" s="115" t="s">
        <v>146</v>
      </c>
      <c r="K174" s="126">
        <v>0</v>
      </c>
      <c r="L174" s="114" t="s">
        <v>136</v>
      </c>
      <c r="M174" s="114" t="s">
        <v>149</v>
      </c>
      <c r="N174" s="114" t="str">
        <f t="shared" si="8"/>
        <v>35.4X4-9H</v>
      </c>
    </row>
    <row r="175" spans="6:14" s="114" customFormat="1" x14ac:dyDescent="0.2">
      <c r="F175" s="114" t="s">
        <v>314</v>
      </c>
      <c r="G175" s="114" t="s">
        <v>185</v>
      </c>
      <c r="H175" s="114" t="s">
        <v>354</v>
      </c>
      <c r="I175" s="115">
        <v>195220</v>
      </c>
      <c r="J175" s="115" t="s">
        <v>145</v>
      </c>
      <c r="K175" s="126">
        <v>0</v>
      </c>
      <c r="L175" s="114" t="s">
        <v>137</v>
      </c>
      <c r="M175" s="114" t="s">
        <v>149</v>
      </c>
      <c r="N175" s="114" t="str">
        <f t="shared" si="8"/>
        <v>36.4X4-4H</v>
      </c>
    </row>
    <row r="176" spans="6:14" s="114" customFormat="1" x14ac:dyDescent="0.2">
      <c r="F176" s="114" t="s">
        <v>274</v>
      </c>
      <c r="G176" s="114" t="s">
        <v>186</v>
      </c>
      <c r="H176" s="114" t="s">
        <v>355</v>
      </c>
      <c r="I176" s="115">
        <v>836001</v>
      </c>
      <c r="J176" s="115" t="s">
        <v>144</v>
      </c>
      <c r="K176" s="126">
        <v>0</v>
      </c>
      <c r="L176" s="114" t="s">
        <v>138</v>
      </c>
      <c r="M176" s="114" t="s">
        <v>149</v>
      </c>
      <c r="N176" s="114" t="str">
        <f t="shared" si="8"/>
        <v>37.MONTACARGA-15H</v>
      </c>
    </row>
    <row r="177" spans="6:14" s="114" customFormat="1" x14ac:dyDescent="0.2">
      <c r="F177" s="114" t="s">
        <v>275</v>
      </c>
      <c r="G177" s="114" t="s">
        <v>187</v>
      </c>
      <c r="H177" s="114" t="s">
        <v>356</v>
      </c>
      <c r="I177" s="115">
        <v>144356</v>
      </c>
      <c r="J177" s="115" t="s">
        <v>147</v>
      </c>
      <c r="K177" s="126">
        <v>0</v>
      </c>
      <c r="L177" s="114" t="s">
        <v>139</v>
      </c>
      <c r="M177" s="114" t="s">
        <v>149</v>
      </c>
      <c r="N177" s="114" t="str">
        <f t="shared" si="8"/>
        <v>38.MONTACARGA-1H</v>
      </c>
    </row>
    <row r="178" spans="6:14" s="114" customFormat="1" x14ac:dyDescent="0.2">
      <c r="F178" s="114" t="s">
        <v>276</v>
      </c>
      <c r="G178" s="114" t="s">
        <v>188</v>
      </c>
      <c r="H178" s="114" t="s">
        <v>357</v>
      </c>
      <c r="I178" s="115">
        <v>828620</v>
      </c>
      <c r="J178" s="115" t="s">
        <v>144</v>
      </c>
      <c r="K178" s="126">
        <v>0</v>
      </c>
      <c r="L178" s="114" t="s">
        <v>140</v>
      </c>
      <c r="M178" s="114" t="s">
        <v>149</v>
      </c>
      <c r="N178" s="114" t="str">
        <f t="shared" si="8"/>
        <v>39.GRUA-15H-</v>
      </c>
    </row>
    <row r="179" spans="6:14" s="114" customFormat="1" x14ac:dyDescent="0.2">
      <c r="F179" s="114" t="s">
        <v>277</v>
      </c>
      <c r="G179" s="114" t="s">
        <v>189</v>
      </c>
      <c r="H179" s="114" t="s">
        <v>358</v>
      </c>
      <c r="I179" s="115">
        <v>148058</v>
      </c>
      <c r="J179" s="115" t="s">
        <v>147</v>
      </c>
      <c r="K179" s="126">
        <v>0</v>
      </c>
      <c r="L179" s="114" t="s">
        <v>141</v>
      </c>
      <c r="M179" s="114" t="s">
        <v>149</v>
      </c>
      <c r="N179" s="114" t="str">
        <f t="shared" si="8"/>
        <v>40.GRUA-1H</v>
      </c>
    </row>
    <row r="180" spans="6:14" s="114" customFormat="1" x14ac:dyDescent="0.2">
      <c r="F180" s="114" t="s">
        <v>278</v>
      </c>
      <c r="G180" s="114" t="s">
        <v>190</v>
      </c>
      <c r="H180" s="114" t="s">
        <v>359</v>
      </c>
      <c r="I180" s="115">
        <v>53577</v>
      </c>
      <c r="J180" s="115" t="s">
        <v>147</v>
      </c>
      <c r="K180" s="126">
        <v>0</v>
      </c>
      <c r="L180" s="114" t="s">
        <v>142</v>
      </c>
      <c r="M180" s="114" t="s">
        <v>149</v>
      </c>
      <c r="N180" s="114" t="str">
        <f t="shared" si="8"/>
        <v>41.OPERARIO-8-H</v>
      </c>
    </row>
    <row r="181" spans="6:14" s="114" customFormat="1" x14ac:dyDescent="0.2">
      <c r="F181" s="114" t="s">
        <v>279</v>
      </c>
      <c r="G181" s="114" t="s">
        <v>191</v>
      </c>
      <c r="H181" s="114" t="s">
        <v>360</v>
      </c>
      <c r="I181" s="115">
        <v>41562</v>
      </c>
      <c r="J181" s="115" t="s">
        <v>147</v>
      </c>
      <c r="K181" s="126">
        <v>0</v>
      </c>
      <c r="L181" s="114" t="s">
        <v>143</v>
      </c>
      <c r="M181" s="114" t="s">
        <v>149</v>
      </c>
      <c r="N181" s="114" t="str">
        <f t="shared" si="8"/>
        <v>42.OPERARIO-6-H</v>
      </c>
    </row>
    <row r="182" spans="6:14" s="114" customFormat="1" x14ac:dyDescent="0.2">
      <c r="F182" s="114" t="s">
        <v>310</v>
      </c>
      <c r="G182" s="114" t="s">
        <v>268</v>
      </c>
      <c r="H182" s="114" t="s">
        <v>361</v>
      </c>
      <c r="I182" s="115">
        <v>628232</v>
      </c>
      <c r="N182" s="114" t="str">
        <f t="shared" si="8"/>
        <v>43.BOGOTA-REGION-40m³-</v>
      </c>
    </row>
    <row r="183" spans="6:14" s="114" customFormat="1" x14ac:dyDescent="0.2">
      <c r="F183" s="114" t="s">
        <v>311</v>
      </c>
      <c r="G183" s="114" t="s">
        <v>269</v>
      </c>
      <c r="H183" s="114" t="s">
        <v>362</v>
      </c>
      <c r="I183" s="115">
        <v>562619</v>
      </c>
      <c r="N183" s="114" t="str">
        <f t="shared" si="8"/>
        <v>44.BOGOTA-REGION-25m³-</v>
      </c>
    </row>
    <row r="184" spans="6:14" s="114" customFormat="1" x14ac:dyDescent="0.2">
      <c r="F184" s="114" t="s">
        <v>312</v>
      </c>
      <c r="G184" s="114" t="s">
        <v>270</v>
      </c>
      <c r="H184" s="114" t="s">
        <v>363</v>
      </c>
      <c r="I184" s="115">
        <v>418264</v>
      </c>
      <c r="N184" s="114" t="str">
        <f t="shared" si="8"/>
        <v>45.BOGOTA-REGION-FURGON-</v>
      </c>
    </row>
    <row r="185" spans="6:14" s="114" customFormat="1" x14ac:dyDescent="0.2">
      <c r="F185" s="114" t="s">
        <v>313</v>
      </c>
      <c r="G185" s="114" t="s">
        <v>271</v>
      </c>
      <c r="H185" s="114" t="s">
        <v>364</v>
      </c>
      <c r="I185" s="115">
        <v>288714</v>
      </c>
      <c r="N185" s="114" t="str">
        <f t="shared" si="8"/>
        <v>46.BOGOTA-REGION-4X4</v>
      </c>
    </row>
    <row r="186" spans="6:14" x14ac:dyDescent="0.2">
      <c r="H186" s="114" t="s">
        <v>540</v>
      </c>
      <c r="I186" s="115">
        <f>41562*6</f>
        <v>249372</v>
      </c>
      <c r="J186" s="115" t="s">
        <v>147</v>
      </c>
      <c r="N186" s="2" t="str">
        <f t="shared" si="8"/>
        <v/>
      </c>
    </row>
    <row r="187" spans="6:14" x14ac:dyDescent="0.2">
      <c r="H187" s="114" t="s">
        <v>541</v>
      </c>
      <c r="I187" s="115">
        <f>41562*8</f>
        <v>332496</v>
      </c>
      <c r="J187" s="115" t="s">
        <v>147</v>
      </c>
    </row>
    <row r="188" spans="6:14" x14ac:dyDescent="0.2">
      <c r="H188" s="114" t="s">
        <v>544</v>
      </c>
      <c r="I188" s="115">
        <f>41562*8</f>
        <v>332496</v>
      </c>
      <c r="J188" s="115" t="s">
        <v>147</v>
      </c>
    </row>
    <row r="189" spans="6:14" x14ac:dyDescent="0.2">
      <c r="H189" s="114" t="s">
        <v>542</v>
      </c>
      <c r="I189" s="115">
        <f>53577*10</f>
        <v>535770</v>
      </c>
      <c r="J189" s="115" t="s">
        <v>147</v>
      </c>
    </row>
    <row r="190" spans="6:14" x14ac:dyDescent="0.2">
      <c r="H190" s="114" t="s">
        <v>543</v>
      </c>
      <c r="I190" s="115">
        <f>53577*8</f>
        <v>428616</v>
      </c>
      <c r="J190" s="115" t="s">
        <v>147</v>
      </c>
    </row>
    <row r="191" spans="6:14" x14ac:dyDescent="0.2">
      <c r="H191" s="114" t="s">
        <v>545</v>
      </c>
      <c r="I191" s="115">
        <f>53577*10</f>
        <v>535770</v>
      </c>
      <c r="J191" s="115" t="s">
        <v>147</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4">
    <dataValidation type="list" allowBlank="1" showInputMessage="1" showErrorMessage="1" sqref="F39" xr:uid="{D205A91F-0626-C344-8D1E-D4728CBE7952}">
      <formula1>$H$139:$H$184</formula1>
    </dataValidation>
    <dataValidation type="list" allowBlank="1" showInputMessage="1" showErrorMessage="1" sqref="O9:O15 F64 X7:X8 F30:F31 F17:F19 F46:F51 O20:O24" xr:uid="{9170A4A9-5845-DA40-B759-C87F5B199901}">
      <formula1>$H$139:$H$185</formula1>
    </dataValidation>
    <dataValidation type="list" allowBlank="1" showInputMessage="1" showErrorMessage="1" sqref="F29 F20:F21 F11:F13" xr:uid="{D49A7C52-A683-6246-AE50-0D8071EE4D55}">
      <formula1>$H$140:$H$185</formula1>
    </dataValidation>
    <dataValidation type="list" allowBlank="1" showInputMessage="1" showErrorMessage="1" sqref="F4:F10 F16 F26:F28 F34:F38 X20:X23 O4:O8 O18:O19 F54:F63 X4:X6 X15:X16" xr:uid="{EDC424D8-F6C1-454C-AE40-24A76F37B6A6}">
      <formula1>$H$139:$H$191</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A545A-DD8A-EA41-9887-B6DCDBD55797}">
  <sheetPr>
    <tabColor theme="0"/>
  </sheetPr>
  <dimension ref="B1:DN65569"/>
  <sheetViews>
    <sheetView tabSelected="1" view="pageBreakPreview" topLeftCell="E1" zoomScale="80" zoomScaleNormal="55" zoomScaleSheetLayoutView="80" workbookViewId="0">
      <pane ySplit="4" topLeftCell="A159" activePane="bottomLeft" state="frozen"/>
      <selection activeCell="D39" sqref="D39"/>
      <selection pane="bottomLeft" activeCell="G83" sqref="G83"/>
    </sheetView>
  </sheetViews>
  <sheetFormatPr baseColWidth="10" defaultColWidth="11.42578125" defaultRowHeight="26.1" customHeight="1" x14ac:dyDescent="0.2"/>
  <cols>
    <col min="1" max="1" width="2.42578125" style="2" customWidth="1"/>
    <col min="2" max="2" width="56.140625" style="2" customWidth="1"/>
    <col min="3" max="3" width="14.140625" style="2" customWidth="1"/>
    <col min="4" max="4" width="14.42578125" style="2" customWidth="1"/>
    <col min="5" max="5" width="58.140625" style="2" bestFit="1" customWidth="1"/>
    <col min="6" max="6" width="87.42578125" style="2" customWidth="1"/>
    <col min="7" max="7" width="26.7109375" style="2" customWidth="1"/>
    <col min="8" max="8" width="41.7109375" style="2" bestFit="1" customWidth="1"/>
    <col min="9" max="9" width="23" style="2" bestFit="1" customWidth="1"/>
    <col min="10" max="10" width="29.28515625" style="2" customWidth="1"/>
    <col min="11" max="11" width="39" style="2" customWidth="1"/>
    <col min="12" max="12" width="37" style="199" customWidth="1"/>
    <col min="13" max="13" width="39.140625" style="2" customWidth="1"/>
    <col min="14" max="14" width="30.42578125" style="2" customWidth="1"/>
    <col min="15" max="15" width="33.140625" style="2" customWidth="1"/>
    <col min="16" max="16" width="20.140625" style="2" customWidth="1"/>
    <col min="17" max="17" width="25.7109375" style="2" customWidth="1"/>
    <col min="18" max="18" width="11.42578125" style="2"/>
    <col min="19" max="19" width="35.28515625" style="2" customWidth="1"/>
    <col min="20" max="20" width="34.140625" style="2" bestFit="1" customWidth="1"/>
    <col min="21" max="25" width="11.42578125" style="2"/>
    <col min="26" max="26" width="14.28515625" style="2" bestFit="1" customWidth="1"/>
    <col min="27" max="257" width="11.42578125" style="2"/>
    <col min="258" max="258" width="2.42578125" style="2" customWidth="1"/>
    <col min="259" max="259" width="30.42578125" style="2" customWidth="1"/>
    <col min="260" max="260" width="22.140625" style="2" customWidth="1"/>
    <col min="261" max="261" width="31.42578125" style="2" customWidth="1"/>
    <col min="262" max="262" width="29.7109375" style="2" customWidth="1"/>
    <col min="263" max="263" width="70.42578125" style="2" customWidth="1"/>
    <col min="264" max="264" width="62.28515625" style="2" customWidth="1"/>
    <col min="265" max="265" width="25.140625" style="2" customWidth="1"/>
    <col min="266" max="266" width="31.42578125" style="2" customWidth="1"/>
    <col min="267" max="267" width="31" style="2" customWidth="1"/>
    <col min="268" max="268" width="37" style="2" customWidth="1"/>
    <col min="269" max="269" width="30.140625" style="2" customWidth="1"/>
    <col min="270" max="270" width="30.42578125" style="2" customWidth="1"/>
    <col min="271" max="271" width="20.85546875" style="2" customWidth="1"/>
    <col min="272" max="274" width="11.42578125" style="2"/>
    <col min="275" max="275" width="14.42578125" style="2" customWidth="1"/>
    <col min="276" max="513" width="11.42578125" style="2"/>
    <col min="514" max="514" width="2.42578125" style="2" customWidth="1"/>
    <col min="515" max="515" width="30.42578125" style="2" customWidth="1"/>
    <col min="516" max="516" width="22.140625" style="2" customWidth="1"/>
    <col min="517" max="517" width="31.42578125" style="2" customWidth="1"/>
    <col min="518" max="518" width="29.7109375" style="2" customWidth="1"/>
    <col min="519" max="519" width="70.42578125" style="2" customWidth="1"/>
    <col min="520" max="520" width="62.28515625" style="2" customWidth="1"/>
    <col min="521" max="521" width="25.140625" style="2" customWidth="1"/>
    <col min="522" max="522" width="31.42578125" style="2" customWidth="1"/>
    <col min="523" max="523" width="31" style="2" customWidth="1"/>
    <col min="524" max="524" width="37" style="2" customWidth="1"/>
    <col min="525" max="525" width="30.140625" style="2" customWidth="1"/>
    <col min="526" max="526" width="30.42578125" style="2" customWidth="1"/>
    <col min="527" max="527" width="20.85546875" style="2" customWidth="1"/>
    <col min="528" max="530" width="11.42578125" style="2"/>
    <col min="531" max="531" width="14.42578125" style="2" customWidth="1"/>
    <col min="532" max="769" width="11.42578125" style="2"/>
    <col min="770" max="770" width="2.42578125" style="2" customWidth="1"/>
    <col min="771" max="771" width="30.42578125" style="2" customWidth="1"/>
    <col min="772" max="772" width="22.140625" style="2" customWidth="1"/>
    <col min="773" max="773" width="31.42578125" style="2" customWidth="1"/>
    <col min="774" max="774" width="29.7109375" style="2" customWidth="1"/>
    <col min="775" max="775" width="70.42578125" style="2" customWidth="1"/>
    <col min="776" max="776" width="62.28515625" style="2" customWidth="1"/>
    <col min="777" max="777" width="25.140625" style="2" customWidth="1"/>
    <col min="778" max="778" width="31.42578125" style="2" customWidth="1"/>
    <col min="779" max="779" width="31" style="2" customWidth="1"/>
    <col min="780" max="780" width="37" style="2" customWidth="1"/>
    <col min="781" max="781" width="30.140625" style="2" customWidth="1"/>
    <col min="782" max="782" width="30.42578125" style="2" customWidth="1"/>
    <col min="783" max="783" width="20.85546875" style="2" customWidth="1"/>
    <col min="784" max="786" width="11.42578125" style="2"/>
    <col min="787" max="787" width="14.42578125" style="2" customWidth="1"/>
    <col min="788" max="1025" width="11.42578125" style="2"/>
    <col min="1026" max="1026" width="2.42578125" style="2" customWidth="1"/>
    <col min="1027" max="1027" width="30.42578125" style="2" customWidth="1"/>
    <col min="1028" max="1028" width="22.140625" style="2" customWidth="1"/>
    <col min="1029" max="1029" width="31.42578125" style="2" customWidth="1"/>
    <col min="1030" max="1030" width="29.7109375" style="2" customWidth="1"/>
    <col min="1031" max="1031" width="70.42578125" style="2" customWidth="1"/>
    <col min="1032" max="1032" width="62.28515625" style="2" customWidth="1"/>
    <col min="1033" max="1033" width="25.140625" style="2" customWidth="1"/>
    <col min="1034" max="1034" width="31.42578125" style="2" customWidth="1"/>
    <col min="1035" max="1035" width="31" style="2" customWidth="1"/>
    <col min="1036" max="1036" width="37" style="2" customWidth="1"/>
    <col min="1037" max="1037" width="30.140625" style="2" customWidth="1"/>
    <col min="1038" max="1038" width="30.42578125" style="2" customWidth="1"/>
    <col min="1039" max="1039" width="20.85546875" style="2" customWidth="1"/>
    <col min="1040" max="1042" width="11.42578125" style="2"/>
    <col min="1043" max="1043" width="14.42578125" style="2" customWidth="1"/>
    <col min="1044" max="1281" width="11.42578125" style="2"/>
    <col min="1282" max="1282" width="2.42578125" style="2" customWidth="1"/>
    <col min="1283" max="1283" width="30.42578125" style="2" customWidth="1"/>
    <col min="1284" max="1284" width="22.140625" style="2" customWidth="1"/>
    <col min="1285" max="1285" width="31.42578125" style="2" customWidth="1"/>
    <col min="1286" max="1286" width="29.7109375" style="2" customWidth="1"/>
    <col min="1287" max="1287" width="70.42578125" style="2" customWidth="1"/>
    <col min="1288" max="1288" width="62.28515625" style="2" customWidth="1"/>
    <col min="1289" max="1289" width="25.140625" style="2" customWidth="1"/>
    <col min="1290" max="1290" width="31.42578125" style="2" customWidth="1"/>
    <col min="1291" max="1291" width="31" style="2" customWidth="1"/>
    <col min="1292" max="1292" width="37" style="2" customWidth="1"/>
    <col min="1293" max="1293" width="30.140625" style="2" customWidth="1"/>
    <col min="1294" max="1294" width="30.42578125" style="2" customWidth="1"/>
    <col min="1295" max="1295" width="20.85546875" style="2" customWidth="1"/>
    <col min="1296" max="1298" width="11.42578125" style="2"/>
    <col min="1299" max="1299" width="14.42578125" style="2" customWidth="1"/>
    <col min="1300" max="1537" width="11.42578125" style="2"/>
    <col min="1538" max="1538" width="2.42578125" style="2" customWidth="1"/>
    <col min="1539" max="1539" width="30.42578125" style="2" customWidth="1"/>
    <col min="1540" max="1540" width="22.140625" style="2" customWidth="1"/>
    <col min="1541" max="1541" width="31.42578125" style="2" customWidth="1"/>
    <col min="1542" max="1542" width="29.7109375" style="2" customWidth="1"/>
    <col min="1543" max="1543" width="70.42578125" style="2" customWidth="1"/>
    <col min="1544" max="1544" width="62.28515625" style="2" customWidth="1"/>
    <col min="1545" max="1545" width="25.140625" style="2" customWidth="1"/>
    <col min="1546" max="1546" width="31.42578125" style="2" customWidth="1"/>
    <col min="1547" max="1547" width="31" style="2" customWidth="1"/>
    <col min="1548" max="1548" width="37" style="2" customWidth="1"/>
    <col min="1549" max="1549" width="30.140625" style="2" customWidth="1"/>
    <col min="1550" max="1550" width="30.42578125" style="2" customWidth="1"/>
    <col min="1551" max="1551" width="20.85546875" style="2" customWidth="1"/>
    <col min="1552" max="1554" width="11.42578125" style="2"/>
    <col min="1555" max="1555" width="14.42578125" style="2" customWidth="1"/>
    <col min="1556" max="1793" width="11.42578125" style="2"/>
    <col min="1794" max="1794" width="2.42578125" style="2" customWidth="1"/>
    <col min="1795" max="1795" width="30.42578125" style="2" customWidth="1"/>
    <col min="1796" max="1796" width="22.140625" style="2" customWidth="1"/>
    <col min="1797" max="1797" width="31.42578125" style="2" customWidth="1"/>
    <col min="1798" max="1798" width="29.7109375" style="2" customWidth="1"/>
    <col min="1799" max="1799" width="70.42578125" style="2" customWidth="1"/>
    <col min="1800" max="1800" width="62.28515625" style="2" customWidth="1"/>
    <col min="1801" max="1801" width="25.140625" style="2" customWidth="1"/>
    <col min="1802" max="1802" width="31.42578125" style="2" customWidth="1"/>
    <col min="1803" max="1803" width="31" style="2" customWidth="1"/>
    <col min="1804" max="1804" width="37" style="2" customWidth="1"/>
    <col min="1805" max="1805" width="30.140625" style="2" customWidth="1"/>
    <col min="1806" max="1806" width="30.42578125" style="2" customWidth="1"/>
    <col min="1807" max="1807" width="20.85546875" style="2" customWidth="1"/>
    <col min="1808" max="1810" width="11.42578125" style="2"/>
    <col min="1811" max="1811" width="14.42578125" style="2" customWidth="1"/>
    <col min="1812" max="2049" width="11.42578125" style="2"/>
    <col min="2050" max="2050" width="2.42578125" style="2" customWidth="1"/>
    <col min="2051" max="2051" width="30.42578125" style="2" customWidth="1"/>
    <col min="2052" max="2052" width="22.140625" style="2" customWidth="1"/>
    <col min="2053" max="2053" width="31.42578125" style="2" customWidth="1"/>
    <col min="2054" max="2054" width="29.7109375" style="2" customWidth="1"/>
    <col min="2055" max="2055" width="70.42578125" style="2" customWidth="1"/>
    <col min="2056" max="2056" width="62.28515625" style="2" customWidth="1"/>
    <col min="2057" max="2057" width="25.140625" style="2" customWidth="1"/>
    <col min="2058" max="2058" width="31.42578125" style="2" customWidth="1"/>
    <col min="2059" max="2059" width="31" style="2" customWidth="1"/>
    <col min="2060" max="2060" width="37" style="2" customWidth="1"/>
    <col min="2061" max="2061" width="30.140625" style="2" customWidth="1"/>
    <col min="2062" max="2062" width="30.42578125" style="2" customWidth="1"/>
    <col min="2063" max="2063" width="20.85546875" style="2" customWidth="1"/>
    <col min="2064" max="2066" width="11.42578125" style="2"/>
    <col min="2067" max="2067" width="14.42578125" style="2" customWidth="1"/>
    <col min="2068" max="2305" width="11.42578125" style="2"/>
    <col min="2306" max="2306" width="2.42578125" style="2" customWidth="1"/>
    <col min="2307" max="2307" width="30.42578125" style="2" customWidth="1"/>
    <col min="2308" max="2308" width="22.140625" style="2" customWidth="1"/>
    <col min="2309" max="2309" width="31.42578125" style="2" customWidth="1"/>
    <col min="2310" max="2310" width="29.7109375" style="2" customWidth="1"/>
    <col min="2311" max="2311" width="70.42578125" style="2" customWidth="1"/>
    <col min="2312" max="2312" width="62.28515625" style="2" customWidth="1"/>
    <col min="2313" max="2313" width="25.140625" style="2" customWidth="1"/>
    <col min="2314" max="2314" width="31.42578125" style="2" customWidth="1"/>
    <col min="2315" max="2315" width="31" style="2" customWidth="1"/>
    <col min="2316" max="2316" width="37" style="2" customWidth="1"/>
    <col min="2317" max="2317" width="30.140625" style="2" customWidth="1"/>
    <col min="2318" max="2318" width="30.42578125" style="2" customWidth="1"/>
    <col min="2319" max="2319" width="20.85546875" style="2" customWidth="1"/>
    <col min="2320" max="2322" width="11.42578125" style="2"/>
    <col min="2323" max="2323" width="14.42578125" style="2" customWidth="1"/>
    <col min="2324" max="2561" width="11.42578125" style="2"/>
    <col min="2562" max="2562" width="2.42578125" style="2" customWidth="1"/>
    <col min="2563" max="2563" width="30.42578125" style="2" customWidth="1"/>
    <col min="2564" max="2564" width="22.140625" style="2" customWidth="1"/>
    <col min="2565" max="2565" width="31.42578125" style="2" customWidth="1"/>
    <col min="2566" max="2566" width="29.7109375" style="2" customWidth="1"/>
    <col min="2567" max="2567" width="70.42578125" style="2" customWidth="1"/>
    <col min="2568" max="2568" width="62.28515625" style="2" customWidth="1"/>
    <col min="2569" max="2569" width="25.140625" style="2" customWidth="1"/>
    <col min="2570" max="2570" width="31.42578125" style="2" customWidth="1"/>
    <col min="2571" max="2571" width="31" style="2" customWidth="1"/>
    <col min="2572" max="2572" width="37" style="2" customWidth="1"/>
    <col min="2573" max="2573" width="30.140625" style="2" customWidth="1"/>
    <col min="2574" max="2574" width="30.42578125" style="2" customWidth="1"/>
    <col min="2575" max="2575" width="20.85546875" style="2" customWidth="1"/>
    <col min="2576" max="2578" width="11.42578125" style="2"/>
    <col min="2579" max="2579" width="14.42578125" style="2" customWidth="1"/>
    <col min="2580" max="2817" width="11.42578125" style="2"/>
    <col min="2818" max="2818" width="2.42578125" style="2" customWidth="1"/>
    <col min="2819" max="2819" width="30.42578125" style="2" customWidth="1"/>
    <col min="2820" max="2820" width="22.140625" style="2" customWidth="1"/>
    <col min="2821" max="2821" width="31.42578125" style="2" customWidth="1"/>
    <col min="2822" max="2822" width="29.7109375" style="2" customWidth="1"/>
    <col min="2823" max="2823" width="70.42578125" style="2" customWidth="1"/>
    <col min="2824" max="2824" width="62.28515625" style="2" customWidth="1"/>
    <col min="2825" max="2825" width="25.140625" style="2" customWidth="1"/>
    <col min="2826" max="2826" width="31.42578125" style="2" customWidth="1"/>
    <col min="2827" max="2827" width="31" style="2" customWidth="1"/>
    <col min="2828" max="2828" width="37" style="2" customWidth="1"/>
    <col min="2829" max="2829" width="30.140625" style="2" customWidth="1"/>
    <col min="2830" max="2830" width="30.42578125" style="2" customWidth="1"/>
    <col min="2831" max="2831" width="20.85546875" style="2" customWidth="1"/>
    <col min="2832" max="2834" width="11.42578125" style="2"/>
    <col min="2835" max="2835" width="14.42578125" style="2" customWidth="1"/>
    <col min="2836" max="3073" width="11.42578125" style="2"/>
    <col min="3074" max="3074" width="2.42578125" style="2" customWidth="1"/>
    <col min="3075" max="3075" width="30.42578125" style="2" customWidth="1"/>
    <col min="3076" max="3076" width="22.140625" style="2" customWidth="1"/>
    <col min="3077" max="3077" width="31.42578125" style="2" customWidth="1"/>
    <col min="3078" max="3078" width="29.7109375" style="2" customWidth="1"/>
    <col min="3079" max="3079" width="70.42578125" style="2" customWidth="1"/>
    <col min="3080" max="3080" width="62.28515625" style="2" customWidth="1"/>
    <col min="3081" max="3081" width="25.140625" style="2" customWidth="1"/>
    <col min="3082" max="3082" width="31.42578125" style="2" customWidth="1"/>
    <col min="3083" max="3083" width="31" style="2" customWidth="1"/>
    <col min="3084" max="3084" width="37" style="2" customWidth="1"/>
    <col min="3085" max="3085" width="30.140625" style="2" customWidth="1"/>
    <col min="3086" max="3086" width="30.42578125" style="2" customWidth="1"/>
    <col min="3087" max="3087" width="20.85546875" style="2" customWidth="1"/>
    <col min="3088" max="3090" width="11.42578125" style="2"/>
    <col min="3091" max="3091" width="14.42578125" style="2" customWidth="1"/>
    <col min="3092" max="3329" width="11.42578125" style="2"/>
    <col min="3330" max="3330" width="2.42578125" style="2" customWidth="1"/>
    <col min="3331" max="3331" width="30.42578125" style="2" customWidth="1"/>
    <col min="3332" max="3332" width="22.140625" style="2" customWidth="1"/>
    <col min="3333" max="3333" width="31.42578125" style="2" customWidth="1"/>
    <col min="3334" max="3334" width="29.7109375" style="2" customWidth="1"/>
    <col min="3335" max="3335" width="70.42578125" style="2" customWidth="1"/>
    <col min="3336" max="3336" width="62.28515625" style="2" customWidth="1"/>
    <col min="3337" max="3337" width="25.140625" style="2" customWidth="1"/>
    <col min="3338" max="3338" width="31.42578125" style="2" customWidth="1"/>
    <col min="3339" max="3339" width="31" style="2" customWidth="1"/>
    <col min="3340" max="3340" width="37" style="2" customWidth="1"/>
    <col min="3341" max="3341" width="30.140625" style="2" customWidth="1"/>
    <col min="3342" max="3342" width="30.42578125" style="2" customWidth="1"/>
    <col min="3343" max="3343" width="20.85546875" style="2" customWidth="1"/>
    <col min="3344" max="3346" width="11.42578125" style="2"/>
    <col min="3347" max="3347" width="14.42578125" style="2" customWidth="1"/>
    <col min="3348" max="3585" width="11.42578125" style="2"/>
    <col min="3586" max="3586" width="2.42578125" style="2" customWidth="1"/>
    <col min="3587" max="3587" width="30.42578125" style="2" customWidth="1"/>
    <col min="3588" max="3588" width="22.140625" style="2" customWidth="1"/>
    <col min="3589" max="3589" width="31.42578125" style="2" customWidth="1"/>
    <col min="3590" max="3590" width="29.7109375" style="2" customWidth="1"/>
    <col min="3591" max="3591" width="70.42578125" style="2" customWidth="1"/>
    <col min="3592" max="3592" width="62.28515625" style="2" customWidth="1"/>
    <col min="3593" max="3593" width="25.140625" style="2" customWidth="1"/>
    <col min="3594" max="3594" width="31.42578125" style="2" customWidth="1"/>
    <col min="3595" max="3595" width="31" style="2" customWidth="1"/>
    <col min="3596" max="3596" width="37" style="2" customWidth="1"/>
    <col min="3597" max="3597" width="30.140625" style="2" customWidth="1"/>
    <col min="3598" max="3598" width="30.42578125" style="2" customWidth="1"/>
    <col min="3599" max="3599" width="20.85546875" style="2" customWidth="1"/>
    <col min="3600" max="3602" width="11.42578125" style="2"/>
    <col min="3603" max="3603" width="14.42578125" style="2" customWidth="1"/>
    <col min="3604" max="3841" width="11.42578125" style="2"/>
    <col min="3842" max="3842" width="2.42578125" style="2" customWidth="1"/>
    <col min="3843" max="3843" width="30.42578125" style="2" customWidth="1"/>
    <col min="3844" max="3844" width="22.140625" style="2" customWidth="1"/>
    <col min="3845" max="3845" width="31.42578125" style="2" customWidth="1"/>
    <col min="3846" max="3846" width="29.7109375" style="2" customWidth="1"/>
    <col min="3847" max="3847" width="70.42578125" style="2" customWidth="1"/>
    <col min="3848" max="3848" width="62.28515625" style="2" customWidth="1"/>
    <col min="3849" max="3849" width="25.140625" style="2" customWidth="1"/>
    <col min="3850" max="3850" width="31.42578125" style="2" customWidth="1"/>
    <col min="3851" max="3851" width="31" style="2" customWidth="1"/>
    <col min="3852" max="3852" width="37" style="2" customWidth="1"/>
    <col min="3853" max="3853" width="30.140625" style="2" customWidth="1"/>
    <col min="3854" max="3854" width="30.42578125" style="2" customWidth="1"/>
    <col min="3855" max="3855" width="20.85546875" style="2" customWidth="1"/>
    <col min="3856" max="3858" width="11.42578125" style="2"/>
    <col min="3859" max="3859" width="14.42578125" style="2" customWidth="1"/>
    <col min="3860" max="4097" width="11.42578125" style="2"/>
    <col min="4098" max="4098" width="2.42578125" style="2" customWidth="1"/>
    <col min="4099" max="4099" width="30.42578125" style="2" customWidth="1"/>
    <col min="4100" max="4100" width="22.140625" style="2" customWidth="1"/>
    <col min="4101" max="4101" width="31.42578125" style="2" customWidth="1"/>
    <col min="4102" max="4102" width="29.7109375" style="2" customWidth="1"/>
    <col min="4103" max="4103" width="70.42578125" style="2" customWidth="1"/>
    <col min="4104" max="4104" width="62.28515625" style="2" customWidth="1"/>
    <col min="4105" max="4105" width="25.140625" style="2" customWidth="1"/>
    <col min="4106" max="4106" width="31.42578125" style="2" customWidth="1"/>
    <col min="4107" max="4107" width="31" style="2" customWidth="1"/>
    <col min="4108" max="4108" width="37" style="2" customWidth="1"/>
    <col min="4109" max="4109" width="30.140625" style="2" customWidth="1"/>
    <col min="4110" max="4110" width="30.42578125" style="2" customWidth="1"/>
    <col min="4111" max="4111" width="20.85546875" style="2" customWidth="1"/>
    <col min="4112" max="4114" width="11.42578125" style="2"/>
    <col min="4115" max="4115" width="14.42578125" style="2" customWidth="1"/>
    <col min="4116" max="4353" width="11.42578125" style="2"/>
    <col min="4354" max="4354" width="2.42578125" style="2" customWidth="1"/>
    <col min="4355" max="4355" width="30.42578125" style="2" customWidth="1"/>
    <col min="4356" max="4356" width="22.140625" style="2" customWidth="1"/>
    <col min="4357" max="4357" width="31.42578125" style="2" customWidth="1"/>
    <col min="4358" max="4358" width="29.7109375" style="2" customWidth="1"/>
    <col min="4359" max="4359" width="70.42578125" style="2" customWidth="1"/>
    <col min="4360" max="4360" width="62.28515625" style="2" customWidth="1"/>
    <col min="4361" max="4361" width="25.140625" style="2" customWidth="1"/>
    <col min="4362" max="4362" width="31.42578125" style="2" customWidth="1"/>
    <col min="4363" max="4363" width="31" style="2" customWidth="1"/>
    <col min="4364" max="4364" width="37" style="2" customWidth="1"/>
    <col min="4365" max="4365" width="30.140625" style="2" customWidth="1"/>
    <col min="4366" max="4366" width="30.42578125" style="2" customWidth="1"/>
    <col min="4367" max="4367" width="20.85546875" style="2" customWidth="1"/>
    <col min="4368" max="4370" width="11.42578125" style="2"/>
    <col min="4371" max="4371" width="14.42578125" style="2" customWidth="1"/>
    <col min="4372" max="4609" width="11.42578125" style="2"/>
    <col min="4610" max="4610" width="2.42578125" style="2" customWidth="1"/>
    <col min="4611" max="4611" width="30.42578125" style="2" customWidth="1"/>
    <col min="4612" max="4612" width="22.140625" style="2" customWidth="1"/>
    <col min="4613" max="4613" width="31.42578125" style="2" customWidth="1"/>
    <col min="4614" max="4614" width="29.7109375" style="2" customWidth="1"/>
    <col min="4615" max="4615" width="70.42578125" style="2" customWidth="1"/>
    <col min="4616" max="4616" width="62.28515625" style="2" customWidth="1"/>
    <col min="4617" max="4617" width="25.140625" style="2" customWidth="1"/>
    <col min="4618" max="4618" width="31.42578125" style="2" customWidth="1"/>
    <col min="4619" max="4619" width="31" style="2" customWidth="1"/>
    <col min="4620" max="4620" width="37" style="2" customWidth="1"/>
    <col min="4621" max="4621" width="30.140625" style="2" customWidth="1"/>
    <col min="4622" max="4622" width="30.42578125" style="2" customWidth="1"/>
    <col min="4623" max="4623" width="20.85546875" style="2" customWidth="1"/>
    <col min="4624" max="4626" width="11.42578125" style="2"/>
    <col min="4627" max="4627" width="14.42578125" style="2" customWidth="1"/>
    <col min="4628" max="4865" width="11.42578125" style="2"/>
    <col min="4866" max="4866" width="2.42578125" style="2" customWidth="1"/>
    <col min="4867" max="4867" width="30.42578125" style="2" customWidth="1"/>
    <col min="4868" max="4868" width="22.140625" style="2" customWidth="1"/>
    <col min="4869" max="4869" width="31.42578125" style="2" customWidth="1"/>
    <col min="4870" max="4870" width="29.7109375" style="2" customWidth="1"/>
    <col min="4871" max="4871" width="70.42578125" style="2" customWidth="1"/>
    <col min="4872" max="4872" width="62.28515625" style="2" customWidth="1"/>
    <col min="4873" max="4873" width="25.140625" style="2" customWidth="1"/>
    <col min="4874" max="4874" width="31.42578125" style="2" customWidth="1"/>
    <col min="4875" max="4875" width="31" style="2" customWidth="1"/>
    <col min="4876" max="4876" width="37" style="2" customWidth="1"/>
    <col min="4877" max="4877" width="30.140625" style="2" customWidth="1"/>
    <col min="4878" max="4878" width="30.42578125" style="2" customWidth="1"/>
    <col min="4879" max="4879" width="20.85546875" style="2" customWidth="1"/>
    <col min="4880" max="4882" width="11.42578125" style="2"/>
    <col min="4883" max="4883" width="14.42578125" style="2" customWidth="1"/>
    <col min="4884" max="5121" width="11.42578125" style="2"/>
    <col min="5122" max="5122" width="2.42578125" style="2" customWidth="1"/>
    <col min="5123" max="5123" width="30.42578125" style="2" customWidth="1"/>
    <col min="5124" max="5124" width="22.140625" style="2" customWidth="1"/>
    <col min="5125" max="5125" width="31.42578125" style="2" customWidth="1"/>
    <col min="5126" max="5126" width="29.7109375" style="2" customWidth="1"/>
    <col min="5127" max="5127" width="70.42578125" style="2" customWidth="1"/>
    <col min="5128" max="5128" width="62.28515625" style="2" customWidth="1"/>
    <col min="5129" max="5129" width="25.140625" style="2" customWidth="1"/>
    <col min="5130" max="5130" width="31.42578125" style="2" customWidth="1"/>
    <col min="5131" max="5131" width="31" style="2" customWidth="1"/>
    <col min="5132" max="5132" width="37" style="2" customWidth="1"/>
    <col min="5133" max="5133" width="30.140625" style="2" customWidth="1"/>
    <col min="5134" max="5134" width="30.42578125" style="2" customWidth="1"/>
    <col min="5135" max="5135" width="20.85546875" style="2" customWidth="1"/>
    <col min="5136" max="5138" width="11.42578125" style="2"/>
    <col min="5139" max="5139" width="14.42578125" style="2" customWidth="1"/>
    <col min="5140" max="5377" width="11.42578125" style="2"/>
    <col min="5378" max="5378" width="2.42578125" style="2" customWidth="1"/>
    <col min="5379" max="5379" width="30.42578125" style="2" customWidth="1"/>
    <col min="5380" max="5380" width="22.140625" style="2" customWidth="1"/>
    <col min="5381" max="5381" width="31.42578125" style="2" customWidth="1"/>
    <col min="5382" max="5382" width="29.7109375" style="2" customWidth="1"/>
    <col min="5383" max="5383" width="70.42578125" style="2" customWidth="1"/>
    <col min="5384" max="5384" width="62.28515625" style="2" customWidth="1"/>
    <col min="5385" max="5385" width="25.140625" style="2" customWidth="1"/>
    <col min="5386" max="5386" width="31.42578125" style="2" customWidth="1"/>
    <col min="5387" max="5387" width="31" style="2" customWidth="1"/>
    <col min="5388" max="5388" width="37" style="2" customWidth="1"/>
    <col min="5389" max="5389" width="30.140625" style="2" customWidth="1"/>
    <col min="5390" max="5390" width="30.42578125" style="2" customWidth="1"/>
    <col min="5391" max="5391" width="20.85546875" style="2" customWidth="1"/>
    <col min="5392" max="5394" width="11.42578125" style="2"/>
    <col min="5395" max="5395" width="14.42578125" style="2" customWidth="1"/>
    <col min="5396" max="5633" width="11.42578125" style="2"/>
    <col min="5634" max="5634" width="2.42578125" style="2" customWidth="1"/>
    <col min="5635" max="5635" width="30.42578125" style="2" customWidth="1"/>
    <col min="5636" max="5636" width="22.140625" style="2" customWidth="1"/>
    <col min="5637" max="5637" width="31.42578125" style="2" customWidth="1"/>
    <col min="5638" max="5638" width="29.7109375" style="2" customWidth="1"/>
    <col min="5639" max="5639" width="70.42578125" style="2" customWidth="1"/>
    <col min="5640" max="5640" width="62.28515625" style="2" customWidth="1"/>
    <col min="5641" max="5641" width="25.140625" style="2" customWidth="1"/>
    <col min="5642" max="5642" width="31.42578125" style="2" customWidth="1"/>
    <col min="5643" max="5643" width="31" style="2" customWidth="1"/>
    <col min="5644" max="5644" width="37" style="2" customWidth="1"/>
    <col min="5645" max="5645" width="30.140625" style="2" customWidth="1"/>
    <col min="5646" max="5646" width="30.42578125" style="2" customWidth="1"/>
    <col min="5647" max="5647" width="20.85546875" style="2" customWidth="1"/>
    <col min="5648" max="5650" width="11.42578125" style="2"/>
    <col min="5651" max="5651" width="14.42578125" style="2" customWidth="1"/>
    <col min="5652" max="5889" width="11.42578125" style="2"/>
    <col min="5890" max="5890" width="2.42578125" style="2" customWidth="1"/>
    <col min="5891" max="5891" width="30.42578125" style="2" customWidth="1"/>
    <col min="5892" max="5892" width="22.140625" style="2" customWidth="1"/>
    <col min="5893" max="5893" width="31.42578125" style="2" customWidth="1"/>
    <col min="5894" max="5894" width="29.7109375" style="2" customWidth="1"/>
    <col min="5895" max="5895" width="70.42578125" style="2" customWidth="1"/>
    <col min="5896" max="5896" width="62.28515625" style="2" customWidth="1"/>
    <col min="5897" max="5897" width="25.140625" style="2" customWidth="1"/>
    <col min="5898" max="5898" width="31.42578125" style="2" customWidth="1"/>
    <col min="5899" max="5899" width="31" style="2" customWidth="1"/>
    <col min="5900" max="5900" width="37" style="2" customWidth="1"/>
    <col min="5901" max="5901" width="30.140625" style="2" customWidth="1"/>
    <col min="5902" max="5902" width="30.42578125" style="2" customWidth="1"/>
    <col min="5903" max="5903" width="20.85546875" style="2" customWidth="1"/>
    <col min="5904" max="5906" width="11.42578125" style="2"/>
    <col min="5907" max="5907" width="14.42578125" style="2" customWidth="1"/>
    <col min="5908" max="6145" width="11.42578125" style="2"/>
    <col min="6146" max="6146" width="2.42578125" style="2" customWidth="1"/>
    <col min="6147" max="6147" width="30.42578125" style="2" customWidth="1"/>
    <col min="6148" max="6148" width="22.140625" style="2" customWidth="1"/>
    <col min="6149" max="6149" width="31.42578125" style="2" customWidth="1"/>
    <col min="6150" max="6150" width="29.7109375" style="2" customWidth="1"/>
    <col min="6151" max="6151" width="70.42578125" style="2" customWidth="1"/>
    <col min="6152" max="6152" width="62.28515625" style="2" customWidth="1"/>
    <col min="6153" max="6153" width="25.140625" style="2" customWidth="1"/>
    <col min="6154" max="6154" width="31.42578125" style="2" customWidth="1"/>
    <col min="6155" max="6155" width="31" style="2" customWidth="1"/>
    <col min="6156" max="6156" width="37" style="2" customWidth="1"/>
    <col min="6157" max="6157" width="30.140625" style="2" customWidth="1"/>
    <col min="6158" max="6158" width="30.42578125" style="2" customWidth="1"/>
    <col min="6159" max="6159" width="20.85546875" style="2" customWidth="1"/>
    <col min="6160" max="6162" width="11.42578125" style="2"/>
    <col min="6163" max="6163" width="14.42578125" style="2" customWidth="1"/>
    <col min="6164" max="6401" width="11.42578125" style="2"/>
    <col min="6402" max="6402" width="2.42578125" style="2" customWidth="1"/>
    <col min="6403" max="6403" width="30.42578125" style="2" customWidth="1"/>
    <col min="6404" max="6404" width="22.140625" style="2" customWidth="1"/>
    <col min="6405" max="6405" width="31.42578125" style="2" customWidth="1"/>
    <col min="6406" max="6406" width="29.7109375" style="2" customWidth="1"/>
    <col min="6407" max="6407" width="70.42578125" style="2" customWidth="1"/>
    <col min="6408" max="6408" width="62.28515625" style="2" customWidth="1"/>
    <col min="6409" max="6409" width="25.140625" style="2" customWidth="1"/>
    <col min="6410" max="6410" width="31.42578125" style="2" customWidth="1"/>
    <col min="6411" max="6411" width="31" style="2" customWidth="1"/>
    <col min="6412" max="6412" width="37" style="2" customWidth="1"/>
    <col min="6413" max="6413" width="30.140625" style="2" customWidth="1"/>
    <col min="6414" max="6414" width="30.42578125" style="2" customWidth="1"/>
    <col min="6415" max="6415" width="20.85546875" style="2" customWidth="1"/>
    <col min="6416" max="6418" width="11.42578125" style="2"/>
    <col min="6419" max="6419" width="14.42578125" style="2" customWidth="1"/>
    <col min="6420" max="6657" width="11.42578125" style="2"/>
    <col min="6658" max="6658" width="2.42578125" style="2" customWidth="1"/>
    <col min="6659" max="6659" width="30.42578125" style="2" customWidth="1"/>
    <col min="6660" max="6660" width="22.140625" style="2" customWidth="1"/>
    <col min="6661" max="6661" width="31.42578125" style="2" customWidth="1"/>
    <col min="6662" max="6662" width="29.7109375" style="2" customWidth="1"/>
    <col min="6663" max="6663" width="70.42578125" style="2" customWidth="1"/>
    <col min="6664" max="6664" width="62.28515625" style="2" customWidth="1"/>
    <col min="6665" max="6665" width="25.140625" style="2" customWidth="1"/>
    <col min="6666" max="6666" width="31.42578125" style="2" customWidth="1"/>
    <col min="6667" max="6667" width="31" style="2" customWidth="1"/>
    <col min="6668" max="6668" width="37" style="2" customWidth="1"/>
    <col min="6669" max="6669" width="30.140625" style="2" customWidth="1"/>
    <col min="6670" max="6670" width="30.42578125" style="2" customWidth="1"/>
    <col min="6671" max="6671" width="20.85546875" style="2" customWidth="1"/>
    <col min="6672" max="6674" width="11.42578125" style="2"/>
    <col min="6675" max="6675" width="14.42578125" style="2" customWidth="1"/>
    <col min="6676" max="6913" width="11.42578125" style="2"/>
    <col min="6914" max="6914" width="2.42578125" style="2" customWidth="1"/>
    <col min="6915" max="6915" width="30.42578125" style="2" customWidth="1"/>
    <col min="6916" max="6916" width="22.140625" style="2" customWidth="1"/>
    <col min="6917" max="6917" width="31.42578125" style="2" customWidth="1"/>
    <col min="6918" max="6918" width="29.7109375" style="2" customWidth="1"/>
    <col min="6919" max="6919" width="70.42578125" style="2" customWidth="1"/>
    <col min="6920" max="6920" width="62.28515625" style="2" customWidth="1"/>
    <col min="6921" max="6921" width="25.140625" style="2" customWidth="1"/>
    <col min="6922" max="6922" width="31.42578125" style="2" customWidth="1"/>
    <col min="6923" max="6923" width="31" style="2" customWidth="1"/>
    <col min="6924" max="6924" width="37" style="2" customWidth="1"/>
    <col min="6925" max="6925" width="30.140625" style="2" customWidth="1"/>
    <col min="6926" max="6926" width="30.42578125" style="2" customWidth="1"/>
    <col min="6927" max="6927" width="20.85546875" style="2" customWidth="1"/>
    <col min="6928" max="6930" width="11.42578125" style="2"/>
    <col min="6931" max="6931" width="14.42578125" style="2" customWidth="1"/>
    <col min="6932" max="7169" width="11.42578125" style="2"/>
    <col min="7170" max="7170" width="2.42578125" style="2" customWidth="1"/>
    <col min="7171" max="7171" width="30.42578125" style="2" customWidth="1"/>
    <col min="7172" max="7172" width="22.140625" style="2" customWidth="1"/>
    <col min="7173" max="7173" width="31.42578125" style="2" customWidth="1"/>
    <col min="7174" max="7174" width="29.7109375" style="2" customWidth="1"/>
    <col min="7175" max="7175" width="70.42578125" style="2" customWidth="1"/>
    <col min="7176" max="7176" width="62.28515625" style="2" customWidth="1"/>
    <col min="7177" max="7177" width="25.140625" style="2" customWidth="1"/>
    <col min="7178" max="7178" width="31.42578125" style="2" customWidth="1"/>
    <col min="7179" max="7179" width="31" style="2" customWidth="1"/>
    <col min="7180" max="7180" width="37" style="2" customWidth="1"/>
    <col min="7181" max="7181" width="30.140625" style="2" customWidth="1"/>
    <col min="7182" max="7182" width="30.42578125" style="2" customWidth="1"/>
    <col min="7183" max="7183" width="20.85546875" style="2" customWidth="1"/>
    <col min="7184" max="7186" width="11.42578125" style="2"/>
    <col min="7187" max="7187" width="14.42578125" style="2" customWidth="1"/>
    <col min="7188" max="7425" width="11.42578125" style="2"/>
    <col min="7426" max="7426" width="2.42578125" style="2" customWidth="1"/>
    <col min="7427" max="7427" width="30.42578125" style="2" customWidth="1"/>
    <col min="7428" max="7428" width="22.140625" style="2" customWidth="1"/>
    <col min="7429" max="7429" width="31.42578125" style="2" customWidth="1"/>
    <col min="7430" max="7430" width="29.7109375" style="2" customWidth="1"/>
    <col min="7431" max="7431" width="70.42578125" style="2" customWidth="1"/>
    <col min="7432" max="7432" width="62.28515625" style="2" customWidth="1"/>
    <col min="7433" max="7433" width="25.140625" style="2" customWidth="1"/>
    <col min="7434" max="7434" width="31.42578125" style="2" customWidth="1"/>
    <col min="7435" max="7435" width="31" style="2" customWidth="1"/>
    <col min="7436" max="7436" width="37" style="2" customWidth="1"/>
    <col min="7437" max="7437" width="30.140625" style="2" customWidth="1"/>
    <col min="7438" max="7438" width="30.42578125" style="2" customWidth="1"/>
    <col min="7439" max="7439" width="20.85546875" style="2" customWidth="1"/>
    <col min="7440" max="7442" width="11.42578125" style="2"/>
    <col min="7443" max="7443" width="14.42578125" style="2" customWidth="1"/>
    <col min="7444" max="7681" width="11.42578125" style="2"/>
    <col min="7682" max="7682" width="2.42578125" style="2" customWidth="1"/>
    <col min="7683" max="7683" width="30.42578125" style="2" customWidth="1"/>
    <col min="7684" max="7684" width="22.140625" style="2" customWidth="1"/>
    <col min="7685" max="7685" width="31.42578125" style="2" customWidth="1"/>
    <col min="7686" max="7686" width="29.7109375" style="2" customWidth="1"/>
    <col min="7687" max="7687" width="70.42578125" style="2" customWidth="1"/>
    <col min="7688" max="7688" width="62.28515625" style="2" customWidth="1"/>
    <col min="7689" max="7689" width="25.140625" style="2" customWidth="1"/>
    <col min="7690" max="7690" width="31.42578125" style="2" customWidth="1"/>
    <col min="7691" max="7691" width="31" style="2" customWidth="1"/>
    <col min="7692" max="7692" width="37" style="2" customWidth="1"/>
    <col min="7693" max="7693" width="30.140625" style="2" customWidth="1"/>
    <col min="7694" max="7694" width="30.42578125" style="2" customWidth="1"/>
    <col min="7695" max="7695" width="20.85546875" style="2" customWidth="1"/>
    <col min="7696" max="7698" width="11.42578125" style="2"/>
    <col min="7699" max="7699" width="14.42578125" style="2" customWidth="1"/>
    <col min="7700" max="7937" width="11.42578125" style="2"/>
    <col min="7938" max="7938" width="2.42578125" style="2" customWidth="1"/>
    <col min="7939" max="7939" width="30.42578125" style="2" customWidth="1"/>
    <col min="7940" max="7940" width="22.140625" style="2" customWidth="1"/>
    <col min="7941" max="7941" width="31.42578125" style="2" customWidth="1"/>
    <col min="7942" max="7942" width="29.7109375" style="2" customWidth="1"/>
    <col min="7943" max="7943" width="70.42578125" style="2" customWidth="1"/>
    <col min="7944" max="7944" width="62.28515625" style="2" customWidth="1"/>
    <col min="7945" max="7945" width="25.140625" style="2" customWidth="1"/>
    <col min="7946" max="7946" width="31.42578125" style="2" customWidth="1"/>
    <col min="7947" max="7947" width="31" style="2" customWidth="1"/>
    <col min="7948" max="7948" width="37" style="2" customWidth="1"/>
    <col min="7949" max="7949" width="30.140625" style="2" customWidth="1"/>
    <col min="7950" max="7950" width="30.42578125" style="2" customWidth="1"/>
    <col min="7951" max="7951" width="20.85546875" style="2" customWidth="1"/>
    <col min="7952" max="7954" width="11.42578125" style="2"/>
    <col min="7955" max="7955" width="14.42578125" style="2" customWidth="1"/>
    <col min="7956" max="8193" width="11.42578125" style="2"/>
    <col min="8194" max="8194" width="2.42578125" style="2" customWidth="1"/>
    <col min="8195" max="8195" width="30.42578125" style="2" customWidth="1"/>
    <col min="8196" max="8196" width="22.140625" style="2" customWidth="1"/>
    <col min="8197" max="8197" width="31.42578125" style="2" customWidth="1"/>
    <col min="8198" max="8198" width="29.7109375" style="2" customWidth="1"/>
    <col min="8199" max="8199" width="70.42578125" style="2" customWidth="1"/>
    <col min="8200" max="8200" width="62.28515625" style="2" customWidth="1"/>
    <col min="8201" max="8201" width="25.140625" style="2" customWidth="1"/>
    <col min="8202" max="8202" width="31.42578125" style="2" customWidth="1"/>
    <col min="8203" max="8203" width="31" style="2" customWidth="1"/>
    <col min="8204" max="8204" width="37" style="2" customWidth="1"/>
    <col min="8205" max="8205" width="30.140625" style="2" customWidth="1"/>
    <col min="8206" max="8206" width="30.42578125" style="2" customWidth="1"/>
    <col min="8207" max="8207" width="20.85546875" style="2" customWidth="1"/>
    <col min="8208" max="8210" width="11.42578125" style="2"/>
    <col min="8211" max="8211" width="14.42578125" style="2" customWidth="1"/>
    <col min="8212" max="8449" width="11.42578125" style="2"/>
    <col min="8450" max="8450" width="2.42578125" style="2" customWidth="1"/>
    <col min="8451" max="8451" width="30.42578125" style="2" customWidth="1"/>
    <col min="8452" max="8452" width="22.140625" style="2" customWidth="1"/>
    <col min="8453" max="8453" width="31.42578125" style="2" customWidth="1"/>
    <col min="8454" max="8454" width="29.7109375" style="2" customWidth="1"/>
    <col min="8455" max="8455" width="70.42578125" style="2" customWidth="1"/>
    <col min="8456" max="8456" width="62.28515625" style="2" customWidth="1"/>
    <col min="8457" max="8457" width="25.140625" style="2" customWidth="1"/>
    <col min="8458" max="8458" width="31.42578125" style="2" customWidth="1"/>
    <col min="8459" max="8459" width="31" style="2" customWidth="1"/>
    <col min="8460" max="8460" width="37" style="2" customWidth="1"/>
    <col min="8461" max="8461" width="30.140625" style="2" customWidth="1"/>
    <col min="8462" max="8462" width="30.42578125" style="2" customWidth="1"/>
    <col min="8463" max="8463" width="20.85546875" style="2" customWidth="1"/>
    <col min="8464" max="8466" width="11.42578125" style="2"/>
    <col min="8467" max="8467" width="14.42578125" style="2" customWidth="1"/>
    <col min="8468" max="8705" width="11.42578125" style="2"/>
    <col min="8706" max="8706" width="2.42578125" style="2" customWidth="1"/>
    <col min="8707" max="8707" width="30.42578125" style="2" customWidth="1"/>
    <col min="8708" max="8708" width="22.140625" style="2" customWidth="1"/>
    <col min="8709" max="8709" width="31.42578125" style="2" customWidth="1"/>
    <col min="8710" max="8710" width="29.7109375" style="2" customWidth="1"/>
    <col min="8711" max="8711" width="70.42578125" style="2" customWidth="1"/>
    <col min="8712" max="8712" width="62.28515625" style="2" customWidth="1"/>
    <col min="8713" max="8713" width="25.140625" style="2" customWidth="1"/>
    <col min="8714" max="8714" width="31.42578125" style="2" customWidth="1"/>
    <col min="8715" max="8715" width="31" style="2" customWidth="1"/>
    <col min="8716" max="8716" width="37" style="2" customWidth="1"/>
    <col min="8717" max="8717" width="30.140625" style="2" customWidth="1"/>
    <col min="8718" max="8718" width="30.42578125" style="2" customWidth="1"/>
    <col min="8719" max="8719" width="20.85546875" style="2" customWidth="1"/>
    <col min="8720" max="8722" width="11.42578125" style="2"/>
    <col min="8723" max="8723" width="14.42578125" style="2" customWidth="1"/>
    <col min="8724" max="8961" width="11.42578125" style="2"/>
    <col min="8962" max="8962" width="2.42578125" style="2" customWidth="1"/>
    <col min="8963" max="8963" width="30.42578125" style="2" customWidth="1"/>
    <col min="8964" max="8964" width="22.140625" style="2" customWidth="1"/>
    <col min="8965" max="8965" width="31.42578125" style="2" customWidth="1"/>
    <col min="8966" max="8966" width="29.7109375" style="2" customWidth="1"/>
    <col min="8967" max="8967" width="70.42578125" style="2" customWidth="1"/>
    <col min="8968" max="8968" width="62.28515625" style="2" customWidth="1"/>
    <col min="8969" max="8969" width="25.140625" style="2" customWidth="1"/>
    <col min="8970" max="8970" width="31.42578125" style="2" customWidth="1"/>
    <col min="8971" max="8971" width="31" style="2" customWidth="1"/>
    <col min="8972" max="8972" width="37" style="2" customWidth="1"/>
    <col min="8973" max="8973" width="30.140625" style="2" customWidth="1"/>
    <col min="8974" max="8974" width="30.42578125" style="2" customWidth="1"/>
    <col min="8975" max="8975" width="20.85546875" style="2" customWidth="1"/>
    <col min="8976" max="8978" width="11.42578125" style="2"/>
    <col min="8979" max="8979" width="14.42578125" style="2" customWidth="1"/>
    <col min="8980" max="9217" width="11.42578125" style="2"/>
    <col min="9218" max="9218" width="2.42578125" style="2" customWidth="1"/>
    <col min="9219" max="9219" width="30.42578125" style="2" customWidth="1"/>
    <col min="9220" max="9220" width="22.140625" style="2" customWidth="1"/>
    <col min="9221" max="9221" width="31.42578125" style="2" customWidth="1"/>
    <col min="9222" max="9222" width="29.7109375" style="2" customWidth="1"/>
    <col min="9223" max="9223" width="70.42578125" style="2" customWidth="1"/>
    <col min="9224" max="9224" width="62.28515625" style="2" customWidth="1"/>
    <col min="9225" max="9225" width="25.140625" style="2" customWidth="1"/>
    <col min="9226" max="9226" width="31.42578125" style="2" customWidth="1"/>
    <col min="9227" max="9227" width="31" style="2" customWidth="1"/>
    <col min="9228" max="9228" width="37" style="2" customWidth="1"/>
    <col min="9229" max="9229" width="30.140625" style="2" customWidth="1"/>
    <col min="9230" max="9230" width="30.42578125" style="2" customWidth="1"/>
    <col min="9231" max="9231" width="20.85546875" style="2" customWidth="1"/>
    <col min="9232" max="9234" width="11.42578125" style="2"/>
    <col min="9235" max="9235" width="14.42578125" style="2" customWidth="1"/>
    <col min="9236" max="9473" width="11.42578125" style="2"/>
    <col min="9474" max="9474" width="2.42578125" style="2" customWidth="1"/>
    <col min="9475" max="9475" width="30.42578125" style="2" customWidth="1"/>
    <col min="9476" max="9476" width="22.140625" style="2" customWidth="1"/>
    <col min="9477" max="9477" width="31.42578125" style="2" customWidth="1"/>
    <col min="9478" max="9478" width="29.7109375" style="2" customWidth="1"/>
    <col min="9479" max="9479" width="70.42578125" style="2" customWidth="1"/>
    <col min="9480" max="9480" width="62.28515625" style="2" customWidth="1"/>
    <col min="9481" max="9481" width="25.140625" style="2" customWidth="1"/>
    <col min="9482" max="9482" width="31.42578125" style="2" customWidth="1"/>
    <col min="9483" max="9483" width="31" style="2" customWidth="1"/>
    <col min="9484" max="9484" width="37" style="2" customWidth="1"/>
    <col min="9485" max="9485" width="30.140625" style="2" customWidth="1"/>
    <col min="9486" max="9486" width="30.42578125" style="2" customWidth="1"/>
    <col min="9487" max="9487" width="20.85546875" style="2" customWidth="1"/>
    <col min="9488" max="9490" width="11.42578125" style="2"/>
    <col min="9491" max="9491" width="14.42578125" style="2" customWidth="1"/>
    <col min="9492" max="9729" width="11.42578125" style="2"/>
    <col min="9730" max="9730" width="2.42578125" style="2" customWidth="1"/>
    <col min="9731" max="9731" width="30.42578125" style="2" customWidth="1"/>
    <col min="9732" max="9732" width="22.140625" style="2" customWidth="1"/>
    <col min="9733" max="9733" width="31.42578125" style="2" customWidth="1"/>
    <col min="9734" max="9734" width="29.7109375" style="2" customWidth="1"/>
    <col min="9735" max="9735" width="70.42578125" style="2" customWidth="1"/>
    <col min="9736" max="9736" width="62.28515625" style="2" customWidth="1"/>
    <col min="9737" max="9737" width="25.140625" style="2" customWidth="1"/>
    <col min="9738" max="9738" width="31.42578125" style="2" customWidth="1"/>
    <col min="9739" max="9739" width="31" style="2" customWidth="1"/>
    <col min="9740" max="9740" width="37" style="2" customWidth="1"/>
    <col min="9741" max="9741" width="30.140625" style="2" customWidth="1"/>
    <col min="9742" max="9742" width="30.42578125" style="2" customWidth="1"/>
    <col min="9743" max="9743" width="20.85546875" style="2" customWidth="1"/>
    <col min="9744" max="9746" width="11.42578125" style="2"/>
    <col min="9747" max="9747" width="14.42578125" style="2" customWidth="1"/>
    <col min="9748" max="9985" width="11.42578125" style="2"/>
    <col min="9986" max="9986" width="2.42578125" style="2" customWidth="1"/>
    <col min="9987" max="9987" width="30.42578125" style="2" customWidth="1"/>
    <col min="9988" max="9988" width="22.140625" style="2" customWidth="1"/>
    <col min="9989" max="9989" width="31.42578125" style="2" customWidth="1"/>
    <col min="9990" max="9990" width="29.7109375" style="2" customWidth="1"/>
    <col min="9991" max="9991" width="70.42578125" style="2" customWidth="1"/>
    <col min="9992" max="9992" width="62.28515625" style="2" customWidth="1"/>
    <col min="9993" max="9993" width="25.140625" style="2" customWidth="1"/>
    <col min="9994" max="9994" width="31.42578125" style="2" customWidth="1"/>
    <col min="9995" max="9995" width="31" style="2" customWidth="1"/>
    <col min="9996" max="9996" width="37" style="2" customWidth="1"/>
    <col min="9997" max="9997" width="30.140625" style="2" customWidth="1"/>
    <col min="9998" max="9998" width="30.42578125" style="2" customWidth="1"/>
    <col min="9999" max="9999" width="20.85546875" style="2" customWidth="1"/>
    <col min="10000" max="10002" width="11.42578125" style="2"/>
    <col min="10003" max="10003" width="14.42578125" style="2" customWidth="1"/>
    <col min="10004" max="10241" width="11.42578125" style="2"/>
    <col min="10242" max="10242" width="2.42578125" style="2" customWidth="1"/>
    <col min="10243" max="10243" width="30.42578125" style="2" customWidth="1"/>
    <col min="10244" max="10244" width="22.140625" style="2" customWidth="1"/>
    <col min="10245" max="10245" width="31.42578125" style="2" customWidth="1"/>
    <col min="10246" max="10246" width="29.7109375" style="2" customWidth="1"/>
    <col min="10247" max="10247" width="70.42578125" style="2" customWidth="1"/>
    <col min="10248" max="10248" width="62.28515625" style="2" customWidth="1"/>
    <col min="10249" max="10249" width="25.140625" style="2" customWidth="1"/>
    <col min="10250" max="10250" width="31.42578125" style="2" customWidth="1"/>
    <col min="10251" max="10251" width="31" style="2" customWidth="1"/>
    <col min="10252" max="10252" width="37" style="2" customWidth="1"/>
    <col min="10253" max="10253" width="30.140625" style="2" customWidth="1"/>
    <col min="10254" max="10254" width="30.42578125" style="2" customWidth="1"/>
    <col min="10255" max="10255" width="20.85546875" style="2" customWidth="1"/>
    <col min="10256" max="10258" width="11.42578125" style="2"/>
    <col min="10259" max="10259" width="14.42578125" style="2" customWidth="1"/>
    <col min="10260" max="10497" width="11.42578125" style="2"/>
    <col min="10498" max="10498" width="2.42578125" style="2" customWidth="1"/>
    <col min="10499" max="10499" width="30.42578125" style="2" customWidth="1"/>
    <col min="10500" max="10500" width="22.140625" style="2" customWidth="1"/>
    <col min="10501" max="10501" width="31.42578125" style="2" customWidth="1"/>
    <col min="10502" max="10502" width="29.7109375" style="2" customWidth="1"/>
    <col min="10503" max="10503" width="70.42578125" style="2" customWidth="1"/>
    <col min="10504" max="10504" width="62.28515625" style="2" customWidth="1"/>
    <col min="10505" max="10505" width="25.140625" style="2" customWidth="1"/>
    <col min="10506" max="10506" width="31.42578125" style="2" customWidth="1"/>
    <col min="10507" max="10507" width="31" style="2" customWidth="1"/>
    <col min="10508" max="10508" width="37" style="2" customWidth="1"/>
    <col min="10509" max="10509" width="30.140625" style="2" customWidth="1"/>
    <col min="10510" max="10510" width="30.42578125" style="2" customWidth="1"/>
    <col min="10511" max="10511" width="20.85546875" style="2" customWidth="1"/>
    <col min="10512" max="10514" width="11.42578125" style="2"/>
    <col min="10515" max="10515" width="14.42578125" style="2" customWidth="1"/>
    <col min="10516" max="10753" width="11.42578125" style="2"/>
    <col min="10754" max="10754" width="2.42578125" style="2" customWidth="1"/>
    <col min="10755" max="10755" width="30.42578125" style="2" customWidth="1"/>
    <col min="10756" max="10756" width="22.140625" style="2" customWidth="1"/>
    <col min="10757" max="10757" width="31.42578125" style="2" customWidth="1"/>
    <col min="10758" max="10758" width="29.7109375" style="2" customWidth="1"/>
    <col min="10759" max="10759" width="70.42578125" style="2" customWidth="1"/>
    <col min="10760" max="10760" width="62.28515625" style="2" customWidth="1"/>
    <col min="10761" max="10761" width="25.140625" style="2" customWidth="1"/>
    <col min="10762" max="10762" width="31.42578125" style="2" customWidth="1"/>
    <col min="10763" max="10763" width="31" style="2" customWidth="1"/>
    <col min="10764" max="10764" width="37" style="2" customWidth="1"/>
    <col min="10765" max="10765" width="30.140625" style="2" customWidth="1"/>
    <col min="10766" max="10766" width="30.42578125" style="2" customWidth="1"/>
    <col min="10767" max="10767" width="20.85546875" style="2" customWidth="1"/>
    <col min="10768" max="10770" width="11.42578125" style="2"/>
    <col min="10771" max="10771" width="14.42578125" style="2" customWidth="1"/>
    <col min="10772" max="11009" width="11.42578125" style="2"/>
    <col min="11010" max="11010" width="2.42578125" style="2" customWidth="1"/>
    <col min="11011" max="11011" width="30.42578125" style="2" customWidth="1"/>
    <col min="11012" max="11012" width="22.140625" style="2" customWidth="1"/>
    <col min="11013" max="11013" width="31.42578125" style="2" customWidth="1"/>
    <col min="11014" max="11014" width="29.7109375" style="2" customWidth="1"/>
    <col min="11015" max="11015" width="70.42578125" style="2" customWidth="1"/>
    <col min="11016" max="11016" width="62.28515625" style="2" customWidth="1"/>
    <col min="11017" max="11017" width="25.140625" style="2" customWidth="1"/>
    <col min="11018" max="11018" width="31.42578125" style="2" customWidth="1"/>
    <col min="11019" max="11019" width="31" style="2" customWidth="1"/>
    <col min="11020" max="11020" width="37" style="2" customWidth="1"/>
    <col min="11021" max="11021" width="30.140625" style="2" customWidth="1"/>
    <col min="11022" max="11022" width="30.42578125" style="2" customWidth="1"/>
    <col min="11023" max="11023" width="20.85546875" style="2" customWidth="1"/>
    <col min="11024" max="11026" width="11.42578125" style="2"/>
    <col min="11027" max="11027" width="14.42578125" style="2" customWidth="1"/>
    <col min="11028" max="11265" width="11.42578125" style="2"/>
    <col min="11266" max="11266" width="2.42578125" style="2" customWidth="1"/>
    <col min="11267" max="11267" width="30.42578125" style="2" customWidth="1"/>
    <col min="11268" max="11268" width="22.140625" style="2" customWidth="1"/>
    <col min="11269" max="11269" width="31.42578125" style="2" customWidth="1"/>
    <col min="11270" max="11270" width="29.7109375" style="2" customWidth="1"/>
    <col min="11271" max="11271" width="70.42578125" style="2" customWidth="1"/>
    <col min="11272" max="11272" width="62.28515625" style="2" customWidth="1"/>
    <col min="11273" max="11273" width="25.140625" style="2" customWidth="1"/>
    <col min="11274" max="11274" width="31.42578125" style="2" customWidth="1"/>
    <col min="11275" max="11275" width="31" style="2" customWidth="1"/>
    <col min="11276" max="11276" width="37" style="2" customWidth="1"/>
    <col min="11277" max="11277" width="30.140625" style="2" customWidth="1"/>
    <col min="11278" max="11278" width="30.42578125" style="2" customWidth="1"/>
    <col min="11279" max="11279" width="20.85546875" style="2" customWidth="1"/>
    <col min="11280" max="11282" width="11.42578125" style="2"/>
    <col min="11283" max="11283" width="14.42578125" style="2" customWidth="1"/>
    <col min="11284" max="11521" width="11.42578125" style="2"/>
    <col min="11522" max="11522" width="2.42578125" style="2" customWidth="1"/>
    <col min="11523" max="11523" width="30.42578125" style="2" customWidth="1"/>
    <col min="11524" max="11524" width="22.140625" style="2" customWidth="1"/>
    <col min="11525" max="11525" width="31.42578125" style="2" customWidth="1"/>
    <col min="11526" max="11526" width="29.7109375" style="2" customWidth="1"/>
    <col min="11527" max="11527" width="70.42578125" style="2" customWidth="1"/>
    <col min="11528" max="11528" width="62.28515625" style="2" customWidth="1"/>
    <col min="11529" max="11529" width="25.140625" style="2" customWidth="1"/>
    <col min="11530" max="11530" width="31.42578125" style="2" customWidth="1"/>
    <col min="11531" max="11531" width="31" style="2" customWidth="1"/>
    <col min="11532" max="11532" width="37" style="2" customWidth="1"/>
    <col min="11533" max="11533" width="30.140625" style="2" customWidth="1"/>
    <col min="11534" max="11534" width="30.42578125" style="2" customWidth="1"/>
    <col min="11535" max="11535" width="20.85546875" style="2" customWidth="1"/>
    <col min="11536" max="11538" width="11.42578125" style="2"/>
    <col min="11539" max="11539" width="14.42578125" style="2" customWidth="1"/>
    <col min="11540" max="11777" width="11.42578125" style="2"/>
    <col min="11778" max="11778" width="2.42578125" style="2" customWidth="1"/>
    <col min="11779" max="11779" width="30.42578125" style="2" customWidth="1"/>
    <col min="11780" max="11780" width="22.140625" style="2" customWidth="1"/>
    <col min="11781" max="11781" width="31.42578125" style="2" customWidth="1"/>
    <col min="11782" max="11782" width="29.7109375" style="2" customWidth="1"/>
    <col min="11783" max="11783" width="70.42578125" style="2" customWidth="1"/>
    <col min="11784" max="11784" width="62.28515625" style="2" customWidth="1"/>
    <col min="11785" max="11785" width="25.140625" style="2" customWidth="1"/>
    <col min="11786" max="11786" width="31.42578125" style="2" customWidth="1"/>
    <col min="11787" max="11787" width="31" style="2" customWidth="1"/>
    <col min="11788" max="11788" width="37" style="2" customWidth="1"/>
    <col min="11789" max="11789" width="30.140625" style="2" customWidth="1"/>
    <col min="11790" max="11790" width="30.42578125" style="2" customWidth="1"/>
    <col min="11791" max="11791" width="20.85546875" style="2" customWidth="1"/>
    <col min="11792" max="11794" width="11.42578125" style="2"/>
    <col min="11795" max="11795" width="14.42578125" style="2" customWidth="1"/>
    <col min="11796" max="12033" width="11.42578125" style="2"/>
    <col min="12034" max="12034" width="2.42578125" style="2" customWidth="1"/>
    <col min="12035" max="12035" width="30.42578125" style="2" customWidth="1"/>
    <col min="12036" max="12036" width="22.140625" style="2" customWidth="1"/>
    <col min="12037" max="12037" width="31.42578125" style="2" customWidth="1"/>
    <col min="12038" max="12038" width="29.7109375" style="2" customWidth="1"/>
    <col min="12039" max="12039" width="70.42578125" style="2" customWidth="1"/>
    <col min="12040" max="12040" width="62.28515625" style="2" customWidth="1"/>
    <col min="12041" max="12041" width="25.140625" style="2" customWidth="1"/>
    <col min="12042" max="12042" width="31.42578125" style="2" customWidth="1"/>
    <col min="12043" max="12043" width="31" style="2" customWidth="1"/>
    <col min="12044" max="12044" width="37" style="2" customWidth="1"/>
    <col min="12045" max="12045" width="30.140625" style="2" customWidth="1"/>
    <col min="12046" max="12046" width="30.42578125" style="2" customWidth="1"/>
    <col min="12047" max="12047" width="20.85546875" style="2" customWidth="1"/>
    <col min="12048" max="12050" width="11.42578125" style="2"/>
    <col min="12051" max="12051" width="14.42578125" style="2" customWidth="1"/>
    <col min="12052" max="12289" width="11.42578125" style="2"/>
    <col min="12290" max="12290" width="2.42578125" style="2" customWidth="1"/>
    <col min="12291" max="12291" width="30.42578125" style="2" customWidth="1"/>
    <col min="12292" max="12292" width="22.140625" style="2" customWidth="1"/>
    <col min="12293" max="12293" width="31.42578125" style="2" customWidth="1"/>
    <col min="12294" max="12294" width="29.7109375" style="2" customWidth="1"/>
    <col min="12295" max="12295" width="70.42578125" style="2" customWidth="1"/>
    <col min="12296" max="12296" width="62.28515625" style="2" customWidth="1"/>
    <col min="12297" max="12297" width="25.140625" style="2" customWidth="1"/>
    <col min="12298" max="12298" width="31.42578125" style="2" customWidth="1"/>
    <col min="12299" max="12299" width="31" style="2" customWidth="1"/>
    <col min="12300" max="12300" width="37" style="2" customWidth="1"/>
    <col min="12301" max="12301" width="30.140625" style="2" customWidth="1"/>
    <col min="12302" max="12302" width="30.42578125" style="2" customWidth="1"/>
    <col min="12303" max="12303" width="20.85546875" style="2" customWidth="1"/>
    <col min="12304" max="12306" width="11.42578125" style="2"/>
    <col min="12307" max="12307" width="14.42578125" style="2" customWidth="1"/>
    <col min="12308" max="12545" width="11.42578125" style="2"/>
    <col min="12546" max="12546" width="2.42578125" style="2" customWidth="1"/>
    <col min="12547" max="12547" width="30.42578125" style="2" customWidth="1"/>
    <col min="12548" max="12548" width="22.140625" style="2" customWidth="1"/>
    <col min="12549" max="12549" width="31.42578125" style="2" customWidth="1"/>
    <col min="12550" max="12550" width="29.7109375" style="2" customWidth="1"/>
    <col min="12551" max="12551" width="70.42578125" style="2" customWidth="1"/>
    <col min="12552" max="12552" width="62.28515625" style="2" customWidth="1"/>
    <col min="12553" max="12553" width="25.140625" style="2" customWidth="1"/>
    <col min="12554" max="12554" width="31.42578125" style="2" customWidth="1"/>
    <col min="12555" max="12555" width="31" style="2" customWidth="1"/>
    <col min="12556" max="12556" width="37" style="2" customWidth="1"/>
    <col min="12557" max="12557" width="30.140625" style="2" customWidth="1"/>
    <col min="12558" max="12558" width="30.42578125" style="2" customWidth="1"/>
    <col min="12559" max="12559" width="20.85546875" style="2" customWidth="1"/>
    <col min="12560" max="12562" width="11.42578125" style="2"/>
    <col min="12563" max="12563" width="14.42578125" style="2" customWidth="1"/>
    <col min="12564" max="12801" width="11.42578125" style="2"/>
    <col min="12802" max="12802" width="2.42578125" style="2" customWidth="1"/>
    <col min="12803" max="12803" width="30.42578125" style="2" customWidth="1"/>
    <col min="12804" max="12804" width="22.140625" style="2" customWidth="1"/>
    <col min="12805" max="12805" width="31.42578125" style="2" customWidth="1"/>
    <col min="12806" max="12806" width="29.7109375" style="2" customWidth="1"/>
    <col min="12807" max="12807" width="70.42578125" style="2" customWidth="1"/>
    <col min="12808" max="12808" width="62.28515625" style="2" customWidth="1"/>
    <col min="12809" max="12809" width="25.140625" style="2" customWidth="1"/>
    <col min="12810" max="12810" width="31.42578125" style="2" customWidth="1"/>
    <col min="12811" max="12811" width="31" style="2" customWidth="1"/>
    <col min="12812" max="12812" width="37" style="2" customWidth="1"/>
    <col min="12813" max="12813" width="30.140625" style="2" customWidth="1"/>
    <col min="12814" max="12814" width="30.42578125" style="2" customWidth="1"/>
    <col min="12815" max="12815" width="20.85546875" style="2" customWidth="1"/>
    <col min="12816" max="12818" width="11.42578125" style="2"/>
    <col min="12819" max="12819" width="14.42578125" style="2" customWidth="1"/>
    <col min="12820" max="13057" width="11.42578125" style="2"/>
    <col min="13058" max="13058" width="2.42578125" style="2" customWidth="1"/>
    <col min="13059" max="13059" width="30.42578125" style="2" customWidth="1"/>
    <col min="13060" max="13060" width="22.140625" style="2" customWidth="1"/>
    <col min="13061" max="13061" width="31.42578125" style="2" customWidth="1"/>
    <col min="13062" max="13062" width="29.7109375" style="2" customWidth="1"/>
    <col min="13063" max="13063" width="70.42578125" style="2" customWidth="1"/>
    <col min="13064" max="13064" width="62.28515625" style="2" customWidth="1"/>
    <col min="13065" max="13065" width="25.140625" style="2" customWidth="1"/>
    <col min="13066" max="13066" width="31.42578125" style="2" customWidth="1"/>
    <col min="13067" max="13067" width="31" style="2" customWidth="1"/>
    <col min="13068" max="13068" width="37" style="2" customWidth="1"/>
    <col min="13069" max="13069" width="30.140625" style="2" customWidth="1"/>
    <col min="13070" max="13070" width="30.42578125" style="2" customWidth="1"/>
    <col min="13071" max="13071" width="20.85546875" style="2" customWidth="1"/>
    <col min="13072" max="13074" width="11.42578125" style="2"/>
    <col min="13075" max="13075" width="14.42578125" style="2" customWidth="1"/>
    <col min="13076" max="13313" width="11.42578125" style="2"/>
    <col min="13314" max="13314" width="2.42578125" style="2" customWidth="1"/>
    <col min="13315" max="13315" width="30.42578125" style="2" customWidth="1"/>
    <col min="13316" max="13316" width="22.140625" style="2" customWidth="1"/>
    <col min="13317" max="13317" width="31.42578125" style="2" customWidth="1"/>
    <col min="13318" max="13318" width="29.7109375" style="2" customWidth="1"/>
    <col min="13319" max="13319" width="70.42578125" style="2" customWidth="1"/>
    <col min="13320" max="13320" width="62.28515625" style="2" customWidth="1"/>
    <col min="13321" max="13321" width="25.140625" style="2" customWidth="1"/>
    <col min="13322" max="13322" width="31.42578125" style="2" customWidth="1"/>
    <col min="13323" max="13323" width="31" style="2" customWidth="1"/>
    <col min="13324" max="13324" width="37" style="2" customWidth="1"/>
    <col min="13325" max="13325" width="30.140625" style="2" customWidth="1"/>
    <col min="13326" max="13326" width="30.42578125" style="2" customWidth="1"/>
    <col min="13327" max="13327" width="20.85546875" style="2" customWidth="1"/>
    <col min="13328" max="13330" width="11.42578125" style="2"/>
    <col min="13331" max="13331" width="14.42578125" style="2" customWidth="1"/>
    <col min="13332" max="13569" width="11.42578125" style="2"/>
    <col min="13570" max="13570" width="2.42578125" style="2" customWidth="1"/>
    <col min="13571" max="13571" width="30.42578125" style="2" customWidth="1"/>
    <col min="13572" max="13572" width="22.140625" style="2" customWidth="1"/>
    <col min="13573" max="13573" width="31.42578125" style="2" customWidth="1"/>
    <col min="13574" max="13574" width="29.7109375" style="2" customWidth="1"/>
    <col min="13575" max="13575" width="70.42578125" style="2" customWidth="1"/>
    <col min="13576" max="13576" width="62.28515625" style="2" customWidth="1"/>
    <col min="13577" max="13577" width="25.140625" style="2" customWidth="1"/>
    <col min="13578" max="13578" width="31.42578125" style="2" customWidth="1"/>
    <col min="13579" max="13579" width="31" style="2" customWidth="1"/>
    <col min="13580" max="13580" width="37" style="2" customWidth="1"/>
    <col min="13581" max="13581" width="30.140625" style="2" customWidth="1"/>
    <col min="13582" max="13582" width="30.42578125" style="2" customWidth="1"/>
    <col min="13583" max="13583" width="20.85546875" style="2" customWidth="1"/>
    <col min="13584" max="13586" width="11.42578125" style="2"/>
    <col min="13587" max="13587" width="14.42578125" style="2" customWidth="1"/>
    <col min="13588" max="13825" width="11.42578125" style="2"/>
    <col min="13826" max="13826" width="2.42578125" style="2" customWidth="1"/>
    <col min="13827" max="13827" width="30.42578125" style="2" customWidth="1"/>
    <col min="13828" max="13828" width="22.140625" style="2" customWidth="1"/>
    <col min="13829" max="13829" width="31.42578125" style="2" customWidth="1"/>
    <col min="13830" max="13830" width="29.7109375" style="2" customWidth="1"/>
    <col min="13831" max="13831" width="70.42578125" style="2" customWidth="1"/>
    <col min="13832" max="13832" width="62.28515625" style="2" customWidth="1"/>
    <col min="13833" max="13833" width="25.140625" style="2" customWidth="1"/>
    <col min="13834" max="13834" width="31.42578125" style="2" customWidth="1"/>
    <col min="13835" max="13835" width="31" style="2" customWidth="1"/>
    <col min="13836" max="13836" width="37" style="2" customWidth="1"/>
    <col min="13837" max="13837" width="30.140625" style="2" customWidth="1"/>
    <col min="13838" max="13838" width="30.42578125" style="2" customWidth="1"/>
    <col min="13839" max="13839" width="20.85546875" style="2" customWidth="1"/>
    <col min="13840" max="13842" width="11.42578125" style="2"/>
    <col min="13843" max="13843" width="14.42578125" style="2" customWidth="1"/>
    <col min="13844" max="14081" width="11.42578125" style="2"/>
    <col min="14082" max="14082" width="2.42578125" style="2" customWidth="1"/>
    <col min="14083" max="14083" width="30.42578125" style="2" customWidth="1"/>
    <col min="14084" max="14084" width="22.140625" style="2" customWidth="1"/>
    <col min="14085" max="14085" width="31.42578125" style="2" customWidth="1"/>
    <col min="14086" max="14086" width="29.7109375" style="2" customWidth="1"/>
    <col min="14087" max="14087" width="70.42578125" style="2" customWidth="1"/>
    <col min="14088" max="14088" width="62.28515625" style="2" customWidth="1"/>
    <col min="14089" max="14089" width="25.140625" style="2" customWidth="1"/>
    <col min="14090" max="14090" width="31.42578125" style="2" customWidth="1"/>
    <col min="14091" max="14091" width="31" style="2" customWidth="1"/>
    <col min="14092" max="14092" width="37" style="2" customWidth="1"/>
    <col min="14093" max="14093" width="30.140625" style="2" customWidth="1"/>
    <col min="14094" max="14094" width="30.42578125" style="2" customWidth="1"/>
    <col min="14095" max="14095" width="20.85546875" style="2" customWidth="1"/>
    <col min="14096" max="14098" width="11.42578125" style="2"/>
    <col min="14099" max="14099" width="14.42578125" style="2" customWidth="1"/>
    <col min="14100" max="14337" width="11.42578125" style="2"/>
    <col min="14338" max="14338" width="2.42578125" style="2" customWidth="1"/>
    <col min="14339" max="14339" width="30.42578125" style="2" customWidth="1"/>
    <col min="14340" max="14340" width="22.140625" style="2" customWidth="1"/>
    <col min="14341" max="14341" width="31.42578125" style="2" customWidth="1"/>
    <col min="14342" max="14342" width="29.7109375" style="2" customWidth="1"/>
    <col min="14343" max="14343" width="70.42578125" style="2" customWidth="1"/>
    <col min="14344" max="14344" width="62.28515625" style="2" customWidth="1"/>
    <col min="14345" max="14345" width="25.140625" style="2" customWidth="1"/>
    <col min="14346" max="14346" width="31.42578125" style="2" customWidth="1"/>
    <col min="14347" max="14347" width="31" style="2" customWidth="1"/>
    <col min="14348" max="14348" width="37" style="2" customWidth="1"/>
    <col min="14349" max="14349" width="30.140625" style="2" customWidth="1"/>
    <col min="14350" max="14350" width="30.42578125" style="2" customWidth="1"/>
    <col min="14351" max="14351" width="20.85546875" style="2" customWidth="1"/>
    <col min="14352" max="14354" width="11.42578125" style="2"/>
    <col min="14355" max="14355" width="14.42578125" style="2" customWidth="1"/>
    <col min="14356" max="14593" width="11.42578125" style="2"/>
    <col min="14594" max="14594" width="2.42578125" style="2" customWidth="1"/>
    <col min="14595" max="14595" width="30.42578125" style="2" customWidth="1"/>
    <col min="14596" max="14596" width="22.140625" style="2" customWidth="1"/>
    <col min="14597" max="14597" width="31.42578125" style="2" customWidth="1"/>
    <col min="14598" max="14598" width="29.7109375" style="2" customWidth="1"/>
    <col min="14599" max="14599" width="70.42578125" style="2" customWidth="1"/>
    <col min="14600" max="14600" width="62.28515625" style="2" customWidth="1"/>
    <col min="14601" max="14601" width="25.140625" style="2" customWidth="1"/>
    <col min="14602" max="14602" width="31.42578125" style="2" customWidth="1"/>
    <col min="14603" max="14603" width="31" style="2" customWidth="1"/>
    <col min="14604" max="14604" width="37" style="2" customWidth="1"/>
    <col min="14605" max="14605" width="30.140625" style="2" customWidth="1"/>
    <col min="14606" max="14606" width="30.42578125" style="2" customWidth="1"/>
    <col min="14607" max="14607" width="20.85546875" style="2" customWidth="1"/>
    <col min="14608" max="14610" width="11.42578125" style="2"/>
    <col min="14611" max="14611" width="14.42578125" style="2" customWidth="1"/>
    <col min="14612" max="14849" width="11.42578125" style="2"/>
    <col min="14850" max="14850" width="2.42578125" style="2" customWidth="1"/>
    <col min="14851" max="14851" width="30.42578125" style="2" customWidth="1"/>
    <col min="14852" max="14852" width="22.140625" style="2" customWidth="1"/>
    <col min="14853" max="14853" width="31.42578125" style="2" customWidth="1"/>
    <col min="14854" max="14854" width="29.7109375" style="2" customWidth="1"/>
    <col min="14855" max="14855" width="70.42578125" style="2" customWidth="1"/>
    <col min="14856" max="14856" width="62.28515625" style="2" customWidth="1"/>
    <col min="14857" max="14857" width="25.140625" style="2" customWidth="1"/>
    <col min="14858" max="14858" width="31.42578125" style="2" customWidth="1"/>
    <col min="14859" max="14859" width="31" style="2" customWidth="1"/>
    <col min="14860" max="14860" width="37" style="2" customWidth="1"/>
    <col min="14861" max="14861" width="30.140625" style="2" customWidth="1"/>
    <col min="14862" max="14862" width="30.42578125" style="2" customWidth="1"/>
    <col min="14863" max="14863" width="20.85546875" style="2" customWidth="1"/>
    <col min="14864" max="14866" width="11.42578125" style="2"/>
    <col min="14867" max="14867" width="14.42578125" style="2" customWidth="1"/>
    <col min="14868" max="15105" width="11.42578125" style="2"/>
    <col min="15106" max="15106" width="2.42578125" style="2" customWidth="1"/>
    <col min="15107" max="15107" width="30.42578125" style="2" customWidth="1"/>
    <col min="15108" max="15108" width="22.140625" style="2" customWidth="1"/>
    <col min="15109" max="15109" width="31.42578125" style="2" customWidth="1"/>
    <col min="15110" max="15110" width="29.7109375" style="2" customWidth="1"/>
    <col min="15111" max="15111" width="70.42578125" style="2" customWidth="1"/>
    <col min="15112" max="15112" width="62.28515625" style="2" customWidth="1"/>
    <col min="15113" max="15113" width="25.140625" style="2" customWidth="1"/>
    <col min="15114" max="15114" width="31.42578125" style="2" customWidth="1"/>
    <col min="15115" max="15115" width="31" style="2" customWidth="1"/>
    <col min="15116" max="15116" width="37" style="2" customWidth="1"/>
    <col min="15117" max="15117" width="30.140625" style="2" customWidth="1"/>
    <col min="15118" max="15118" width="30.42578125" style="2" customWidth="1"/>
    <col min="15119" max="15119" width="20.85546875" style="2" customWidth="1"/>
    <col min="15120" max="15122" width="11.42578125" style="2"/>
    <col min="15123" max="15123" width="14.42578125" style="2" customWidth="1"/>
    <col min="15124" max="15361" width="11.42578125" style="2"/>
    <col min="15362" max="15362" width="2.42578125" style="2" customWidth="1"/>
    <col min="15363" max="15363" width="30.42578125" style="2" customWidth="1"/>
    <col min="15364" max="15364" width="22.140625" style="2" customWidth="1"/>
    <col min="15365" max="15365" width="31.42578125" style="2" customWidth="1"/>
    <col min="15366" max="15366" width="29.7109375" style="2" customWidth="1"/>
    <col min="15367" max="15367" width="70.42578125" style="2" customWidth="1"/>
    <col min="15368" max="15368" width="62.28515625" style="2" customWidth="1"/>
    <col min="15369" max="15369" width="25.140625" style="2" customWidth="1"/>
    <col min="15370" max="15370" width="31.42578125" style="2" customWidth="1"/>
    <col min="15371" max="15371" width="31" style="2" customWidth="1"/>
    <col min="15372" max="15372" width="37" style="2" customWidth="1"/>
    <col min="15373" max="15373" width="30.140625" style="2" customWidth="1"/>
    <col min="15374" max="15374" width="30.42578125" style="2" customWidth="1"/>
    <col min="15375" max="15375" width="20.85546875" style="2" customWidth="1"/>
    <col min="15376" max="15378" width="11.42578125" style="2"/>
    <col min="15379" max="15379" width="14.42578125" style="2" customWidth="1"/>
    <col min="15380" max="15617" width="11.42578125" style="2"/>
    <col min="15618" max="15618" width="2.42578125" style="2" customWidth="1"/>
    <col min="15619" max="15619" width="30.42578125" style="2" customWidth="1"/>
    <col min="15620" max="15620" width="22.140625" style="2" customWidth="1"/>
    <col min="15621" max="15621" width="31.42578125" style="2" customWidth="1"/>
    <col min="15622" max="15622" width="29.7109375" style="2" customWidth="1"/>
    <col min="15623" max="15623" width="70.42578125" style="2" customWidth="1"/>
    <col min="15624" max="15624" width="62.28515625" style="2" customWidth="1"/>
    <col min="15625" max="15625" width="25.140625" style="2" customWidth="1"/>
    <col min="15626" max="15626" width="31.42578125" style="2" customWidth="1"/>
    <col min="15627" max="15627" width="31" style="2" customWidth="1"/>
    <col min="15628" max="15628" width="37" style="2" customWidth="1"/>
    <col min="15629" max="15629" width="30.140625" style="2" customWidth="1"/>
    <col min="15630" max="15630" width="30.42578125" style="2" customWidth="1"/>
    <col min="15631" max="15631" width="20.85546875" style="2" customWidth="1"/>
    <col min="15632" max="15634" width="11.42578125" style="2"/>
    <col min="15635" max="15635" width="14.42578125" style="2" customWidth="1"/>
    <col min="15636" max="15873" width="11.42578125" style="2"/>
    <col min="15874" max="15874" width="2.42578125" style="2" customWidth="1"/>
    <col min="15875" max="15875" width="30.42578125" style="2" customWidth="1"/>
    <col min="15876" max="15876" width="22.140625" style="2" customWidth="1"/>
    <col min="15877" max="15877" width="31.42578125" style="2" customWidth="1"/>
    <col min="15878" max="15878" width="29.7109375" style="2" customWidth="1"/>
    <col min="15879" max="15879" width="70.42578125" style="2" customWidth="1"/>
    <col min="15880" max="15880" width="62.28515625" style="2" customWidth="1"/>
    <col min="15881" max="15881" width="25.140625" style="2" customWidth="1"/>
    <col min="15882" max="15882" width="31.42578125" style="2" customWidth="1"/>
    <col min="15883" max="15883" width="31" style="2" customWidth="1"/>
    <col min="15884" max="15884" width="37" style="2" customWidth="1"/>
    <col min="15885" max="15885" width="30.140625" style="2" customWidth="1"/>
    <col min="15886" max="15886" width="30.42578125" style="2" customWidth="1"/>
    <col min="15887" max="15887" width="20.85546875" style="2" customWidth="1"/>
    <col min="15888" max="15890" width="11.42578125" style="2"/>
    <col min="15891" max="15891" width="14.42578125" style="2" customWidth="1"/>
    <col min="15892" max="16129" width="11.42578125" style="2"/>
    <col min="16130" max="16130" width="2.42578125" style="2" customWidth="1"/>
    <col min="16131" max="16131" width="30.42578125" style="2" customWidth="1"/>
    <col min="16132" max="16132" width="22.140625" style="2" customWidth="1"/>
    <col min="16133" max="16133" width="31.42578125" style="2" customWidth="1"/>
    <col min="16134" max="16134" width="29.7109375" style="2" customWidth="1"/>
    <col min="16135" max="16135" width="70.42578125" style="2" customWidth="1"/>
    <col min="16136" max="16136" width="62.28515625" style="2" customWidth="1"/>
    <col min="16137" max="16137" width="25.140625" style="2" customWidth="1"/>
    <col min="16138" max="16138" width="31.42578125" style="2" customWidth="1"/>
    <col min="16139" max="16139" width="31" style="2" customWidth="1"/>
    <col min="16140" max="16140" width="37" style="2" customWidth="1"/>
    <col min="16141" max="16141" width="30.140625" style="2" customWidth="1"/>
    <col min="16142" max="16142" width="30.42578125" style="2" customWidth="1"/>
    <col min="16143" max="16143" width="20.85546875" style="2" customWidth="1"/>
    <col min="16144" max="16146" width="11.42578125" style="2"/>
    <col min="16147" max="16147" width="14.42578125" style="2" customWidth="1"/>
    <col min="16148" max="16384" width="11.42578125" style="2"/>
  </cols>
  <sheetData>
    <row r="1" spans="2:26" ht="62.25" thickBot="1" x14ac:dyDescent="0.25">
      <c r="B1" s="454" t="s">
        <v>463</v>
      </c>
      <c r="C1" s="454"/>
      <c r="D1" s="454"/>
      <c r="E1" s="454"/>
      <c r="F1" s="454"/>
      <c r="G1" s="454"/>
      <c r="H1" s="454"/>
      <c r="I1" s="454"/>
      <c r="J1" s="454"/>
      <c r="K1" s="189"/>
      <c r="L1" s="190"/>
      <c r="Z1" s="11">
        <v>504881</v>
      </c>
    </row>
    <row r="2" spans="2:26" ht="32.25" thickBot="1" x14ac:dyDescent="0.25">
      <c r="B2" s="455" t="s">
        <v>515</v>
      </c>
      <c r="C2" s="455"/>
      <c r="D2" s="455"/>
      <c r="E2" s="455"/>
      <c r="F2" s="455"/>
      <c r="G2" s="455"/>
      <c r="H2" s="455"/>
      <c r="I2" s="455"/>
      <c r="J2" s="455"/>
      <c r="K2" s="191"/>
      <c r="L2" s="192"/>
      <c r="Z2" s="11">
        <v>53564</v>
      </c>
    </row>
    <row r="3" spans="2:26" ht="33" thickTop="1" thickBot="1" x14ac:dyDescent="0.25">
      <c r="B3" s="193" t="s">
        <v>464</v>
      </c>
      <c r="C3" s="194" t="s">
        <v>465</v>
      </c>
      <c r="D3" s="194" t="s">
        <v>148</v>
      </c>
      <c r="E3" s="195" t="s">
        <v>466</v>
      </c>
      <c r="F3" s="196" t="s">
        <v>467</v>
      </c>
      <c r="G3" s="196" t="s">
        <v>468</v>
      </c>
      <c r="H3" s="197" t="s">
        <v>469</v>
      </c>
      <c r="I3" s="197" t="s">
        <v>470</v>
      </c>
      <c r="J3" s="197" t="s">
        <v>471</v>
      </c>
      <c r="K3" s="198" t="s">
        <v>58</v>
      </c>
      <c r="L3" s="199" t="s">
        <v>149</v>
      </c>
    </row>
    <row r="4" spans="2:26" ht="11.45" customHeight="1" thickTop="1" thickBot="1" x14ac:dyDescent="0.25">
      <c r="B4" s="200"/>
      <c r="C4" s="201"/>
      <c r="D4" s="201"/>
      <c r="E4" s="201"/>
      <c r="F4" s="202"/>
      <c r="G4" s="203"/>
      <c r="H4" s="204"/>
      <c r="I4" s="204"/>
      <c r="J4" s="204"/>
      <c r="K4" s="205"/>
    </row>
    <row r="5" spans="2:26" ht="22.5" thickTop="1" thickBot="1" x14ac:dyDescent="0.25">
      <c r="B5" s="452" t="s">
        <v>472</v>
      </c>
      <c r="C5" s="452"/>
      <c r="D5" s="452"/>
      <c r="E5" s="452"/>
      <c r="F5" s="452"/>
      <c r="G5" s="452"/>
      <c r="H5" s="452"/>
      <c r="I5" s="452"/>
      <c r="J5" s="443"/>
      <c r="K5" s="456" t="s">
        <v>546</v>
      </c>
    </row>
    <row r="6" spans="2:26" ht="111.95" customHeight="1" thickTop="1" thickBot="1" x14ac:dyDescent="0.35">
      <c r="B6" s="206">
        <v>44934</v>
      </c>
      <c r="C6" s="207">
        <f>'8 ENERO'!C67</f>
        <v>26</v>
      </c>
      <c r="D6" s="207">
        <f>'8 ENERO'!B67</f>
        <v>66</v>
      </c>
      <c r="E6" s="208" t="s">
        <v>473</v>
      </c>
      <c r="F6" s="209" t="s">
        <v>474</v>
      </c>
      <c r="G6" s="210"/>
      <c r="H6" s="211">
        <f>'8 ENERO'!G67</f>
        <v>11516634</v>
      </c>
      <c r="I6" s="212"/>
      <c r="J6" s="213"/>
      <c r="K6" s="456"/>
    </row>
    <row r="7" spans="2:26" ht="23.25" customHeight="1" thickTop="1" thickBot="1" x14ac:dyDescent="0.35">
      <c r="B7" s="206">
        <v>44934</v>
      </c>
      <c r="C7" s="207">
        <f>'8 ENERO'!U25</f>
        <v>4</v>
      </c>
      <c r="D7" s="207">
        <f>'8 ENERO'!T25</f>
        <v>12</v>
      </c>
      <c r="E7" s="214"/>
      <c r="F7" s="215" t="s">
        <v>475</v>
      </c>
      <c r="G7" s="210"/>
      <c r="H7" s="211">
        <f>'8 ENERO'!Y25</f>
        <v>2847476</v>
      </c>
      <c r="I7" s="212"/>
      <c r="J7" s="213"/>
      <c r="K7" s="456"/>
      <c r="L7" s="216"/>
      <c r="P7" s="217"/>
    </row>
    <row r="8" spans="2:26" ht="78.95" customHeight="1" thickTop="1" thickBot="1" x14ac:dyDescent="0.35">
      <c r="B8" s="206">
        <v>44934</v>
      </c>
      <c r="C8" s="207">
        <f>'8 ENERO'!L25</f>
        <v>2</v>
      </c>
      <c r="D8" s="207">
        <f>'8 ENERO'!K25</f>
        <v>3</v>
      </c>
      <c r="E8" s="214"/>
      <c r="F8" s="215" t="s">
        <v>476</v>
      </c>
      <c r="G8" s="210"/>
      <c r="H8" s="211">
        <f>'8 ENERO'!P25</f>
        <v>682585</v>
      </c>
      <c r="I8" s="212"/>
      <c r="J8" s="213"/>
      <c r="K8" s="456"/>
      <c r="L8" s="216"/>
    </row>
    <row r="9" spans="2:26" ht="21.95" customHeight="1" thickTop="1" thickBot="1" x14ac:dyDescent="0.35">
      <c r="B9" s="206"/>
      <c r="C9" s="218"/>
      <c r="D9" s="218"/>
      <c r="E9" s="214"/>
      <c r="F9" s="215"/>
      <c r="G9" s="210"/>
      <c r="H9" s="211"/>
      <c r="I9" s="212"/>
      <c r="J9" s="213"/>
      <c r="K9" s="442">
        <v>31815123</v>
      </c>
      <c r="L9" s="2"/>
    </row>
    <row r="10" spans="2:26" ht="21.95" customHeight="1" thickTop="1" thickBot="1" x14ac:dyDescent="0.35">
      <c r="B10" s="206"/>
      <c r="C10" s="218"/>
      <c r="D10" s="218"/>
      <c r="E10" s="214"/>
      <c r="F10" s="215"/>
      <c r="G10" s="210"/>
      <c r="H10" s="211"/>
      <c r="I10" s="212"/>
      <c r="J10" s="213"/>
      <c r="K10" s="442"/>
      <c r="L10" s="219" t="s">
        <v>374</v>
      </c>
      <c r="M10" s="220" t="s">
        <v>477</v>
      </c>
    </row>
    <row r="11" spans="2:26" ht="24.75" thickTop="1" thickBot="1" x14ac:dyDescent="0.4">
      <c r="B11" s="206"/>
      <c r="C11" s="218"/>
      <c r="D11" s="218"/>
      <c r="E11" s="214"/>
      <c r="G11" s="210"/>
      <c r="H11" s="211"/>
      <c r="I11" s="212"/>
      <c r="J11" s="221"/>
      <c r="K11" s="442"/>
      <c r="L11" s="222">
        <f>SUM(H6:I11)</f>
        <v>15046695</v>
      </c>
      <c r="M11" s="223">
        <f>L11+K9+L19+L28+L55+L37+L46+L64</f>
        <v>121707164</v>
      </c>
      <c r="N11" s="99"/>
      <c r="O11" s="99"/>
      <c r="Q11" s="111"/>
    </row>
    <row r="12" spans="2:26" ht="22.5" thickTop="1" thickBot="1" x14ac:dyDescent="0.35">
      <c r="B12" s="206" t="s">
        <v>31</v>
      </c>
      <c r="C12" s="207">
        <f>SUM(C6:C8)</f>
        <v>32</v>
      </c>
      <c r="D12" s="207">
        <f>SUM(D6:D8)</f>
        <v>81</v>
      </c>
      <c r="E12" s="207">
        <f>SUM(E6:E11)</f>
        <v>0</v>
      </c>
      <c r="F12" s="215"/>
      <c r="G12" s="210"/>
      <c r="H12" s="224">
        <f>SUM(H6:H11)</f>
        <v>15046695</v>
      </c>
      <c r="I12" s="225">
        <f>SUM(I11)</f>
        <v>0</v>
      </c>
      <c r="J12" s="226">
        <v>0</v>
      </c>
      <c r="K12" s="442"/>
      <c r="L12" s="227"/>
      <c r="M12" s="21"/>
      <c r="N12" s="21"/>
      <c r="O12" s="21"/>
      <c r="P12" s="21"/>
    </row>
    <row r="13" spans="2:26" ht="12.75" customHeight="1" thickTop="1" thickBot="1" x14ac:dyDescent="0.4">
      <c r="B13" s="228"/>
      <c r="C13" s="229"/>
      <c r="D13" s="229"/>
      <c r="E13" s="229"/>
      <c r="F13" s="230"/>
      <c r="G13" s="230"/>
      <c r="H13" s="231"/>
      <c r="I13" s="231"/>
      <c r="J13" s="232" t="s">
        <v>478</v>
      </c>
      <c r="K13" s="233"/>
      <c r="L13" s="227"/>
      <c r="M13" s="21"/>
      <c r="N13" s="21"/>
      <c r="O13" s="21"/>
      <c r="P13" s="21"/>
    </row>
    <row r="14" spans="2:26" ht="21.95" customHeight="1" thickTop="1" thickBot="1" x14ac:dyDescent="0.25">
      <c r="B14" s="452" t="s">
        <v>472</v>
      </c>
      <c r="C14" s="452"/>
      <c r="D14" s="452"/>
      <c r="E14" s="452"/>
      <c r="F14" s="452"/>
      <c r="G14" s="452"/>
      <c r="H14" s="452"/>
      <c r="I14" s="452"/>
      <c r="J14" s="443"/>
      <c r="K14" s="453"/>
      <c r="L14" s="234"/>
      <c r="N14" s="21"/>
      <c r="O14" s="21"/>
      <c r="P14" s="21"/>
      <c r="Q14" s="235"/>
    </row>
    <row r="15" spans="2:26" ht="22.5" thickTop="1" thickBot="1" x14ac:dyDescent="0.35">
      <c r="B15" s="206">
        <v>44935</v>
      </c>
      <c r="C15" s="207">
        <f>'9 ENERO '!C67</f>
        <v>21</v>
      </c>
      <c r="D15" s="207">
        <f>'9 ENERO '!B67</f>
        <v>57</v>
      </c>
      <c r="E15" s="214"/>
      <c r="F15" s="209" t="s">
        <v>474</v>
      </c>
      <c r="G15" s="210"/>
      <c r="H15" s="211">
        <f>'9 ENERO '!G67</f>
        <v>9638455</v>
      </c>
      <c r="I15" s="212"/>
      <c r="J15" s="213"/>
      <c r="K15" s="453"/>
    </row>
    <row r="16" spans="2:26" ht="22.5" thickTop="1" thickBot="1" x14ac:dyDescent="0.35">
      <c r="B16" s="206">
        <v>44935</v>
      </c>
      <c r="C16" s="207">
        <f>'9 ENERO '!U25</f>
        <v>4</v>
      </c>
      <c r="D16" s="207">
        <f>'9 ENERO '!T25</f>
        <v>12</v>
      </c>
      <c r="E16" s="214"/>
      <c r="F16" s="215" t="s">
        <v>475</v>
      </c>
      <c r="G16" s="210"/>
      <c r="H16" s="211">
        <f>'9 ENERO '!Y25</f>
        <v>2847476</v>
      </c>
      <c r="I16" s="212"/>
      <c r="J16" s="213"/>
      <c r="K16" s="453"/>
      <c r="L16" s="216"/>
      <c r="P16" s="99"/>
    </row>
    <row r="17" spans="2:20" ht="47.1" customHeight="1" thickTop="1" thickBot="1" x14ac:dyDescent="0.4">
      <c r="B17" s="206">
        <v>44935</v>
      </c>
      <c r="C17" s="207">
        <f>'9 ENERO '!L25</f>
        <v>2</v>
      </c>
      <c r="D17" s="207">
        <f>'9 ENERO '!K25</f>
        <v>3</v>
      </c>
      <c r="E17" s="214"/>
      <c r="F17" s="215" t="s">
        <v>476</v>
      </c>
      <c r="G17" s="210"/>
      <c r="H17" s="211">
        <f>'9 ENERO '!P25</f>
        <v>682585</v>
      </c>
      <c r="I17" s="212"/>
      <c r="J17" s="213"/>
      <c r="K17" s="453"/>
      <c r="L17" s="216"/>
      <c r="S17" s="236"/>
    </row>
    <row r="18" spans="2:20" ht="27" thickTop="1" thickBot="1" x14ac:dyDescent="0.4">
      <c r="B18" s="206"/>
      <c r="C18" s="207"/>
      <c r="D18" s="207"/>
      <c r="E18" s="214"/>
      <c r="F18" s="215"/>
      <c r="G18" s="210"/>
      <c r="H18" s="211"/>
      <c r="I18" s="212"/>
      <c r="J18" s="213"/>
      <c r="K18" s="442"/>
      <c r="L18" s="219" t="s">
        <v>374</v>
      </c>
      <c r="M18" s="220" t="s">
        <v>477</v>
      </c>
      <c r="S18" s="236"/>
    </row>
    <row r="19" spans="2:20" ht="27" thickTop="1" thickBot="1" x14ac:dyDescent="0.4">
      <c r="B19" s="206"/>
      <c r="C19" s="207"/>
      <c r="D19" s="207"/>
      <c r="E19" s="214"/>
      <c r="F19" s="215"/>
      <c r="G19" s="210"/>
      <c r="H19" s="211"/>
      <c r="I19" s="212"/>
      <c r="J19" s="213"/>
      <c r="K19" s="442"/>
      <c r="L19" s="437">
        <f>SUM(H15:I20)</f>
        <v>13168516</v>
      </c>
      <c r="M19" s="433"/>
      <c r="P19" s="217"/>
      <c r="S19" s="236"/>
    </row>
    <row r="20" spans="2:20" ht="27" thickTop="1" thickBot="1" x14ac:dyDescent="0.4">
      <c r="B20" s="206"/>
      <c r="C20" s="207"/>
      <c r="D20" s="207"/>
      <c r="E20" s="214"/>
      <c r="F20" s="215"/>
      <c r="G20" s="210"/>
      <c r="H20" s="211"/>
      <c r="I20" s="212"/>
      <c r="J20" s="237"/>
      <c r="K20" s="442"/>
      <c r="L20" s="438"/>
      <c r="M20" s="434"/>
      <c r="N20" s="99"/>
      <c r="O20" s="111"/>
      <c r="P20" s="99"/>
      <c r="S20" s="236"/>
    </row>
    <row r="21" spans="2:20" ht="27" thickTop="1" thickBot="1" x14ac:dyDescent="0.4">
      <c r="B21" s="206" t="s">
        <v>479</v>
      </c>
      <c r="C21" s="207">
        <f>SUM(C15:C20)</f>
        <v>27</v>
      </c>
      <c r="D21" s="207">
        <f>SUM(D15:D20)</f>
        <v>72</v>
      </c>
      <c r="E21" s="214">
        <f>SUM(E15:E20)</f>
        <v>0</v>
      </c>
      <c r="F21" s="215"/>
      <c r="G21" s="210"/>
      <c r="H21" s="224">
        <f>SUM(H15:H20)</f>
        <v>13168516</v>
      </c>
      <c r="I21" s="224"/>
      <c r="J21" s="238">
        <v>0</v>
      </c>
      <c r="K21" s="442"/>
      <c r="L21" s="227"/>
      <c r="M21" s="21" t="s">
        <v>473</v>
      </c>
      <c r="N21" s="99"/>
      <c r="S21" s="236"/>
    </row>
    <row r="22" spans="2:20" ht="6.75" customHeight="1" thickTop="1" thickBot="1" x14ac:dyDescent="0.4">
      <c r="B22" s="200"/>
      <c r="C22" s="207"/>
      <c r="D22" s="207"/>
      <c r="E22" s="201"/>
      <c r="F22" s="202"/>
      <c r="G22" s="203"/>
      <c r="H22" s="239"/>
      <c r="I22" s="239"/>
      <c r="J22" s="240"/>
      <c r="K22" s="240"/>
      <c r="L22" s="227"/>
      <c r="M22" s="21"/>
      <c r="S22" s="241"/>
    </row>
    <row r="23" spans="2:20" ht="21.95" customHeight="1" thickTop="1" thickBot="1" x14ac:dyDescent="0.4">
      <c r="B23" s="452" t="s">
        <v>472</v>
      </c>
      <c r="C23" s="452"/>
      <c r="D23" s="452"/>
      <c r="E23" s="452"/>
      <c r="F23" s="452"/>
      <c r="G23" s="452"/>
      <c r="H23" s="452"/>
      <c r="I23" s="452"/>
      <c r="J23" s="443"/>
      <c r="K23" s="453"/>
      <c r="L23" s="234"/>
      <c r="N23" s="21"/>
      <c r="O23" s="21"/>
      <c r="P23" s="21"/>
      <c r="Q23" s="235"/>
      <c r="S23" s="242"/>
    </row>
    <row r="24" spans="2:20" ht="27" thickTop="1" thickBot="1" x14ac:dyDescent="0.4">
      <c r="B24" s="206">
        <v>44941</v>
      </c>
      <c r="C24" s="243">
        <f>'15 ENERO'!C67</f>
        <v>26</v>
      </c>
      <c r="D24" s="208">
        <f>'15 ENERO'!B67</f>
        <v>73</v>
      </c>
      <c r="E24" s="214"/>
      <c r="F24" s="209" t="s">
        <v>474</v>
      </c>
      <c r="G24" s="210"/>
      <c r="H24" s="211">
        <f>'15 ENERO'!G67</f>
        <v>11959136</v>
      </c>
      <c r="I24" s="212"/>
      <c r="J24" s="213"/>
      <c r="K24" s="453"/>
      <c r="S24" s="241"/>
    </row>
    <row r="25" spans="2:20" ht="31.5" thickTop="1" thickBot="1" x14ac:dyDescent="0.45">
      <c r="B25" s="206">
        <v>44941</v>
      </c>
      <c r="C25" s="218">
        <f>'15 ENERO'!U25</f>
        <v>4</v>
      </c>
      <c r="D25" s="218">
        <f>'15 ENERO'!T25</f>
        <v>11</v>
      </c>
      <c r="E25" s="214"/>
      <c r="F25" s="215" t="s">
        <v>475</v>
      </c>
      <c r="G25" s="210"/>
      <c r="H25" s="211">
        <f>'15 ENERO'!Y25</f>
        <v>2793899</v>
      </c>
      <c r="I25" s="212"/>
      <c r="J25" s="213"/>
      <c r="K25" s="453"/>
      <c r="L25" s="216"/>
      <c r="P25" s="99"/>
      <c r="S25" s="241"/>
      <c r="T25" s="244"/>
    </row>
    <row r="26" spans="2:20" ht="42.6" customHeight="1" thickTop="1" thickBot="1" x14ac:dyDescent="0.5">
      <c r="B26" s="206">
        <v>44941</v>
      </c>
      <c r="C26" s="218">
        <f>'15 ENERO'!L25</f>
        <v>1</v>
      </c>
      <c r="D26" s="218">
        <f>'15 ENERO'!K25</f>
        <v>3</v>
      </c>
      <c r="E26" s="214"/>
      <c r="F26" s="215" t="s">
        <v>476</v>
      </c>
      <c r="G26" s="210"/>
      <c r="H26" s="211">
        <f>'15 ENERO'!P25</f>
        <v>682585</v>
      </c>
      <c r="I26" s="212"/>
      <c r="J26" s="213"/>
      <c r="K26" s="453"/>
      <c r="L26" s="216"/>
      <c r="T26" s="245"/>
    </row>
    <row r="27" spans="2:20" ht="27" thickTop="1" thickBot="1" x14ac:dyDescent="0.4">
      <c r="B27" s="246"/>
      <c r="C27" s="218"/>
      <c r="D27" s="218"/>
      <c r="E27" s="214"/>
      <c r="F27" s="215"/>
      <c r="G27" s="210"/>
      <c r="H27" s="211"/>
      <c r="I27" s="212"/>
      <c r="J27" s="213"/>
      <c r="K27" s="442"/>
      <c r="L27" s="219" t="s">
        <v>374</v>
      </c>
      <c r="M27" s="220" t="s">
        <v>477</v>
      </c>
      <c r="S27" s="241"/>
    </row>
    <row r="28" spans="2:20" ht="22.5" thickTop="1" thickBot="1" x14ac:dyDescent="0.35">
      <c r="B28" s="246"/>
      <c r="C28" s="218"/>
      <c r="D28" s="218"/>
      <c r="E28" s="214"/>
      <c r="F28" s="215"/>
      <c r="G28" s="210"/>
      <c r="H28" s="211"/>
      <c r="I28" s="212"/>
      <c r="J28" s="213"/>
      <c r="K28" s="442"/>
      <c r="L28" s="437">
        <f>SUM(H24:I29)</f>
        <v>15435620</v>
      </c>
      <c r="M28" s="433"/>
      <c r="P28" s="217"/>
    </row>
    <row r="29" spans="2:20" ht="22.5" thickTop="1" thickBot="1" x14ac:dyDescent="0.35">
      <c r="B29" s="246"/>
      <c r="C29" s="218"/>
      <c r="D29" s="218"/>
      <c r="E29" s="214"/>
      <c r="F29" s="215"/>
      <c r="G29" s="210"/>
      <c r="H29" s="211"/>
      <c r="I29" s="212"/>
      <c r="J29" s="237"/>
      <c r="K29" s="442"/>
      <c r="L29" s="438"/>
      <c r="M29" s="434"/>
      <c r="N29" s="99"/>
      <c r="O29" s="111"/>
      <c r="P29" s="99"/>
    </row>
    <row r="30" spans="2:20" ht="22.5" thickTop="1" thickBot="1" x14ac:dyDescent="0.35">
      <c r="B30" s="206" t="s">
        <v>31</v>
      </c>
      <c r="C30" s="218">
        <f>SUM(C24:C29)</f>
        <v>31</v>
      </c>
      <c r="D30" s="218">
        <f>SUM(D24:D29)</f>
        <v>87</v>
      </c>
      <c r="E30" s="214">
        <f>SUM(E24:E29)</f>
        <v>0</v>
      </c>
      <c r="F30" s="215"/>
      <c r="G30" s="210"/>
      <c r="H30" s="224">
        <f>SUM(H24:H29)</f>
        <v>15435620</v>
      </c>
      <c r="I30" s="224">
        <f>SUM(I24:I29)</f>
        <v>0</v>
      </c>
      <c r="J30" s="238">
        <v>0</v>
      </c>
      <c r="K30" s="442"/>
      <c r="L30" s="227"/>
      <c r="M30" s="21" t="s">
        <v>473</v>
      </c>
      <c r="N30" s="99"/>
    </row>
    <row r="31" spans="2:20" ht="18.600000000000001" customHeight="1" thickTop="1" thickBot="1" x14ac:dyDescent="0.35">
      <c r="B31" s="247"/>
      <c r="C31" s="248"/>
      <c r="D31" s="248"/>
      <c r="E31" s="249"/>
      <c r="F31" s="250"/>
      <c r="G31" s="251"/>
      <c r="H31" s="252"/>
      <c r="I31" s="252"/>
      <c r="J31" s="253"/>
      <c r="K31" s="254"/>
      <c r="L31" s="227"/>
      <c r="M31" s="21"/>
      <c r="N31" s="99"/>
    </row>
    <row r="32" spans="2:20" ht="21.95" customHeight="1" thickTop="1" thickBot="1" x14ac:dyDescent="0.4">
      <c r="B32" s="452" t="s">
        <v>472</v>
      </c>
      <c r="C32" s="452"/>
      <c r="D32" s="452"/>
      <c r="E32" s="452"/>
      <c r="F32" s="452"/>
      <c r="G32" s="452"/>
      <c r="H32" s="452"/>
      <c r="I32" s="452"/>
      <c r="J32" s="443"/>
      <c r="K32" s="453"/>
      <c r="L32" s="234"/>
      <c r="N32" s="21"/>
      <c r="O32" s="21"/>
      <c r="P32" s="21"/>
      <c r="Q32" s="235"/>
      <c r="S32" s="242"/>
    </row>
    <row r="33" spans="2:20" ht="27" thickTop="1" thickBot="1" x14ac:dyDescent="0.4">
      <c r="B33" s="206">
        <v>44948</v>
      </c>
      <c r="C33" s="208">
        <f>'22 ENERO'!C67</f>
        <v>26</v>
      </c>
      <c r="D33" s="208">
        <f>'22 ENERO'!B67</f>
        <v>72</v>
      </c>
      <c r="E33" s="214"/>
      <c r="F33" s="209" t="s">
        <v>474</v>
      </c>
      <c r="G33" s="210"/>
      <c r="H33" s="211">
        <f>'22 ENERO'!G67</f>
        <v>11862438</v>
      </c>
      <c r="I33" s="212"/>
      <c r="J33" s="213"/>
      <c r="K33" s="453"/>
      <c r="S33" s="241"/>
    </row>
    <row r="34" spans="2:20" ht="31.5" thickTop="1" thickBot="1" x14ac:dyDescent="0.45">
      <c r="B34" s="206">
        <v>44948</v>
      </c>
      <c r="C34" s="218">
        <f>'22 ENERO'!U25</f>
        <v>4</v>
      </c>
      <c r="D34" s="218">
        <f>'22 ENERO'!T25</f>
        <v>13</v>
      </c>
      <c r="E34" s="214"/>
      <c r="F34" s="215" t="s">
        <v>475</v>
      </c>
      <c r="G34" s="210"/>
      <c r="H34" s="211">
        <f>'22 ENERO'!Y25</f>
        <v>2902147</v>
      </c>
      <c r="I34" s="212"/>
      <c r="J34" s="213"/>
      <c r="K34" s="453"/>
      <c r="L34" s="216"/>
      <c r="P34" s="99"/>
      <c r="S34" s="241"/>
      <c r="T34" s="244"/>
    </row>
    <row r="35" spans="2:20" ht="42.6" customHeight="1" thickTop="1" thickBot="1" x14ac:dyDescent="0.5">
      <c r="B35" s="206">
        <v>44948</v>
      </c>
      <c r="C35" s="218">
        <f>'22 ENERO'!L25</f>
        <v>3</v>
      </c>
      <c r="D35" s="218">
        <f>'22 ENERO'!K25</f>
        <v>4</v>
      </c>
      <c r="E35" s="214"/>
      <c r="F35" s="215" t="s">
        <v>476</v>
      </c>
      <c r="G35" s="210"/>
      <c r="H35" s="211">
        <f>'22 ENERO'!P25</f>
        <v>1011982</v>
      </c>
      <c r="I35" s="212"/>
      <c r="J35" s="213"/>
      <c r="K35" s="453"/>
      <c r="L35" s="216"/>
      <c r="T35" s="245"/>
    </row>
    <row r="36" spans="2:20" ht="27" thickTop="1" thickBot="1" x14ac:dyDescent="0.4">
      <c r="B36" s="206"/>
      <c r="C36" s="218"/>
      <c r="D36" s="218"/>
      <c r="E36" s="214"/>
      <c r="F36" s="215"/>
      <c r="G36" s="210"/>
      <c r="H36" s="211"/>
      <c r="I36" s="212"/>
      <c r="J36" s="213"/>
      <c r="K36" s="442"/>
      <c r="L36" s="219" t="s">
        <v>374</v>
      </c>
      <c r="M36" s="220" t="s">
        <v>477</v>
      </c>
      <c r="S36" s="241"/>
    </row>
    <row r="37" spans="2:20" ht="22.5" thickTop="1" thickBot="1" x14ac:dyDescent="0.35">
      <c r="B37" s="206"/>
      <c r="C37" s="218"/>
      <c r="D37" s="218"/>
      <c r="E37" s="214"/>
      <c r="F37" s="215"/>
      <c r="G37" s="210"/>
      <c r="H37" s="211"/>
      <c r="I37" s="212"/>
      <c r="J37" s="213"/>
      <c r="K37" s="442"/>
      <c r="L37" s="437">
        <f>SUM(H33:I38)</f>
        <v>15776567</v>
      </c>
      <c r="M37" s="433"/>
      <c r="P37" s="217"/>
    </row>
    <row r="38" spans="2:20" ht="22.5" thickTop="1" thickBot="1" x14ac:dyDescent="0.35">
      <c r="B38" s="206"/>
      <c r="C38" s="218"/>
      <c r="D38" s="218"/>
      <c r="E38" s="214"/>
      <c r="F38" s="215"/>
      <c r="G38" s="210"/>
      <c r="H38" s="211"/>
      <c r="I38" s="212"/>
      <c r="J38" s="237"/>
      <c r="K38" s="442"/>
      <c r="L38" s="438"/>
      <c r="M38" s="434"/>
      <c r="N38" s="99"/>
      <c r="O38" s="111"/>
      <c r="P38" s="99"/>
    </row>
    <row r="39" spans="2:20" ht="22.5" thickTop="1" thickBot="1" x14ac:dyDescent="0.35">
      <c r="B39" s="206" t="s">
        <v>31</v>
      </c>
      <c r="C39" s="218">
        <f>SUM(C33:C38)</f>
        <v>33</v>
      </c>
      <c r="D39" s="218">
        <f>SUM(D33:D38)</f>
        <v>89</v>
      </c>
      <c r="E39" s="214">
        <f>SUM(E33:E38)</f>
        <v>0</v>
      </c>
      <c r="F39" s="215"/>
      <c r="G39" s="210"/>
      <c r="H39" s="224">
        <f>SUM(H33:H38)</f>
        <v>15776567</v>
      </c>
      <c r="I39" s="224">
        <f>SUM(I33:I38)</f>
        <v>0</v>
      </c>
      <c r="J39" s="238">
        <v>0</v>
      </c>
      <c r="K39" s="442"/>
      <c r="L39" s="227"/>
      <c r="M39" s="21" t="s">
        <v>473</v>
      </c>
      <c r="N39" s="99"/>
    </row>
    <row r="40" spans="2:20" ht="18.600000000000001" customHeight="1" thickTop="1" thickBot="1" x14ac:dyDescent="0.35">
      <c r="B40" s="247"/>
      <c r="C40" s="248"/>
      <c r="D40" s="248"/>
      <c r="E40" s="249"/>
      <c r="F40" s="250"/>
      <c r="G40" s="251"/>
      <c r="H40" s="252"/>
      <c r="I40" s="252"/>
      <c r="J40" s="253"/>
      <c r="K40" s="254"/>
      <c r="L40" s="227"/>
      <c r="M40" s="21"/>
      <c r="N40" s="99"/>
    </row>
    <row r="41" spans="2:20" ht="21.95" customHeight="1" thickTop="1" thickBot="1" x14ac:dyDescent="0.4">
      <c r="B41" s="452" t="s">
        <v>472</v>
      </c>
      <c r="C41" s="452"/>
      <c r="D41" s="452"/>
      <c r="E41" s="452"/>
      <c r="F41" s="452"/>
      <c r="G41" s="452"/>
      <c r="H41" s="452"/>
      <c r="I41" s="452"/>
      <c r="J41" s="443"/>
      <c r="K41" s="453"/>
      <c r="L41" s="234"/>
      <c r="N41" s="21"/>
      <c r="O41" s="21"/>
      <c r="P41" s="21"/>
      <c r="Q41" s="235"/>
      <c r="S41" s="242"/>
    </row>
    <row r="42" spans="2:20" ht="27" thickTop="1" thickBot="1" x14ac:dyDescent="0.4">
      <c r="B42" s="206">
        <v>44955</v>
      </c>
      <c r="C42" s="208">
        <f>'29 ENERO '!C67</f>
        <v>26</v>
      </c>
      <c r="D42" s="208">
        <f>'29 ENERO '!B67</f>
        <v>79</v>
      </c>
      <c r="E42" s="214"/>
      <c r="F42" s="209" t="s">
        <v>474</v>
      </c>
      <c r="G42" s="210"/>
      <c r="H42" s="211">
        <f>'29 ENERO '!G67</f>
        <v>12323753</v>
      </c>
      <c r="I42" s="212"/>
      <c r="J42" s="213"/>
      <c r="K42" s="453"/>
      <c r="S42" s="241"/>
    </row>
    <row r="43" spans="2:20" ht="31.5" thickTop="1" thickBot="1" x14ac:dyDescent="0.45">
      <c r="B43" s="206">
        <v>44955</v>
      </c>
      <c r="C43" s="218">
        <f>'29 ENERO '!U25</f>
        <v>4</v>
      </c>
      <c r="D43" s="218">
        <f>'29 ENERO '!T25</f>
        <v>16</v>
      </c>
      <c r="E43" s="214"/>
      <c r="F43" s="215" t="s">
        <v>475</v>
      </c>
      <c r="G43" s="210"/>
      <c r="H43" s="211">
        <f>'29 ENERO '!Y25</f>
        <v>3073650</v>
      </c>
      <c r="I43" s="212"/>
      <c r="J43" s="213"/>
      <c r="K43" s="453"/>
      <c r="L43" s="216"/>
      <c r="P43" s="99"/>
      <c r="S43" s="241"/>
      <c r="T43" s="244"/>
    </row>
    <row r="44" spans="2:20" ht="42.6" customHeight="1" thickTop="1" thickBot="1" x14ac:dyDescent="0.5">
      <c r="B44" s="206">
        <v>44955</v>
      </c>
      <c r="C44" s="218">
        <f>'29 ENERO '!L25</f>
        <v>2</v>
      </c>
      <c r="D44" s="218">
        <f>'29 ENERO '!K25</f>
        <v>3</v>
      </c>
      <c r="E44" s="214"/>
      <c r="F44" s="215" t="s">
        <v>476</v>
      </c>
      <c r="G44" s="210"/>
      <c r="H44" s="211">
        <f>'29 ENERO '!P25</f>
        <v>682585</v>
      </c>
      <c r="I44" s="212"/>
      <c r="J44" s="213"/>
      <c r="K44" s="453"/>
      <c r="L44" s="216"/>
      <c r="T44" s="245"/>
    </row>
    <row r="45" spans="2:20" ht="27" thickTop="1" thickBot="1" x14ac:dyDescent="0.4">
      <c r="B45" s="206"/>
      <c r="C45" s="218"/>
      <c r="D45" s="218"/>
      <c r="E45" s="214"/>
      <c r="F45" s="215"/>
      <c r="G45" s="210"/>
      <c r="H45" s="211"/>
      <c r="I45" s="212"/>
      <c r="J45" s="213"/>
      <c r="K45" s="442"/>
      <c r="L45" s="219" t="s">
        <v>374</v>
      </c>
      <c r="M45" s="220" t="s">
        <v>477</v>
      </c>
      <c r="S45" s="241"/>
    </row>
    <row r="46" spans="2:20" ht="22.5" thickTop="1" thickBot="1" x14ac:dyDescent="0.35">
      <c r="B46" s="206"/>
      <c r="C46" s="218"/>
      <c r="D46" s="218"/>
      <c r="E46" s="214"/>
      <c r="F46" s="215"/>
      <c r="G46" s="210"/>
      <c r="H46" s="211"/>
      <c r="I46" s="212"/>
      <c r="J46" s="213"/>
      <c r="K46" s="442"/>
      <c r="L46" s="437">
        <f>SUM(H42:I47)</f>
        <v>16079988</v>
      </c>
      <c r="M46" s="433"/>
      <c r="P46" s="217"/>
    </row>
    <row r="47" spans="2:20" ht="22.5" thickTop="1" thickBot="1" x14ac:dyDescent="0.35">
      <c r="B47" s="206"/>
      <c r="C47" s="218"/>
      <c r="D47" s="218"/>
      <c r="E47" s="214"/>
      <c r="F47" s="215"/>
      <c r="G47" s="210"/>
      <c r="H47" s="211"/>
      <c r="I47" s="212"/>
      <c r="J47" s="237"/>
      <c r="K47" s="442"/>
      <c r="L47" s="438"/>
      <c r="M47" s="434"/>
      <c r="N47" s="99"/>
      <c r="O47" s="111"/>
      <c r="P47" s="99"/>
    </row>
    <row r="48" spans="2:20" ht="22.5" thickTop="1" thickBot="1" x14ac:dyDescent="0.35">
      <c r="B48" s="206" t="s">
        <v>31</v>
      </c>
      <c r="C48" s="218">
        <f>SUM(C42:C47)</f>
        <v>32</v>
      </c>
      <c r="D48" s="218">
        <f>SUM(D42:D47)</f>
        <v>98</v>
      </c>
      <c r="E48" s="214">
        <f>SUM(E42:E47)</f>
        <v>0</v>
      </c>
      <c r="F48" s="215"/>
      <c r="G48" s="210"/>
      <c r="H48" s="224">
        <f>SUM(H42:H47)</f>
        <v>16079988</v>
      </c>
      <c r="I48" s="224">
        <f>SUM(I42:I47)</f>
        <v>0</v>
      </c>
      <c r="J48" s="238">
        <v>0</v>
      </c>
      <c r="K48" s="442"/>
      <c r="L48" s="227"/>
      <c r="M48" s="21" t="s">
        <v>473</v>
      </c>
      <c r="N48" s="99"/>
    </row>
    <row r="49" spans="2:17" ht="18.600000000000001" customHeight="1" thickTop="1" thickBot="1" x14ac:dyDescent="0.35">
      <c r="B49" s="247"/>
      <c r="C49" s="248"/>
      <c r="D49" s="248"/>
      <c r="E49" s="249"/>
      <c r="F49" s="250"/>
      <c r="G49" s="251"/>
      <c r="H49" s="252"/>
      <c r="I49" s="252"/>
      <c r="J49" s="253"/>
      <c r="K49" s="254"/>
      <c r="L49" s="227"/>
      <c r="M49" s="21"/>
      <c r="N49" s="99"/>
    </row>
    <row r="50" spans="2:17" ht="21.75" customHeight="1" thickTop="1" thickBot="1" x14ac:dyDescent="0.25">
      <c r="B50" s="443" t="s">
        <v>472</v>
      </c>
      <c r="C50" s="444"/>
      <c r="D50" s="444"/>
      <c r="E50" s="444"/>
      <c r="F50" s="444"/>
      <c r="G50" s="444"/>
      <c r="H50" s="444"/>
      <c r="I50" s="444"/>
      <c r="J50" s="445"/>
      <c r="K50" s="446"/>
      <c r="L50" s="234"/>
      <c r="N50" s="21"/>
      <c r="O50" s="21"/>
      <c r="P50" s="21"/>
      <c r="Q50" s="235"/>
    </row>
    <row r="51" spans="2:17" ht="22.5" thickTop="1" thickBot="1" x14ac:dyDescent="0.35">
      <c r="B51" s="246">
        <v>44959</v>
      </c>
      <c r="C51" s="208">
        <f>'02 FEBRERO MAÑANA '!C67</f>
        <v>14</v>
      </c>
      <c r="D51" s="208">
        <f>'02 FEBRERO MAÑANA '!B67</f>
        <v>54</v>
      </c>
      <c r="E51" s="214"/>
      <c r="F51" s="209" t="s">
        <v>474</v>
      </c>
      <c r="G51" s="210"/>
      <c r="H51" s="211">
        <f>'02 FEBRERO MAÑANA '!G67</f>
        <v>4517446</v>
      </c>
      <c r="I51" s="212"/>
      <c r="J51" s="213"/>
      <c r="K51" s="447"/>
    </row>
    <row r="52" spans="2:17" ht="22.5" thickTop="1" thickBot="1" x14ac:dyDescent="0.35">
      <c r="B52" s="246">
        <v>44959</v>
      </c>
      <c r="C52" s="218">
        <f>'02 FEBRERO MAÑANA '!U25</f>
        <v>2</v>
      </c>
      <c r="D52" s="218">
        <f>'02 FEBRERO MAÑANA '!T25</f>
        <v>22</v>
      </c>
      <c r="E52" s="214"/>
      <c r="F52" s="215" t="s">
        <v>475</v>
      </c>
      <c r="G52" s="210"/>
      <c r="H52" s="211">
        <f>'02 FEBRERO MAÑANA '!Y25</f>
        <v>2298785</v>
      </c>
      <c r="I52" s="212"/>
      <c r="J52" s="213"/>
      <c r="K52" s="447"/>
      <c r="L52" s="216"/>
      <c r="P52" s="99"/>
    </row>
    <row r="53" spans="2:17" ht="52.35" customHeight="1" thickTop="1" thickBot="1" x14ac:dyDescent="0.35">
      <c r="B53" s="246">
        <v>44959</v>
      </c>
      <c r="C53" s="218">
        <f>'02 FEBRERO MAÑANA '!L25</f>
        <v>1</v>
      </c>
      <c r="D53" s="218">
        <f>'02 FEBRERO MAÑANA '!K25</f>
        <v>4</v>
      </c>
      <c r="E53" s="214"/>
      <c r="F53" s="215" t="s">
        <v>476</v>
      </c>
      <c r="G53" s="210"/>
      <c r="H53" s="211">
        <f>'02 FEBRERO MAÑANA '!P25</f>
        <v>509192</v>
      </c>
      <c r="I53" s="212"/>
      <c r="J53" s="213"/>
      <c r="K53" s="448"/>
      <c r="L53" s="216"/>
    </row>
    <row r="54" spans="2:17" ht="22.5" thickTop="1" thickBot="1" x14ac:dyDescent="0.35">
      <c r="B54" s="206"/>
      <c r="C54" s="218"/>
      <c r="D54" s="218"/>
      <c r="E54" s="214"/>
      <c r="F54" s="215"/>
      <c r="G54" s="210"/>
      <c r="H54" s="211"/>
      <c r="I54" s="212"/>
      <c r="J54" s="213"/>
      <c r="K54" s="449"/>
      <c r="L54" s="219" t="s">
        <v>374</v>
      </c>
      <c r="M54" s="220" t="s">
        <v>477</v>
      </c>
    </row>
    <row r="55" spans="2:17" ht="22.35" customHeight="1" thickTop="1" thickBot="1" x14ac:dyDescent="0.35">
      <c r="B55" s="206"/>
      <c r="C55" s="218"/>
      <c r="D55" s="218"/>
      <c r="E55" s="214"/>
      <c r="F55" s="215"/>
      <c r="G55" s="210"/>
      <c r="H55" s="211"/>
      <c r="I55" s="212"/>
      <c r="J55" s="213"/>
      <c r="K55" s="450"/>
      <c r="L55" s="431">
        <f>SUM(H51:I56)</f>
        <v>7325423</v>
      </c>
      <c r="M55" s="433"/>
      <c r="P55" s="217"/>
    </row>
    <row r="56" spans="2:17" ht="22.35" customHeight="1" thickTop="1" thickBot="1" x14ac:dyDescent="0.35">
      <c r="B56" s="206"/>
      <c r="C56" s="218"/>
      <c r="D56" s="218"/>
      <c r="E56" s="214"/>
      <c r="F56" s="215"/>
      <c r="G56" s="210"/>
      <c r="H56" s="211"/>
      <c r="I56" s="212"/>
      <c r="J56" s="237"/>
      <c r="K56" s="450"/>
      <c r="L56" s="432"/>
      <c r="M56" s="434"/>
      <c r="N56" s="99"/>
      <c r="O56" s="111"/>
      <c r="P56" s="99"/>
    </row>
    <row r="57" spans="2:17" ht="22.5" thickTop="1" thickBot="1" x14ac:dyDescent="0.35">
      <c r="B57" s="206" t="s">
        <v>31</v>
      </c>
      <c r="C57" s="218">
        <f>SUM(C51:C56)</f>
        <v>17</v>
      </c>
      <c r="D57" s="218">
        <f>SUM(D51:D56)</f>
        <v>80</v>
      </c>
      <c r="E57" s="214">
        <f>SUM(E51:E56)</f>
        <v>0</v>
      </c>
      <c r="F57" s="215"/>
      <c r="G57" s="210"/>
      <c r="H57" s="224">
        <f>SUM(H51:H56)</f>
        <v>7325423</v>
      </c>
      <c r="I57" s="224">
        <f>SUM(I51:I56)</f>
        <v>0</v>
      </c>
      <c r="J57" s="238">
        <v>0</v>
      </c>
      <c r="K57" s="451"/>
      <c r="L57" s="227"/>
      <c r="M57" s="21" t="s">
        <v>473</v>
      </c>
      <c r="N57" s="99"/>
    </row>
    <row r="58" spans="2:17" ht="14.1" customHeight="1" thickTop="1" thickBot="1" x14ac:dyDescent="0.35">
      <c r="B58" s="247"/>
      <c r="C58" s="248"/>
      <c r="D58" s="248"/>
      <c r="E58" s="249"/>
      <c r="F58" s="250"/>
      <c r="G58" s="251"/>
      <c r="H58" s="252"/>
      <c r="I58" s="252"/>
      <c r="J58" s="253"/>
      <c r="K58" s="254"/>
      <c r="L58" s="227"/>
      <c r="M58" s="21"/>
      <c r="N58" s="99"/>
    </row>
    <row r="59" spans="2:17" ht="21.95" customHeight="1" thickTop="1" thickBot="1" x14ac:dyDescent="0.25">
      <c r="B59" s="443" t="s">
        <v>472</v>
      </c>
      <c r="C59" s="444"/>
      <c r="D59" s="444"/>
      <c r="E59" s="444"/>
      <c r="F59" s="444"/>
      <c r="G59" s="444"/>
      <c r="H59" s="444"/>
      <c r="I59" s="444"/>
      <c r="J59" s="445"/>
      <c r="K59" s="446"/>
      <c r="L59" s="234"/>
      <c r="N59" s="21"/>
      <c r="O59" s="21"/>
      <c r="P59" s="21"/>
      <c r="Q59" s="235"/>
    </row>
    <row r="60" spans="2:17" ht="22.5" thickTop="1" thickBot="1" x14ac:dyDescent="0.35">
      <c r="B60" s="246">
        <v>44959</v>
      </c>
      <c r="C60" s="208">
        <f>'02 FEBRERO TARDE'!C67</f>
        <v>14</v>
      </c>
      <c r="D60" s="208">
        <f>'02 FEBRERO TARDE'!B67</f>
        <v>53</v>
      </c>
      <c r="E60" s="214"/>
      <c r="F60" s="209" t="s">
        <v>474</v>
      </c>
      <c r="G60" s="210"/>
      <c r="H60" s="211">
        <f>'02 FEBRERO TARDE'!G67</f>
        <v>4397999</v>
      </c>
      <c r="I60" s="212"/>
      <c r="J60" s="213"/>
      <c r="K60" s="447"/>
    </row>
    <row r="61" spans="2:17" ht="22.5" thickTop="1" thickBot="1" x14ac:dyDescent="0.35">
      <c r="B61" s="246">
        <v>44959</v>
      </c>
      <c r="C61" s="218">
        <f>'02 FEBRERO TARDE'!U25</f>
        <v>3</v>
      </c>
      <c r="D61" s="208">
        <f>'02 FEBRERO TARDE'!T25</f>
        <v>7</v>
      </c>
      <c r="E61" s="214"/>
      <c r="F61" s="215" t="s">
        <v>475</v>
      </c>
      <c r="G61" s="210"/>
      <c r="H61" s="211">
        <f>'02 FEBRERO TARDE'!Y25</f>
        <v>2661233</v>
      </c>
      <c r="I61" s="212"/>
      <c r="J61" s="213"/>
      <c r="K61" s="447"/>
      <c r="L61" s="216"/>
      <c r="P61" s="99"/>
    </row>
    <row r="62" spans="2:17" ht="52.35" customHeight="1" thickTop="1" thickBot="1" x14ac:dyDescent="0.35">
      <c r="B62" s="246">
        <v>44959</v>
      </c>
      <c r="C62" s="218">
        <f>'02 FEBRERO TARDE'!L25</f>
        <v>0</v>
      </c>
      <c r="D62" s="218">
        <f>'02 FEBRERO TARDE'!K25</f>
        <v>0</v>
      </c>
      <c r="E62" s="214"/>
      <c r="F62" s="215" t="s">
        <v>476</v>
      </c>
      <c r="G62" s="210"/>
      <c r="H62" s="211">
        <f>'02 FEBRERO TARDE'!P25</f>
        <v>0</v>
      </c>
      <c r="I62" s="212"/>
      <c r="J62" s="213"/>
      <c r="K62" s="448"/>
      <c r="L62" s="216"/>
    </row>
    <row r="63" spans="2:17" ht="22.5" thickTop="1" thickBot="1" x14ac:dyDescent="0.35">
      <c r="B63" s="206"/>
      <c r="C63" s="218"/>
      <c r="D63" s="218"/>
      <c r="E63" s="214"/>
      <c r="F63" s="215"/>
      <c r="G63" s="210"/>
      <c r="H63" s="211"/>
      <c r="I63" s="212"/>
      <c r="J63" s="213"/>
      <c r="K63" s="449"/>
      <c r="L63" s="219" t="s">
        <v>374</v>
      </c>
      <c r="M63" s="220" t="s">
        <v>477</v>
      </c>
    </row>
    <row r="64" spans="2:17" ht="22.35" customHeight="1" thickTop="1" thickBot="1" x14ac:dyDescent="0.35">
      <c r="B64" s="206"/>
      <c r="C64" s="218"/>
      <c r="D64" s="218"/>
      <c r="E64" s="214"/>
      <c r="F64" s="215"/>
      <c r="G64" s="210"/>
      <c r="H64" s="211"/>
      <c r="I64" s="212"/>
      <c r="J64" s="213"/>
      <c r="K64" s="450"/>
      <c r="L64" s="431">
        <f>SUM(H60:I65)</f>
        <v>7059232</v>
      </c>
      <c r="M64" s="433"/>
      <c r="P64" s="217"/>
    </row>
    <row r="65" spans="2:17" ht="22.35" customHeight="1" thickTop="1" thickBot="1" x14ac:dyDescent="0.35">
      <c r="B65" s="206"/>
      <c r="C65" s="218"/>
      <c r="D65" s="218"/>
      <c r="E65" s="214"/>
      <c r="F65" s="215"/>
      <c r="G65" s="210"/>
      <c r="H65" s="211"/>
      <c r="I65" s="212"/>
      <c r="J65" s="237"/>
      <c r="K65" s="450"/>
      <c r="L65" s="432"/>
      <c r="M65" s="434"/>
      <c r="N65" s="99"/>
      <c r="O65" s="111"/>
      <c r="P65" s="99"/>
    </row>
    <row r="66" spans="2:17" ht="22.5" thickTop="1" thickBot="1" x14ac:dyDescent="0.35">
      <c r="B66" s="206" t="s">
        <v>31</v>
      </c>
      <c r="C66" s="218">
        <f>SUM(C60:C65)</f>
        <v>17</v>
      </c>
      <c r="D66" s="218">
        <f>SUM(D60:D65)</f>
        <v>60</v>
      </c>
      <c r="E66" s="214">
        <f>SUM(E60:E65)</f>
        <v>0</v>
      </c>
      <c r="F66" s="215"/>
      <c r="G66" s="210"/>
      <c r="H66" s="224">
        <f>SUM(H60:H65)</f>
        <v>7059232</v>
      </c>
      <c r="I66" s="224">
        <f>SUM(I60:I65)</f>
        <v>0</v>
      </c>
      <c r="J66" s="238">
        <v>0</v>
      </c>
      <c r="K66" s="451"/>
      <c r="L66" s="227"/>
      <c r="M66" s="21" t="s">
        <v>473</v>
      </c>
      <c r="N66" s="99"/>
    </row>
    <row r="67" spans="2:17" ht="14.1" customHeight="1" thickTop="1" thickBot="1" x14ac:dyDescent="0.35">
      <c r="B67" s="247"/>
      <c r="C67" s="248"/>
      <c r="D67" s="248"/>
      <c r="E67" s="249"/>
      <c r="F67" s="250"/>
      <c r="G67" s="251"/>
      <c r="H67" s="252"/>
      <c r="I67" s="252"/>
      <c r="J67" s="253"/>
      <c r="K67" s="254"/>
      <c r="L67" s="227"/>
      <c r="M67" s="21"/>
      <c r="N67" s="99"/>
    </row>
    <row r="68" spans="2:17" ht="21.95" customHeight="1" thickTop="1" thickBot="1" x14ac:dyDescent="0.25">
      <c r="B68" s="443" t="s">
        <v>472</v>
      </c>
      <c r="C68" s="444"/>
      <c r="D68" s="444"/>
      <c r="E68" s="444"/>
      <c r="F68" s="444"/>
      <c r="G68" s="444"/>
      <c r="H68" s="444"/>
      <c r="I68" s="444"/>
      <c r="J68" s="445"/>
      <c r="K68" s="446"/>
      <c r="L68" s="234"/>
      <c r="N68" s="21"/>
      <c r="O68" s="21"/>
      <c r="P68" s="21"/>
      <c r="Q68" s="235"/>
    </row>
    <row r="69" spans="2:17" ht="22.5" thickTop="1" thickBot="1" x14ac:dyDescent="0.35">
      <c r="B69" s="246">
        <v>44962</v>
      </c>
      <c r="C69" s="208">
        <f>'05 FEBRERO   '!C67</f>
        <v>26</v>
      </c>
      <c r="D69" s="208">
        <f>'05 FEBRERO   '!B67</f>
        <v>76</v>
      </c>
      <c r="E69" s="214"/>
      <c r="F69" s="209" t="s">
        <v>474</v>
      </c>
      <c r="G69" s="210"/>
      <c r="H69" s="211">
        <f>'05 FEBRERO   '!G67</f>
        <v>12159740</v>
      </c>
      <c r="I69" s="212"/>
      <c r="J69" s="213"/>
      <c r="K69" s="447"/>
    </row>
    <row r="70" spans="2:17" ht="22.5" thickTop="1" thickBot="1" x14ac:dyDescent="0.35">
      <c r="B70" s="246">
        <v>44962</v>
      </c>
      <c r="C70" s="218">
        <f>'05 FEBRERO   '!U25</f>
        <v>4</v>
      </c>
      <c r="D70" s="218">
        <f>'05 FEBRERO   '!T25</f>
        <v>15</v>
      </c>
      <c r="E70" s="214"/>
      <c r="F70" s="215" t="s">
        <v>475</v>
      </c>
      <c r="G70" s="210"/>
      <c r="H70" s="211">
        <f>'05 FEBRERO   '!Y25</f>
        <v>3015234</v>
      </c>
      <c r="I70" s="212"/>
      <c r="J70" s="213"/>
      <c r="K70" s="447"/>
      <c r="L70" s="216"/>
      <c r="P70" s="99"/>
    </row>
    <row r="71" spans="2:17" ht="52.35" customHeight="1" thickTop="1" thickBot="1" x14ac:dyDescent="0.35">
      <c r="B71" s="246">
        <v>44962</v>
      </c>
      <c r="C71" s="218">
        <f>'05 FEBRERO   '!L25</f>
        <v>3</v>
      </c>
      <c r="D71" s="218">
        <f>'05 FEBRERO   '!K25</f>
        <v>3</v>
      </c>
      <c r="E71" s="214"/>
      <c r="F71" s="215" t="s">
        <v>476</v>
      </c>
      <c r="G71" s="210"/>
      <c r="H71" s="211">
        <f>'05 FEBRERO   '!P25</f>
        <v>1191777</v>
      </c>
      <c r="I71" s="212"/>
      <c r="J71" s="213"/>
      <c r="K71" s="448"/>
      <c r="L71" s="216"/>
    </row>
    <row r="72" spans="2:17" ht="22.5" thickTop="1" thickBot="1" x14ac:dyDescent="0.35">
      <c r="B72" s="206"/>
      <c r="C72" s="218"/>
      <c r="D72" s="218"/>
      <c r="E72" s="214"/>
      <c r="F72" s="215"/>
      <c r="G72" s="210"/>
      <c r="H72" s="211"/>
      <c r="I72" s="212"/>
      <c r="J72" s="213"/>
      <c r="K72" s="449"/>
      <c r="L72" s="219" t="s">
        <v>374</v>
      </c>
      <c r="M72" s="220" t="s">
        <v>477</v>
      </c>
    </row>
    <row r="73" spans="2:17" ht="22.35" customHeight="1" thickTop="1" thickBot="1" x14ac:dyDescent="0.35">
      <c r="B73" s="206"/>
      <c r="C73" s="218"/>
      <c r="D73" s="218"/>
      <c r="E73" s="214"/>
      <c r="F73" s="215"/>
      <c r="G73" s="210"/>
      <c r="H73" s="211"/>
      <c r="I73" s="212"/>
      <c r="J73" s="213"/>
      <c r="K73" s="450"/>
      <c r="L73" s="431">
        <f>SUM(H69:I74)</f>
        <v>16366751</v>
      </c>
      <c r="M73" s="433"/>
      <c r="P73" s="217"/>
    </row>
    <row r="74" spans="2:17" ht="22.35" customHeight="1" thickTop="1" thickBot="1" x14ac:dyDescent="0.35">
      <c r="B74" s="206"/>
      <c r="C74" s="218"/>
      <c r="D74" s="218"/>
      <c r="E74" s="214"/>
      <c r="F74" s="215"/>
      <c r="G74" s="210"/>
      <c r="H74" s="211"/>
      <c r="I74" s="212"/>
      <c r="J74" s="237"/>
      <c r="K74" s="450"/>
      <c r="L74" s="432"/>
      <c r="M74" s="434"/>
      <c r="N74" s="99"/>
      <c r="O74" s="111"/>
      <c r="P74" s="99"/>
    </row>
    <row r="75" spans="2:17" ht="22.5" thickTop="1" thickBot="1" x14ac:dyDescent="0.35">
      <c r="B75" s="206" t="s">
        <v>31</v>
      </c>
      <c r="C75" s="218">
        <f>SUM(C69:C74)</f>
        <v>33</v>
      </c>
      <c r="D75" s="218">
        <f>SUM(D69:D74)</f>
        <v>94</v>
      </c>
      <c r="E75" s="214">
        <f>SUM(E69:E74)</f>
        <v>0</v>
      </c>
      <c r="F75" s="215"/>
      <c r="G75" s="210"/>
      <c r="H75" s="224">
        <f>SUM(H69:H74)</f>
        <v>16366751</v>
      </c>
      <c r="I75" s="224">
        <f>SUM(I69:I74)</f>
        <v>0</v>
      </c>
      <c r="J75" s="238">
        <v>0</v>
      </c>
      <c r="K75" s="451"/>
      <c r="L75" s="227"/>
      <c r="M75" s="21" t="s">
        <v>473</v>
      </c>
      <c r="N75" s="99"/>
    </row>
    <row r="76" spans="2:17" ht="15.95" customHeight="1" thickTop="1" thickBot="1" x14ac:dyDescent="0.3">
      <c r="B76" s="200"/>
      <c r="C76" s="201"/>
      <c r="D76" s="201"/>
      <c r="E76" s="201"/>
      <c r="F76" s="202"/>
      <c r="G76" s="203"/>
      <c r="H76" s="204"/>
      <c r="I76" s="204"/>
      <c r="J76" s="255"/>
      <c r="K76" s="205"/>
      <c r="L76" s="256"/>
      <c r="M76" s="21"/>
      <c r="N76" s="257"/>
      <c r="O76" s="21"/>
      <c r="P76" s="21"/>
    </row>
    <row r="77" spans="2:17" ht="51.75" customHeight="1" thickTop="1" thickBot="1" x14ac:dyDescent="0.35">
      <c r="B77" s="258"/>
      <c r="C77" s="259"/>
      <c r="D77" s="259"/>
      <c r="E77" s="259"/>
      <c r="F77" s="260"/>
      <c r="G77" s="261"/>
      <c r="H77" s="262" t="s">
        <v>480</v>
      </c>
      <c r="I77" s="263" t="s">
        <v>481</v>
      </c>
      <c r="J77" s="263" t="s">
        <v>471</v>
      </c>
      <c r="K77" s="264"/>
      <c r="L77" s="265"/>
      <c r="M77" s="21"/>
      <c r="N77" s="257"/>
      <c r="O77" s="21"/>
      <c r="P77" s="21"/>
      <c r="Q77" s="99"/>
    </row>
    <row r="78" spans="2:17" ht="49.7" customHeight="1" thickBot="1" x14ac:dyDescent="0.45">
      <c r="B78" s="266" t="s">
        <v>31</v>
      </c>
      <c r="C78" s="267">
        <f>C21+C12+C30+C57+C48+C39</f>
        <v>172</v>
      </c>
      <c r="D78" s="267">
        <f>D21+D12+D30+D57+D48+D66+D39</f>
        <v>567</v>
      </c>
      <c r="E78" s="267">
        <f>E21+E12+E30+E57+E66+E48+E39</f>
        <v>0</v>
      </c>
      <c r="F78" s="268" t="s">
        <v>31</v>
      </c>
      <c r="G78" s="268"/>
      <c r="H78" s="269">
        <f>SUM(H12,H21,H30,H39,H48,H57,H66,H75)</f>
        <v>106258792</v>
      </c>
      <c r="I78" s="270">
        <f>I12+I21+I30+I57+I66+I48+I39</f>
        <v>0</v>
      </c>
      <c r="J78" s="270">
        <f>J12+J21+J30+J57+J66</f>
        <v>0</v>
      </c>
      <c r="K78" s="271"/>
      <c r="L78" s="272" t="s">
        <v>482</v>
      </c>
      <c r="M78" s="272" t="s">
        <v>483</v>
      </c>
      <c r="N78" s="272" t="s">
        <v>484</v>
      </c>
      <c r="O78" s="272" t="s">
        <v>485</v>
      </c>
      <c r="P78" s="21"/>
    </row>
    <row r="79" spans="2:17" ht="64.7" customHeight="1" thickBot="1" x14ac:dyDescent="0.45">
      <c r="B79" s="273"/>
      <c r="C79" s="274"/>
      <c r="D79" s="274"/>
      <c r="E79" s="275"/>
      <c r="F79" s="276" t="s">
        <v>486</v>
      </c>
      <c r="G79" s="439">
        <f>H78+I78</f>
        <v>106258792</v>
      </c>
      <c r="H79" s="440"/>
      <c r="I79" s="440"/>
      <c r="J79" s="441"/>
      <c r="K79" s="277"/>
      <c r="L79" s="278">
        <f>SUM('8 ENERO'!M70,'9 ENERO '!M70,'15 ENERO'!M70,'22 ENERO'!M70,'29 ENERO '!M70,'02 FEBRERO MAÑANA '!M70,'02 FEBRERO TARDE'!M70,'05 FEBRERO   '!M70)</f>
        <v>28332541</v>
      </c>
      <c r="M79" s="278">
        <f>SUM('8 ENERO'!N70,'9 ENERO '!N70,'15 ENERO'!N70,'22 ENERO'!N70,'29 ENERO '!N70,'02 FEBRERO MAÑANA '!N70,'02 FEBRERO TARDE'!N70,'05 FEBRERO   '!N70)</f>
        <v>47853628</v>
      </c>
      <c r="N79" s="278">
        <f>SUM('8 ENERO'!O70,'9 ENERO '!O70,'15 ENERO'!O70,'22 ENERO'!O70,'29 ENERO '!O70,'02 FEBRERO MAÑANA '!O70,'02 FEBRERO TARDE'!O70,'05 FEBRERO   '!O70)</f>
        <v>30072623</v>
      </c>
      <c r="O79" s="279">
        <f>L79+M79+N79</f>
        <v>106258792</v>
      </c>
      <c r="P79" s="280"/>
      <c r="Q79" s="281"/>
    </row>
    <row r="80" spans="2:17" ht="52.5" customHeight="1" thickBot="1" x14ac:dyDescent="0.25">
      <c r="B80" s="273"/>
      <c r="C80" s="274"/>
      <c r="D80" s="274"/>
      <c r="E80" s="275"/>
      <c r="F80" s="276" t="s">
        <v>487</v>
      </c>
      <c r="G80" s="421">
        <f>K9</f>
        <v>31815123</v>
      </c>
      <c r="H80" s="422"/>
      <c r="I80" s="422"/>
      <c r="J80" s="423"/>
      <c r="K80" s="282"/>
      <c r="L80" s="2"/>
    </row>
    <row r="81" spans="2:15" ht="30" customHeight="1" thickBot="1" x14ac:dyDescent="0.25">
      <c r="B81" s="424" t="s">
        <v>488</v>
      </c>
      <c r="C81" s="425"/>
      <c r="D81" s="425"/>
      <c r="E81" s="425"/>
      <c r="F81" s="425"/>
      <c r="G81" s="425"/>
      <c r="H81" s="425"/>
      <c r="I81" s="425"/>
      <c r="J81" s="425"/>
      <c r="K81" s="425"/>
      <c r="L81" s="283" t="s">
        <v>489</v>
      </c>
      <c r="M81" s="21"/>
      <c r="N81" s="21"/>
      <c r="O81" s="21"/>
    </row>
    <row r="82" spans="2:15" ht="75" customHeight="1" x14ac:dyDescent="0.35">
      <c r="B82" s="284" t="s">
        <v>490</v>
      </c>
      <c r="C82" s="285" t="s">
        <v>491</v>
      </c>
      <c r="D82" s="285" t="s">
        <v>492</v>
      </c>
      <c r="E82" s="286" t="s">
        <v>493</v>
      </c>
      <c r="F82" s="286" t="s">
        <v>494</v>
      </c>
      <c r="G82" s="286" t="s">
        <v>495</v>
      </c>
      <c r="H82" s="286" t="s">
        <v>496</v>
      </c>
      <c r="I82" s="286" t="s">
        <v>497</v>
      </c>
      <c r="J82" s="286" t="s">
        <v>498</v>
      </c>
      <c r="K82" s="287" t="s">
        <v>499</v>
      </c>
      <c r="L82" s="288">
        <f>G80</f>
        <v>31815123</v>
      </c>
      <c r="M82" s="288"/>
      <c r="N82" s="21"/>
      <c r="O82" s="21"/>
    </row>
    <row r="83" spans="2:15" s="298" customFormat="1" ht="72.75" customHeight="1" x14ac:dyDescent="0.35">
      <c r="B83" s="289">
        <v>44957</v>
      </c>
      <c r="C83" s="290">
        <v>0.23958333333333334</v>
      </c>
      <c r="D83" s="290">
        <v>0.77083333333333337</v>
      </c>
      <c r="E83" s="291" t="s">
        <v>533</v>
      </c>
      <c r="F83" s="291" t="s">
        <v>534</v>
      </c>
      <c r="G83" s="291" t="s">
        <v>501</v>
      </c>
      <c r="H83" s="291" t="s">
        <v>502</v>
      </c>
      <c r="I83" s="292" t="str">
        <f t="shared" ref="I83:I146" si="0">+IF(J83=0,0,CONCATENATE(MID(J83,FIND("-",J83,1)+1,4),"ORAS"))</f>
        <v>15 HORAS</v>
      </c>
      <c r="J83" s="293" t="s">
        <v>337</v>
      </c>
      <c r="K83" s="294">
        <f>+IF(J83=0,0,IF(J83="","",VLOOKUP('INFORME FINAL ENE - FEB'!J83,PLANTILLA!$H$139:$I$191,2,0)))</f>
        <v>323189</v>
      </c>
      <c r="L83" s="377"/>
      <c r="M83" s="296"/>
      <c r="N83" s="297"/>
      <c r="O83" s="297"/>
    </row>
    <row r="84" spans="2:15" s="298" customFormat="1" ht="72.75" customHeight="1" x14ac:dyDescent="0.35">
      <c r="B84" s="289">
        <v>44930</v>
      </c>
      <c r="C84" s="290">
        <v>0.23958333333333334</v>
      </c>
      <c r="D84" s="290">
        <v>0.77083333333333337</v>
      </c>
      <c r="E84" s="291" t="s">
        <v>533</v>
      </c>
      <c r="F84" s="291" t="s">
        <v>534</v>
      </c>
      <c r="G84" s="291" t="s">
        <v>501</v>
      </c>
      <c r="H84" s="291" t="s">
        <v>502</v>
      </c>
      <c r="I84" s="292" t="str">
        <f t="shared" ref="I84:I115" si="1">+IF(J84=0,0,CONCATENATE(MID(J84,FIND("-",J84,1)+1,4),"ORAS"))</f>
        <v>15 HORAS</v>
      </c>
      <c r="J84" s="293" t="s">
        <v>337</v>
      </c>
      <c r="K84" s="294">
        <f>+IF(J84=0,0,IF(J84="","",VLOOKUP('INFORME FINAL ENE - FEB'!J84,PLANTILLA!$H$139:$I$191,2,0)))</f>
        <v>323189</v>
      </c>
      <c r="L84" s="295"/>
      <c r="M84" s="296"/>
      <c r="N84" s="297"/>
      <c r="O84" s="297"/>
    </row>
    <row r="85" spans="2:15" s="298" customFormat="1" ht="72.75" customHeight="1" x14ac:dyDescent="0.35">
      <c r="B85" s="289">
        <v>44931</v>
      </c>
      <c r="C85" s="290">
        <v>0.5</v>
      </c>
      <c r="D85" s="290">
        <v>0.5625</v>
      </c>
      <c r="E85" s="291" t="s">
        <v>533</v>
      </c>
      <c r="F85" s="291" t="s">
        <v>534</v>
      </c>
      <c r="G85" s="291" t="s">
        <v>501</v>
      </c>
      <c r="H85" s="291" t="s">
        <v>502</v>
      </c>
      <c r="I85" s="292" t="str">
        <f t="shared" si="1"/>
        <v>09 HORAS</v>
      </c>
      <c r="J85" s="293" t="s">
        <v>342</v>
      </c>
      <c r="K85" s="294">
        <f>+IF(J85=0,0,IF(J85="","",VLOOKUP('INFORME FINAL ENE - FEB'!J85,PLANTILLA!$H$139:$I$191,2,0)))</f>
        <v>290841</v>
      </c>
      <c r="L85" s="295"/>
      <c r="M85" s="296"/>
      <c r="N85" s="297"/>
      <c r="O85" s="297"/>
    </row>
    <row r="86" spans="2:15" s="298" customFormat="1" ht="72.75" customHeight="1" x14ac:dyDescent="0.35">
      <c r="B86" s="289">
        <v>44932</v>
      </c>
      <c r="C86" s="290">
        <v>0.23958333333333334</v>
      </c>
      <c r="D86" s="290">
        <v>0.77083333333333337</v>
      </c>
      <c r="E86" s="291" t="s">
        <v>533</v>
      </c>
      <c r="F86" s="291" t="s">
        <v>534</v>
      </c>
      <c r="G86" s="291" t="s">
        <v>501</v>
      </c>
      <c r="H86" s="291" t="s">
        <v>502</v>
      </c>
      <c r="I86" s="292" t="str">
        <f t="shared" si="1"/>
        <v>15 HORAS</v>
      </c>
      <c r="J86" s="293" t="s">
        <v>337</v>
      </c>
      <c r="K86" s="294">
        <f>+IF(J86=0,0,IF(J86="","",VLOOKUP('INFORME FINAL ENE - FEB'!J86,PLANTILLA!$H$139:$I$191,2,0)))</f>
        <v>323189</v>
      </c>
      <c r="L86" s="299"/>
      <c r="M86" s="296"/>
      <c r="N86" s="297"/>
      <c r="O86" s="297"/>
    </row>
    <row r="87" spans="2:15" s="298" customFormat="1" ht="72.75" customHeight="1" x14ac:dyDescent="0.35">
      <c r="B87" s="289">
        <v>44936</v>
      </c>
      <c r="C87" s="290">
        <v>0.23958333333333334</v>
      </c>
      <c r="D87" s="290">
        <v>0.5625</v>
      </c>
      <c r="E87" s="291" t="s">
        <v>533</v>
      </c>
      <c r="F87" s="291" t="s">
        <v>534</v>
      </c>
      <c r="G87" s="291" t="s">
        <v>501</v>
      </c>
      <c r="H87" s="291" t="s">
        <v>502</v>
      </c>
      <c r="I87" s="292" t="str">
        <f t="shared" si="1"/>
        <v>09 HORAS</v>
      </c>
      <c r="J87" s="293" t="s">
        <v>342</v>
      </c>
      <c r="K87" s="294">
        <f>+IF(J87=0,0,IF(J87="","",VLOOKUP('INFORME FINAL ENE - FEB'!J87,PLANTILLA!$H$139:$I$191,2,0)))</f>
        <v>290841</v>
      </c>
      <c r="L87" s="295"/>
      <c r="M87" s="296"/>
      <c r="N87" s="297"/>
      <c r="O87" s="297"/>
    </row>
    <row r="88" spans="2:15" s="298" customFormat="1" ht="72.75" customHeight="1" x14ac:dyDescent="0.35">
      <c r="B88" s="289">
        <v>44937</v>
      </c>
      <c r="C88" s="290">
        <v>0.23958333333333334</v>
      </c>
      <c r="D88" s="290">
        <v>0.5625</v>
      </c>
      <c r="E88" s="291" t="s">
        <v>533</v>
      </c>
      <c r="F88" s="291" t="s">
        <v>534</v>
      </c>
      <c r="G88" s="291" t="s">
        <v>501</v>
      </c>
      <c r="H88" s="291" t="s">
        <v>502</v>
      </c>
      <c r="I88" s="292" t="str">
        <f t="shared" si="1"/>
        <v>09 HORAS</v>
      </c>
      <c r="J88" s="293" t="s">
        <v>342</v>
      </c>
      <c r="K88" s="294">
        <f>+IF(J88=0,0,IF(J88="","",VLOOKUP('INFORME FINAL ENE - FEB'!J88,PLANTILLA!$H$139:$I$191,2,0)))</f>
        <v>290841</v>
      </c>
      <c r="L88" s="295"/>
      <c r="M88" s="296"/>
      <c r="N88" s="297"/>
      <c r="O88" s="297"/>
    </row>
    <row r="89" spans="2:15" s="298" customFormat="1" ht="72.75" customHeight="1" x14ac:dyDescent="0.35">
      <c r="B89" s="289">
        <v>44938</v>
      </c>
      <c r="C89" s="290">
        <v>0.28125</v>
      </c>
      <c r="D89" s="290">
        <v>0.77083333333333337</v>
      </c>
      <c r="E89" s="291" t="s">
        <v>533</v>
      </c>
      <c r="F89" s="291" t="s">
        <v>534</v>
      </c>
      <c r="G89" s="291" t="s">
        <v>501</v>
      </c>
      <c r="H89" s="291" t="s">
        <v>502</v>
      </c>
      <c r="I89" s="292" t="str">
        <f t="shared" si="1"/>
        <v>15 HORAS</v>
      </c>
      <c r="J89" s="293" t="s">
        <v>337</v>
      </c>
      <c r="K89" s="294">
        <f>+IF(J89=0,0,IF(J89="","",VLOOKUP('INFORME FINAL ENE - FEB'!J89,PLANTILLA!$H$139:$I$191,2,0)))</f>
        <v>323189</v>
      </c>
      <c r="L89" s="295"/>
      <c r="M89" s="296"/>
      <c r="N89" s="297"/>
      <c r="O89" s="297"/>
    </row>
    <row r="90" spans="2:15" s="298" customFormat="1" ht="72.75" customHeight="1" x14ac:dyDescent="0.35">
      <c r="B90" s="289">
        <v>44939</v>
      </c>
      <c r="C90" s="290">
        <v>0.23958333333333334</v>
      </c>
      <c r="D90" s="290">
        <v>0.5625</v>
      </c>
      <c r="E90" s="291" t="s">
        <v>533</v>
      </c>
      <c r="F90" s="291" t="s">
        <v>534</v>
      </c>
      <c r="G90" s="291" t="s">
        <v>501</v>
      </c>
      <c r="H90" s="291" t="s">
        <v>502</v>
      </c>
      <c r="I90" s="292" t="str">
        <f t="shared" si="1"/>
        <v>09 HORAS</v>
      </c>
      <c r="J90" s="293" t="s">
        <v>342</v>
      </c>
      <c r="K90" s="294">
        <f>+IF(J90=0,0,IF(J90="","",VLOOKUP('INFORME FINAL ENE - FEB'!J90,PLANTILLA!$H$139:$I$191,2,0)))</f>
        <v>290841</v>
      </c>
      <c r="L90" s="295"/>
      <c r="M90" s="296"/>
      <c r="N90" s="297"/>
      <c r="O90" s="297"/>
    </row>
    <row r="91" spans="2:15" s="298" customFormat="1" ht="72.75" customHeight="1" x14ac:dyDescent="0.35">
      <c r="B91" s="289">
        <v>44943</v>
      </c>
      <c r="C91" s="290">
        <v>0.23958333333333334</v>
      </c>
      <c r="D91" s="290">
        <v>0.77083333333333337</v>
      </c>
      <c r="E91" s="291" t="s">
        <v>533</v>
      </c>
      <c r="F91" s="291" t="s">
        <v>534</v>
      </c>
      <c r="G91" s="291" t="s">
        <v>501</v>
      </c>
      <c r="H91" s="291" t="s">
        <v>502</v>
      </c>
      <c r="I91" s="292" t="str">
        <f t="shared" si="1"/>
        <v>15 HORAS</v>
      </c>
      <c r="J91" s="293" t="s">
        <v>337</v>
      </c>
      <c r="K91" s="294">
        <f>+IF(J91=0,0,IF(J91="","",VLOOKUP('INFORME FINAL ENE - FEB'!J91,PLANTILLA!$H$139:$I$191,2,0)))</f>
        <v>323189</v>
      </c>
      <c r="L91" s="295"/>
      <c r="M91" s="296"/>
      <c r="N91" s="297"/>
      <c r="O91" s="297"/>
    </row>
    <row r="92" spans="2:15" s="298" customFormat="1" ht="72.75" customHeight="1" x14ac:dyDescent="0.35">
      <c r="B92" s="289">
        <v>44944</v>
      </c>
      <c r="C92" s="290">
        <v>0.23958333333333334</v>
      </c>
      <c r="D92" s="290">
        <v>0.77083333333333337</v>
      </c>
      <c r="E92" s="291" t="s">
        <v>533</v>
      </c>
      <c r="F92" s="291" t="s">
        <v>534</v>
      </c>
      <c r="G92" s="291" t="s">
        <v>501</v>
      </c>
      <c r="H92" s="291" t="s">
        <v>502</v>
      </c>
      <c r="I92" s="292" t="str">
        <f t="shared" si="1"/>
        <v>15 HORAS</v>
      </c>
      <c r="J92" s="293" t="s">
        <v>337</v>
      </c>
      <c r="K92" s="294">
        <f>+IF(J92=0,0,IF(J92="","",VLOOKUP('INFORME FINAL ENE - FEB'!J92,PLANTILLA!$H$139:$I$191,2,0)))</f>
        <v>323189</v>
      </c>
      <c r="L92" s="295"/>
      <c r="M92" s="296"/>
      <c r="N92" s="297"/>
      <c r="O92" s="297"/>
    </row>
    <row r="93" spans="2:15" s="298" customFormat="1" ht="72.75" customHeight="1" x14ac:dyDescent="0.35">
      <c r="B93" s="289">
        <v>44945</v>
      </c>
      <c r="C93" s="290">
        <v>0.5</v>
      </c>
      <c r="D93" s="290">
        <v>0.5625</v>
      </c>
      <c r="E93" s="291" t="s">
        <v>533</v>
      </c>
      <c r="F93" s="291" t="s">
        <v>534</v>
      </c>
      <c r="G93" s="291" t="s">
        <v>501</v>
      </c>
      <c r="H93" s="291" t="s">
        <v>502</v>
      </c>
      <c r="I93" s="292" t="str">
        <f t="shared" si="1"/>
        <v>09 HORAS</v>
      </c>
      <c r="J93" s="293" t="s">
        <v>342</v>
      </c>
      <c r="K93" s="294">
        <f>+IF(J93=0,0,IF(J93="","",VLOOKUP('INFORME FINAL ENE - FEB'!J93,PLANTILLA!$H$139:$I$191,2,0)))</f>
        <v>290841</v>
      </c>
      <c r="L93" s="295"/>
      <c r="M93" s="300"/>
    </row>
    <row r="94" spans="2:15" s="298" customFormat="1" ht="72.75" customHeight="1" x14ac:dyDescent="0.35">
      <c r="B94" s="289">
        <v>44946</v>
      </c>
      <c r="C94" s="290">
        <v>0.23958333333333334</v>
      </c>
      <c r="D94" s="290">
        <v>0.77083333333333337</v>
      </c>
      <c r="E94" s="291" t="s">
        <v>533</v>
      </c>
      <c r="F94" s="291" t="s">
        <v>534</v>
      </c>
      <c r="G94" s="291" t="s">
        <v>501</v>
      </c>
      <c r="H94" s="291" t="s">
        <v>502</v>
      </c>
      <c r="I94" s="292" t="str">
        <f t="shared" si="1"/>
        <v>15 HORAS</v>
      </c>
      <c r="J94" s="293" t="s">
        <v>337</v>
      </c>
      <c r="K94" s="294">
        <f>+IF(J94=0,0,IF(J94="","",VLOOKUP('INFORME FINAL ENE - FEB'!J94,PLANTILLA!$H$139:$I$191,2,0)))</f>
        <v>323189</v>
      </c>
      <c r="L94" s="295"/>
      <c r="M94" s="300"/>
    </row>
    <row r="95" spans="2:15" s="298" customFormat="1" ht="72.75" customHeight="1" x14ac:dyDescent="0.35">
      <c r="B95" s="289">
        <v>44950</v>
      </c>
      <c r="C95" s="290">
        <v>0.23958333333333334</v>
      </c>
      <c r="D95" s="290">
        <v>0.5625</v>
      </c>
      <c r="E95" s="291" t="s">
        <v>533</v>
      </c>
      <c r="F95" s="291" t="s">
        <v>534</v>
      </c>
      <c r="G95" s="291" t="s">
        <v>501</v>
      </c>
      <c r="H95" s="291" t="s">
        <v>502</v>
      </c>
      <c r="I95" s="292" t="str">
        <f t="shared" si="1"/>
        <v>09 HORAS</v>
      </c>
      <c r="J95" s="293" t="s">
        <v>342</v>
      </c>
      <c r="K95" s="294">
        <f>+IF(J95=0,0,IF(J95="","",VLOOKUP('INFORME FINAL ENE - FEB'!J95,PLANTILLA!$H$139:$I$191,2,0)))</f>
        <v>290841</v>
      </c>
      <c r="L95" s="295"/>
      <c r="M95" s="300"/>
    </row>
    <row r="96" spans="2:15" s="298" customFormat="1" ht="72.75" customHeight="1" x14ac:dyDescent="0.35">
      <c r="B96" s="289">
        <v>44951</v>
      </c>
      <c r="C96" s="290">
        <v>0.23958333333333334</v>
      </c>
      <c r="D96" s="290">
        <v>0.5625</v>
      </c>
      <c r="E96" s="291" t="s">
        <v>533</v>
      </c>
      <c r="F96" s="291" t="s">
        <v>534</v>
      </c>
      <c r="G96" s="291" t="s">
        <v>501</v>
      </c>
      <c r="H96" s="291" t="s">
        <v>502</v>
      </c>
      <c r="I96" s="292" t="str">
        <f t="shared" si="1"/>
        <v>09 HORAS</v>
      </c>
      <c r="J96" s="293" t="s">
        <v>342</v>
      </c>
      <c r="K96" s="294">
        <f>+IF(J96=0,0,IF(J96="","",VLOOKUP('INFORME FINAL ENE - FEB'!J96,PLANTILLA!$H$139:$I$191,2,0)))</f>
        <v>290841</v>
      </c>
      <c r="L96" s="295"/>
      <c r="M96" s="300"/>
    </row>
    <row r="97" spans="2:118" s="298" customFormat="1" ht="72.75" customHeight="1" x14ac:dyDescent="0.35">
      <c r="B97" s="289">
        <v>44952</v>
      </c>
      <c r="C97" s="290">
        <v>0.23958333333333334</v>
      </c>
      <c r="D97" s="290">
        <v>0.77083333333333337</v>
      </c>
      <c r="E97" s="291" t="s">
        <v>533</v>
      </c>
      <c r="F97" s="291" t="s">
        <v>534</v>
      </c>
      <c r="G97" s="291" t="s">
        <v>501</v>
      </c>
      <c r="H97" s="291" t="s">
        <v>502</v>
      </c>
      <c r="I97" s="292" t="str">
        <f t="shared" si="1"/>
        <v>15 HORAS</v>
      </c>
      <c r="J97" s="293" t="s">
        <v>337</v>
      </c>
      <c r="K97" s="294">
        <f>+IF(J97=0,0,IF(J97="","",VLOOKUP('INFORME FINAL ENE - FEB'!J97,PLANTILLA!$H$139:$I$191,2,0)))</f>
        <v>323189</v>
      </c>
      <c r="L97" s="295"/>
      <c r="M97" s="301"/>
    </row>
    <row r="98" spans="2:118" s="298" customFormat="1" ht="72.75" customHeight="1" x14ac:dyDescent="0.35">
      <c r="B98" s="289">
        <v>44953</v>
      </c>
      <c r="C98" s="290">
        <v>0.23958333333333334</v>
      </c>
      <c r="D98" s="290">
        <v>0.5625</v>
      </c>
      <c r="E98" s="291" t="s">
        <v>533</v>
      </c>
      <c r="F98" s="291" t="s">
        <v>534</v>
      </c>
      <c r="G98" s="291" t="s">
        <v>501</v>
      </c>
      <c r="H98" s="291" t="s">
        <v>502</v>
      </c>
      <c r="I98" s="292" t="str">
        <f t="shared" si="1"/>
        <v>09 HORAS</v>
      </c>
      <c r="J98" s="293" t="s">
        <v>342</v>
      </c>
      <c r="K98" s="294">
        <f>+IF(J98=0,0,IF(J98="","",VLOOKUP('INFORME FINAL ENE - FEB'!J98,PLANTILLA!$H$139:$I$191,2,0)))</f>
        <v>290841</v>
      </c>
      <c r="L98" s="295"/>
      <c r="M98" s="301"/>
    </row>
    <row r="99" spans="2:118" s="298" customFormat="1" ht="72.75" customHeight="1" x14ac:dyDescent="0.2">
      <c r="B99" s="289">
        <v>44927</v>
      </c>
      <c r="C99" s="290">
        <v>0.22916666666666666</v>
      </c>
      <c r="D99" s="290">
        <v>0.75</v>
      </c>
      <c r="E99" s="291" t="s">
        <v>533</v>
      </c>
      <c r="F99" s="291" t="s">
        <v>534</v>
      </c>
      <c r="G99" s="291" t="s">
        <v>501</v>
      </c>
      <c r="H99" s="291" t="s">
        <v>502</v>
      </c>
      <c r="I99" s="292" t="str">
        <f t="shared" si="1"/>
        <v>15 HORAS</v>
      </c>
      <c r="J99" s="293" t="s">
        <v>337</v>
      </c>
      <c r="K99" s="294">
        <f>+IF(J99=0,0,IF(J99="","",VLOOKUP('INFORME FINAL ENE - FEB'!J99,PLANTILLA!$H$139:$I$191,2,0)))</f>
        <v>323189</v>
      </c>
      <c r="L99" s="302"/>
      <c r="M99" s="300"/>
    </row>
    <row r="100" spans="2:118" s="298" customFormat="1" ht="72.75" customHeight="1" x14ac:dyDescent="0.35">
      <c r="B100" s="289">
        <v>44928</v>
      </c>
      <c r="C100" s="290">
        <v>0.22916666666666666</v>
      </c>
      <c r="D100" s="290">
        <v>0.5625</v>
      </c>
      <c r="E100" s="291" t="s">
        <v>533</v>
      </c>
      <c r="F100" s="291" t="s">
        <v>534</v>
      </c>
      <c r="G100" s="291" t="s">
        <v>501</v>
      </c>
      <c r="H100" s="291" t="s">
        <v>502</v>
      </c>
      <c r="I100" s="292" t="str">
        <f t="shared" si="1"/>
        <v>09 HORAS</v>
      </c>
      <c r="J100" s="293" t="s">
        <v>342</v>
      </c>
      <c r="K100" s="294">
        <f>+IF(J100=0,0,IF(J100="","",VLOOKUP('INFORME FINAL ENE - FEB'!J100,PLANTILLA!$H$139:$I$191,2,0)))</f>
        <v>290841</v>
      </c>
      <c r="L100" s="295"/>
      <c r="M100" s="300"/>
    </row>
    <row r="101" spans="2:118" s="298" customFormat="1" ht="72.75" customHeight="1" x14ac:dyDescent="0.35">
      <c r="B101" s="289">
        <v>44929</v>
      </c>
      <c r="C101" s="290">
        <v>0.22916666666666666</v>
      </c>
      <c r="D101" s="290">
        <v>0.75</v>
      </c>
      <c r="E101" s="291" t="s">
        <v>533</v>
      </c>
      <c r="F101" s="291" t="s">
        <v>534</v>
      </c>
      <c r="G101" s="291" t="s">
        <v>501</v>
      </c>
      <c r="H101" s="291" t="s">
        <v>502</v>
      </c>
      <c r="I101" s="292" t="str">
        <f t="shared" si="1"/>
        <v>15 HORAS</v>
      </c>
      <c r="J101" s="293" t="s">
        <v>337</v>
      </c>
      <c r="K101" s="294">
        <f>+IF(J101=0,0,IF(J101="","",VLOOKUP('INFORME FINAL ENE - FEB'!J101,PLANTILLA!$H$139:$I$191,2,0)))</f>
        <v>323189</v>
      </c>
      <c r="L101" s="295"/>
      <c r="M101" s="300"/>
      <c r="DG101" s="298" t="s">
        <v>504</v>
      </c>
      <c r="DM101" s="298">
        <v>1</v>
      </c>
      <c r="DN101" s="298" t="s">
        <v>504</v>
      </c>
    </row>
    <row r="102" spans="2:118" s="298" customFormat="1" ht="72.75" customHeight="1" x14ac:dyDescent="0.2">
      <c r="B102" s="289">
        <v>44933</v>
      </c>
      <c r="C102" s="290">
        <v>0.22916666666666666</v>
      </c>
      <c r="D102" s="290">
        <v>0.5625</v>
      </c>
      <c r="E102" s="291" t="s">
        <v>533</v>
      </c>
      <c r="F102" s="291" t="s">
        <v>534</v>
      </c>
      <c r="G102" s="291" t="s">
        <v>501</v>
      </c>
      <c r="H102" s="291" t="s">
        <v>502</v>
      </c>
      <c r="I102" s="292" t="str">
        <f t="shared" si="1"/>
        <v>09 HORAS</v>
      </c>
      <c r="J102" s="293" t="s">
        <v>342</v>
      </c>
      <c r="K102" s="294">
        <f>+IF(J102=0,0,IF(J102="","",VLOOKUP('INFORME FINAL ENE - FEB'!J102,PLANTILLA!$H$139:$I$191,2,0)))</f>
        <v>290841</v>
      </c>
      <c r="L102" s="303"/>
      <c r="M102" s="300"/>
      <c r="DG102" s="298" t="s">
        <v>504</v>
      </c>
      <c r="DM102" s="298">
        <v>1</v>
      </c>
      <c r="DN102" s="298" t="s">
        <v>504</v>
      </c>
    </row>
    <row r="103" spans="2:118" s="298" customFormat="1" ht="72.75" customHeight="1" x14ac:dyDescent="0.2">
      <c r="B103" s="289">
        <v>44956</v>
      </c>
      <c r="C103" s="290">
        <v>0.33333333333333331</v>
      </c>
      <c r="D103" s="290">
        <v>0.6875</v>
      </c>
      <c r="E103" s="291" t="s">
        <v>537</v>
      </c>
      <c r="F103" s="291" t="s">
        <v>538</v>
      </c>
      <c r="G103" s="291" t="s">
        <v>500</v>
      </c>
      <c r="H103" s="291" t="s">
        <v>539</v>
      </c>
      <c r="I103" s="292" t="str">
        <f t="shared" si="1"/>
        <v>09 HORAS</v>
      </c>
      <c r="J103" s="293" t="s">
        <v>326</v>
      </c>
      <c r="K103" s="294">
        <f>+IF(J103=0,0,IF(J103="","",VLOOKUP('INFORME FINAL ENE - FEB'!J103,PLANTILLA!$H$139:$I$191,2,0)))</f>
        <v>392186</v>
      </c>
      <c r="L103" s="303"/>
      <c r="M103" s="300"/>
      <c r="DG103" s="298" t="s">
        <v>504</v>
      </c>
      <c r="DM103" s="298">
        <v>1</v>
      </c>
      <c r="DN103" s="298" t="s">
        <v>504</v>
      </c>
    </row>
    <row r="104" spans="2:118" s="298" customFormat="1" ht="72.75" customHeight="1" x14ac:dyDescent="0.2">
      <c r="B104" s="289">
        <v>44956</v>
      </c>
      <c r="C104" s="290">
        <v>0.41666666666666669</v>
      </c>
      <c r="D104" s="290">
        <v>0.6875</v>
      </c>
      <c r="E104" s="291" t="s">
        <v>537</v>
      </c>
      <c r="F104" s="291" t="s">
        <v>538</v>
      </c>
      <c r="G104" s="291" t="s">
        <v>500</v>
      </c>
      <c r="H104" s="291" t="s">
        <v>539</v>
      </c>
      <c r="I104" s="292" t="str">
        <f t="shared" si="1"/>
        <v>09 HORAS</v>
      </c>
      <c r="J104" s="293" t="s">
        <v>326</v>
      </c>
      <c r="K104" s="294">
        <f>+IF(J104=0,0,IF(J104="","",VLOOKUP('INFORME FINAL ENE - FEB'!J104,PLANTILLA!$H$139:$I$191,2,0)))</f>
        <v>392186</v>
      </c>
      <c r="L104" s="303"/>
      <c r="M104" s="300"/>
      <c r="DG104" s="298" t="s">
        <v>504</v>
      </c>
      <c r="DM104" s="298">
        <v>1</v>
      </c>
      <c r="DN104" s="298" t="s">
        <v>504</v>
      </c>
    </row>
    <row r="105" spans="2:118" s="298" customFormat="1" ht="72.75" customHeight="1" x14ac:dyDescent="0.2">
      <c r="B105" s="289">
        <v>44956</v>
      </c>
      <c r="C105" s="290">
        <v>0.375</v>
      </c>
      <c r="D105" s="290">
        <v>0.6875</v>
      </c>
      <c r="E105" s="291" t="s">
        <v>537</v>
      </c>
      <c r="F105" s="291" t="s">
        <v>538</v>
      </c>
      <c r="G105" s="291" t="s">
        <v>500</v>
      </c>
      <c r="H105" s="291" t="s">
        <v>539</v>
      </c>
      <c r="I105" s="292" t="str">
        <f t="shared" si="1"/>
        <v>09 HORAS</v>
      </c>
      <c r="J105" s="293" t="s">
        <v>341</v>
      </c>
      <c r="K105" s="294">
        <f>+IF(J105=0,0,IF(J105="","",VLOOKUP('INFORME FINAL ENE - FEB'!J105,PLANTILLA!$H$139:$I$191,2,0)))</f>
        <v>345928</v>
      </c>
      <c r="L105" s="303"/>
      <c r="M105" s="300"/>
      <c r="DG105" s="298" t="s">
        <v>504</v>
      </c>
      <c r="DM105" s="298">
        <v>1</v>
      </c>
      <c r="DN105" s="298" t="s">
        <v>504</v>
      </c>
    </row>
    <row r="106" spans="2:118" s="298" customFormat="1" ht="72.75" customHeight="1" x14ac:dyDescent="0.2">
      <c r="B106" s="289">
        <v>44956</v>
      </c>
      <c r="C106" s="290">
        <v>0.35416666666666669</v>
      </c>
      <c r="D106" s="290">
        <v>0.6875</v>
      </c>
      <c r="E106" s="291" t="s">
        <v>537</v>
      </c>
      <c r="F106" s="291" t="s">
        <v>538</v>
      </c>
      <c r="G106" s="291" t="s">
        <v>500</v>
      </c>
      <c r="H106" s="291" t="s">
        <v>539</v>
      </c>
      <c r="I106" s="292" t="str">
        <f t="shared" si="1"/>
        <v>09 HORAS</v>
      </c>
      <c r="J106" s="293" t="s">
        <v>341</v>
      </c>
      <c r="K106" s="294">
        <f>+IF(J106=0,0,IF(J106="","",VLOOKUP('INFORME FINAL ENE - FEB'!J106,PLANTILLA!$H$139:$I$191,2,0)))</f>
        <v>345928</v>
      </c>
      <c r="L106" s="303"/>
      <c r="M106" s="300"/>
      <c r="DG106" s="298" t="s">
        <v>504</v>
      </c>
      <c r="DM106" s="298">
        <v>1</v>
      </c>
      <c r="DN106" s="298" t="s">
        <v>504</v>
      </c>
    </row>
    <row r="107" spans="2:118" s="298" customFormat="1" ht="72.75" customHeight="1" x14ac:dyDescent="0.2">
      <c r="B107" s="289">
        <v>44956</v>
      </c>
      <c r="C107" s="290">
        <v>0.41666666666666669</v>
      </c>
      <c r="D107" s="290">
        <v>0.72916666666666663</v>
      </c>
      <c r="E107" s="291" t="s">
        <v>537</v>
      </c>
      <c r="F107" s="291" t="s">
        <v>538</v>
      </c>
      <c r="G107" s="291" t="s">
        <v>500</v>
      </c>
      <c r="H107" s="291" t="s">
        <v>539</v>
      </c>
      <c r="I107" s="292" t="str">
        <f t="shared" si="1"/>
        <v>09 HORAS</v>
      </c>
      <c r="J107" s="293" t="s">
        <v>341</v>
      </c>
      <c r="K107" s="294">
        <f>+IF(J107=0,0,IF(J107="","",VLOOKUP('INFORME FINAL ENE - FEB'!J107,PLANTILLA!$H$139:$I$191,2,0)))</f>
        <v>345928</v>
      </c>
      <c r="L107" s="303"/>
      <c r="M107" s="300"/>
      <c r="DG107" s="298" t="s">
        <v>504</v>
      </c>
      <c r="DM107" s="298">
        <v>1</v>
      </c>
      <c r="DN107" s="298" t="s">
        <v>504</v>
      </c>
    </row>
    <row r="108" spans="2:118" s="298" customFormat="1" ht="72.75" customHeight="1" x14ac:dyDescent="0.2">
      <c r="B108" s="289">
        <v>44956</v>
      </c>
      <c r="C108" s="290">
        <v>0.39583333333333331</v>
      </c>
      <c r="D108" s="290">
        <v>0.6875</v>
      </c>
      <c r="E108" s="291" t="s">
        <v>537</v>
      </c>
      <c r="F108" s="291" t="s">
        <v>538</v>
      </c>
      <c r="G108" s="291" t="s">
        <v>500</v>
      </c>
      <c r="H108" s="291" t="s">
        <v>539</v>
      </c>
      <c r="I108" s="292" t="str">
        <f t="shared" si="1"/>
        <v>09 HORAS</v>
      </c>
      <c r="J108" s="293" t="s">
        <v>342</v>
      </c>
      <c r="K108" s="294">
        <f>+IF(J108=0,0,IF(J108="","",VLOOKUP('INFORME FINAL ENE - FEB'!J108,PLANTILLA!$H$139:$I$191,2,0)))</f>
        <v>290841</v>
      </c>
      <c r="L108" s="303"/>
      <c r="M108" s="300"/>
      <c r="DG108" s="298" t="s">
        <v>504</v>
      </c>
      <c r="DM108" s="298">
        <v>1</v>
      </c>
      <c r="DN108" s="298" t="s">
        <v>504</v>
      </c>
    </row>
    <row r="109" spans="2:118" s="298" customFormat="1" ht="72.75" customHeight="1" x14ac:dyDescent="0.35">
      <c r="B109" s="289">
        <v>44952</v>
      </c>
      <c r="C109" s="290">
        <v>0.33333333333333331</v>
      </c>
      <c r="D109" s="290">
        <v>0.75</v>
      </c>
      <c r="E109" s="291" t="s">
        <v>537</v>
      </c>
      <c r="F109" s="291" t="s">
        <v>538</v>
      </c>
      <c r="G109" s="291" t="s">
        <v>500</v>
      </c>
      <c r="H109" s="291" t="s">
        <v>539</v>
      </c>
      <c r="I109" s="292" t="str">
        <f t="shared" si="1"/>
        <v>09 HORAS</v>
      </c>
      <c r="J109" s="293" t="s">
        <v>353</v>
      </c>
      <c r="K109" s="294">
        <f>+IF(J109=0,0,IF(J109="","",VLOOKUP('INFORME FINAL ENE - FEB'!J109,PLANTILLA!$H$139:$I$191,2,0)))</f>
        <v>242399</v>
      </c>
      <c r="L109" s="295"/>
      <c r="M109" s="300"/>
      <c r="DG109" s="298" t="s">
        <v>504</v>
      </c>
      <c r="DM109" s="298">
        <v>1</v>
      </c>
      <c r="DN109" s="298" t="s">
        <v>504</v>
      </c>
    </row>
    <row r="110" spans="2:118" s="298" customFormat="1" ht="72.75" customHeight="1" x14ac:dyDescent="0.35">
      <c r="B110" s="289">
        <v>44952</v>
      </c>
      <c r="C110" s="290">
        <v>0.33333333333333331</v>
      </c>
      <c r="D110" s="290">
        <v>0.75</v>
      </c>
      <c r="E110" s="291" t="s">
        <v>537</v>
      </c>
      <c r="F110" s="291" t="s">
        <v>538</v>
      </c>
      <c r="G110" s="291" t="s">
        <v>500</v>
      </c>
      <c r="H110" s="291" t="s">
        <v>539</v>
      </c>
      <c r="I110" s="292" t="str">
        <f t="shared" si="1"/>
        <v>09 HORAS</v>
      </c>
      <c r="J110" s="293" t="s">
        <v>339</v>
      </c>
      <c r="K110" s="294">
        <f>+IF(J110=0,0,IF(J110="","",VLOOKUP('INFORME FINAL ENE - FEB'!J110,PLANTILLA!$H$139:$I$191,2,0)))</f>
        <v>433978</v>
      </c>
      <c r="L110" s="295"/>
      <c r="M110" s="300"/>
      <c r="DG110" s="298" t="s">
        <v>504</v>
      </c>
      <c r="DM110" s="298">
        <v>1</v>
      </c>
      <c r="DN110" s="298" t="s">
        <v>504</v>
      </c>
    </row>
    <row r="111" spans="2:118" s="298" customFormat="1" ht="72.75" customHeight="1" x14ac:dyDescent="0.35">
      <c r="B111" s="373">
        <v>44911</v>
      </c>
      <c r="C111" s="374">
        <v>0.22916666666666666</v>
      </c>
      <c r="D111" s="374">
        <v>0.5625</v>
      </c>
      <c r="E111" s="375" t="s">
        <v>533</v>
      </c>
      <c r="F111" s="375" t="s">
        <v>534</v>
      </c>
      <c r="G111" s="375" t="s">
        <v>501</v>
      </c>
      <c r="H111" s="375" t="s">
        <v>502</v>
      </c>
      <c r="I111" s="376" t="str">
        <f t="shared" si="1"/>
        <v>09 HORAS</v>
      </c>
      <c r="J111" s="293" t="s">
        <v>342</v>
      </c>
      <c r="K111" s="294">
        <f>+IF(J111=0,0,IF(J111="","",VLOOKUP('INFORME FINAL ENE - FEB'!J111,PLANTILLA!$H$139:$I$191,2,0)))</f>
        <v>290841</v>
      </c>
      <c r="L111" s="295"/>
      <c r="M111" s="300"/>
      <c r="DG111" s="298" t="s">
        <v>504</v>
      </c>
      <c r="DM111" s="298">
        <v>1</v>
      </c>
      <c r="DN111" s="298" t="s">
        <v>504</v>
      </c>
    </row>
    <row r="112" spans="2:118" s="298" customFormat="1" ht="72.75" customHeight="1" x14ac:dyDescent="0.35">
      <c r="B112" s="373">
        <v>44915</v>
      </c>
      <c r="C112" s="374">
        <v>0.23958333333333334</v>
      </c>
      <c r="D112" s="374">
        <v>0.77083333333333337</v>
      </c>
      <c r="E112" s="375" t="s">
        <v>533</v>
      </c>
      <c r="F112" s="375" t="s">
        <v>534</v>
      </c>
      <c r="G112" s="375" t="s">
        <v>501</v>
      </c>
      <c r="H112" s="375" t="s">
        <v>502</v>
      </c>
      <c r="I112" s="376" t="str">
        <f t="shared" si="1"/>
        <v>15 HORAS</v>
      </c>
      <c r="J112" s="293" t="s">
        <v>337</v>
      </c>
      <c r="K112" s="294">
        <f>+IF(J112=0,0,IF(J112="","",VLOOKUP('INFORME FINAL ENE - FEB'!J112,PLANTILLA!$H$139:$I$191,2,0)))</f>
        <v>323189</v>
      </c>
      <c r="L112" s="295"/>
      <c r="M112" s="300"/>
      <c r="DG112" s="298" t="s">
        <v>504</v>
      </c>
      <c r="DM112" s="298">
        <v>1</v>
      </c>
      <c r="DN112" s="298" t="s">
        <v>504</v>
      </c>
    </row>
    <row r="113" spans="2:118" s="298" customFormat="1" ht="72.75" customHeight="1" x14ac:dyDescent="0.35">
      <c r="B113" s="373">
        <v>44916</v>
      </c>
      <c r="C113" s="374">
        <v>0.23958333333333334</v>
      </c>
      <c r="D113" s="374">
        <v>0.5625</v>
      </c>
      <c r="E113" s="375" t="s">
        <v>533</v>
      </c>
      <c r="F113" s="375" t="s">
        <v>534</v>
      </c>
      <c r="G113" s="375" t="s">
        <v>501</v>
      </c>
      <c r="H113" s="375" t="s">
        <v>502</v>
      </c>
      <c r="I113" s="376" t="str">
        <f t="shared" si="1"/>
        <v>09 HORAS</v>
      </c>
      <c r="J113" s="293" t="s">
        <v>342</v>
      </c>
      <c r="K113" s="294">
        <f>+IF(J113=0,0,IF(J113="","",VLOOKUP('INFORME FINAL ENE - FEB'!J113,PLANTILLA!$H$139:$I$191,2,0)))</f>
        <v>290841</v>
      </c>
      <c r="L113" s="295"/>
      <c r="M113" s="300"/>
      <c r="DG113" s="298" t="s">
        <v>504</v>
      </c>
      <c r="DM113" s="298">
        <v>1</v>
      </c>
      <c r="DN113" s="298" t="s">
        <v>504</v>
      </c>
    </row>
    <row r="114" spans="2:118" s="298" customFormat="1" ht="72.75" customHeight="1" x14ac:dyDescent="0.35">
      <c r="B114" s="373">
        <v>44917</v>
      </c>
      <c r="C114" s="374">
        <v>0.23958333333333334</v>
      </c>
      <c r="D114" s="374">
        <v>0.5625</v>
      </c>
      <c r="E114" s="375" t="s">
        <v>533</v>
      </c>
      <c r="F114" s="375" t="s">
        <v>534</v>
      </c>
      <c r="G114" s="375" t="s">
        <v>501</v>
      </c>
      <c r="H114" s="375" t="s">
        <v>502</v>
      </c>
      <c r="I114" s="376" t="str">
        <f t="shared" si="1"/>
        <v>09 HORAS</v>
      </c>
      <c r="J114" s="293" t="s">
        <v>342</v>
      </c>
      <c r="K114" s="294">
        <f>+IF(J114=0,0,IF(J114="","",VLOOKUP('INFORME FINAL ENE - FEB'!J114,PLANTILLA!$H$139:$I$191,2,0)))</f>
        <v>290841</v>
      </c>
      <c r="L114" s="295"/>
      <c r="M114" s="300"/>
      <c r="DG114" s="298" t="s">
        <v>504</v>
      </c>
      <c r="DM114" s="298">
        <v>1</v>
      </c>
      <c r="DN114" s="298" t="s">
        <v>504</v>
      </c>
    </row>
    <row r="115" spans="2:118" s="298" customFormat="1" ht="72.75" customHeight="1" x14ac:dyDescent="0.35">
      <c r="B115" s="373">
        <v>44918</v>
      </c>
      <c r="C115" s="374">
        <v>0.23958333333333334</v>
      </c>
      <c r="D115" s="374">
        <v>0.77083333333333337</v>
      </c>
      <c r="E115" s="375" t="s">
        <v>533</v>
      </c>
      <c r="F115" s="375" t="s">
        <v>534</v>
      </c>
      <c r="G115" s="375" t="s">
        <v>501</v>
      </c>
      <c r="H115" s="375" t="s">
        <v>502</v>
      </c>
      <c r="I115" s="376" t="str">
        <f t="shared" si="1"/>
        <v>15 HORAS</v>
      </c>
      <c r="J115" s="293" t="s">
        <v>337</v>
      </c>
      <c r="K115" s="294">
        <f>+IF(J115=0,0,IF(J115="","",VLOOKUP('INFORME FINAL ENE - FEB'!J115,PLANTILLA!$H$139:$I$191,2,0)))</f>
        <v>323189</v>
      </c>
      <c r="L115" s="295"/>
      <c r="M115" s="300"/>
      <c r="DG115" s="298" t="s">
        <v>504</v>
      </c>
      <c r="DM115" s="298">
        <v>1</v>
      </c>
      <c r="DN115" s="298" t="s">
        <v>504</v>
      </c>
    </row>
    <row r="116" spans="2:118" s="298" customFormat="1" ht="72.75" customHeight="1" x14ac:dyDescent="0.35">
      <c r="B116" s="373">
        <v>44922</v>
      </c>
      <c r="C116" s="374">
        <v>0.23958333333333334</v>
      </c>
      <c r="D116" s="374">
        <v>0.5625</v>
      </c>
      <c r="E116" s="375" t="s">
        <v>533</v>
      </c>
      <c r="F116" s="375" t="s">
        <v>534</v>
      </c>
      <c r="G116" s="375" t="s">
        <v>501</v>
      </c>
      <c r="H116" s="375" t="s">
        <v>502</v>
      </c>
      <c r="I116" s="376" t="str">
        <f t="shared" si="0"/>
        <v>09 HORAS</v>
      </c>
      <c r="J116" s="293" t="s">
        <v>342</v>
      </c>
      <c r="K116" s="294">
        <f>+IF(J116=0,0,IF(J116="","",VLOOKUP('INFORME FINAL ENE - FEB'!J116,PLANTILLA!$H$139:$I$191,2,0)))</f>
        <v>290841</v>
      </c>
      <c r="L116" s="295"/>
      <c r="M116" s="300"/>
    </row>
    <row r="117" spans="2:118" s="298" customFormat="1" ht="93" customHeight="1" x14ac:dyDescent="0.35">
      <c r="B117" s="373">
        <v>44923</v>
      </c>
      <c r="C117" s="374">
        <v>0.23958333333333334</v>
      </c>
      <c r="D117" s="374">
        <v>0.5625</v>
      </c>
      <c r="E117" s="375" t="s">
        <v>533</v>
      </c>
      <c r="F117" s="375" t="s">
        <v>534</v>
      </c>
      <c r="G117" s="375" t="s">
        <v>501</v>
      </c>
      <c r="H117" s="375" t="s">
        <v>502</v>
      </c>
      <c r="I117" s="376" t="str">
        <f t="shared" si="0"/>
        <v>09 HORAS</v>
      </c>
      <c r="J117" s="293" t="s">
        <v>342</v>
      </c>
      <c r="K117" s="294">
        <f>+IF(J117=0,0,IF(J117="","",VLOOKUP('INFORME FINAL ENE - FEB'!J117,PLANTILLA!$H$139:$I$191,2,0)))</f>
        <v>290841</v>
      </c>
      <c r="L117" s="295"/>
      <c r="M117" s="300"/>
    </row>
    <row r="118" spans="2:118" s="298" customFormat="1" ht="93" customHeight="1" x14ac:dyDescent="0.35">
      <c r="B118" s="373">
        <v>44924</v>
      </c>
      <c r="C118" s="374">
        <v>0.23958333333333334</v>
      </c>
      <c r="D118" s="374">
        <v>0.77083333333333337</v>
      </c>
      <c r="E118" s="375" t="s">
        <v>533</v>
      </c>
      <c r="F118" s="375" t="s">
        <v>534</v>
      </c>
      <c r="G118" s="375" t="s">
        <v>501</v>
      </c>
      <c r="H118" s="375" t="s">
        <v>502</v>
      </c>
      <c r="I118" s="376" t="str">
        <f t="shared" si="0"/>
        <v>15 HORAS</v>
      </c>
      <c r="J118" s="293" t="s">
        <v>337</v>
      </c>
      <c r="K118" s="294">
        <f>+IF(J118=0,0,IF(J118="","",VLOOKUP('INFORME FINAL ENE - FEB'!J118,PLANTILLA!$H$139:$I$191,2,0)))</f>
        <v>323189</v>
      </c>
      <c r="L118" s="295"/>
      <c r="M118" s="300"/>
    </row>
    <row r="119" spans="2:118" s="298" customFormat="1" ht="93" customHeight="1" x14ac:dyDescent="0.35">
      <c r="B119" s="289">
        <v>44957</v>
      </c>
      <c r="C119" s="290">
        <v>0.29166666666666669</v>
      </c>
      <c r="D119" s="290">
        <v>0.66666666666666663</v>
      </c>
      <c r="E119" s="291" t="s">
        <v>547</v>
      </c>
      <c r="F119" s="291" t="s">
        <v>548</v>
      </c>
      <c r="G119" s="291" t="s">
        <v>503</v>
      </c>
      <c r="H119" s="291" t="s">
        <v>549</v>
      </c>
      <c r="I119" s="292" t="str">
        <f t="shared" si="0"/>
        <v>09 HORAS</v>
      </c>
      <c r="J119" s="293" t="s">
        <v>325</v>
      </c>
      <c r="K119" s="294">
        <f>+IF(J119=0,0,IF(J119="","",VLOOKUP('INFORME FINAL ENE - FEB'!J119,PLANTILLA!$H$139:$I$191,2,0)))</f>
        <v>450204</v>
      </c>
      <c r="L119" s="295"/>
      <c r="M119" s="300"/>
    </row>
    <row r="120" spans="2:118" s="298" customFormat="1" ht="93" customHeight="1" x14ac:dyDescent="0.35">
      <c r="B120" s="289">
        <v>44957</v>
      </c>
      <c r="C120" s="290">
        <v>0.33333333333333331</v>
      </c>
      <c r="D120" s="290">
        <v>0.5</v>
      </c>
      <c r="E120" s="291" t="s">
        <v>547</v>
      </c>
      <c r="F120" s="291" t="s">
        <v>548</v>
      </c>
      <c r="G120" s="291" t="s">
        <v>503</v>
      </c>
      <c r="H120" s="291" t="s">
        <v>549</v>
      </c>
      <c r="I120" s="292" t="str">
        <f t="shared" si="0"/>
        <v>04 HORAS</v>
      </c>
      <c r="J120" s="293" t="s">
        <v>330</v>
      </c>
      <c r="K120" s="294">
        <f>+IF(J120=0,0,IF(J120="","",VLOOKUP('INFORME FINAL ENE - FEB'!J120,PLANTILLA!$H$139:$I$191,2,0)))</f>
        <v>369327</v>
      </c>
      <c r="L120" s="295"/>
      <c r="M120" s="300"/>
    </row>
    <row r="121" spans="2:118" s="298" customFormat="1" ht="93" customHeight="1" x14ac:dyDescent="0.35">
      <c r="B121" s="289">
        <v>44958</v>
      </c>
      <c r="C121" s="290">
        <v>0.29166666666666669</v>
      </c>
      <c r="D121" s="290">
        <v>0.66666666666666663</v>
      </c>
      <c r="E121" s="291" t="s">
        <v>547</v>
      </c>
      <c r="F121" s="291" t="s">
        <v>548</v>
      </c>
      <c r="G121" s="291" t="s">
        <v>503</v>
      </c>
      <c r="H121" s="291" t="s">
        <v>549</v>
      </c>
      <c r="I121" s="292" t="str">
        <f t="shared" si="0"/>
        <v>04 HORAS</v>
      </c>
      <c r="J121" s="293" t="s">
        <v>330</v>
      </c>
      <c r="K121" s="294">
        <f>+IF(J121=0,0,IF(J121="","",VLOOKUP('INFORME FINAL ENE - FEB'!J121,PLANTILLA!$H$139:$I$191,2,0)))</f>
        <v>369327</v>
      </c>
      <c r="L121" s="295"/>
      <c r="M121" s="300"/>
    </row>
    <row r="122" spans="2:118" s="298" customFormat="1" ht="93" customHeight="1" x14ac:dyDescent="0.35">
      <c r="B122" s="289">
        <v>44958</v>
      </c>
      <c r="C122" s="290">
        <v>0.33333333333333331</v>
      </c>
      <c r="D122" s="290">
        <v>0.5</v>
      </c>
      <c r="E122" s="291" t="s">
        <v>547</v>
      </c>
      <c r="F122" s="291" t="s">
        <v>548</v>
      </c>
      <c r="G122" s="291" t="s">
        <v>503</v>
      </c>
      <c r="H122" s="291" t="s">
        <v>549</v>
      </c>
      <c r="I122" s="292" t="str">
        <f t="shared" si="0"/>
        <v>04 HORAS</v>
      </c>
      <c r="J122" s="293" t="s">
        <v>345</v>
      </c>
      <c r="K122" s="294">
        <f>+IF(J122=0,0,IF(J122="","",VLOOKUP('INFORME FINAL ENE - FEB'!J122,PLANTILLA!$H$139:$I$191,2,0)))</f>
        <v>323876</v>
      </c>
      <c r="L122" s="295"/>
      <c r="M122" s="300"/>
    </row>
    <row r="123" spans="2:118" s="298" customFormat="1" ht="93" customHeight="1" x14ac:dyDescent="0.35">
      <c r="B123" s="289">
        <v>44958</v>
      </c>
      <c r="C123" s="290">
        <v>0.29166666666666669</v>
      </c>
      <c r="D123" s="290">
        <v>0.66666666666666663</v>
      </c>
      <c r="E123" s="291" t="s">
        <v>550</v>
      </c>
      <c r="F123" s="291" t="s">
        <v>551</v>
      </c>
      <c r="G123" s="291" t="s">
        <v>500</v>
      </c>
      <c r="H123" s="291" t="s">
        <v>539</v>
      </c>
      <c r="I123" s="292" t="str">
        <f t="shared" si="0"/>
        <v>09 HORAS</v>
      </c>
      <c r="J123" s="293" t="s">
        <v>339</v>
      </c>
      <c r="K123" s="294">
        <f>+IF(J123=0,0,IF(J123="","",VLOOKUP('INFORME FINAL ENE - FEB'!J123,PLANTILLA!$H$139:$I$191,2,0)))</f>
        <v>433978</v>
      </c>
      <c r="L123" s="295"/>
      <c r="M123" s="300"/>
    </row>
    <row r="124" spans="2:118" s="298" customFormat="1" ht="93" customHeight="1" x14ac:dyDescent="0.35">
      <c r="B124" s="289">
        <v>44958</v>
      </c>
      <c r="C124" s="290">
        <v>0.29166666666666669</v>
      </c>
      <c r="D124" s="290">
        <v>0.66666666666666663</v>
      </c>
      <c r="E124" s="291" t="s">
        <v>550</v>
      </c>
      <c r="F124" s="291" t="s">
        <v>551</v>
      </c>
      <c r="G124" s="291" t="s">
        <v>500</v>
      </c>
      <c r="H124" s="291" t="s">
        <v>539</v>
      </c>
      <c r="I124" s="292" t="str">
        <f t="shared" si="0"/>
        <v>09 HORAS</v>
      </c>
      <c r="J124" s="293" t="s">
        <v>339</v>
      </c>
      <c r="K124" s="294">
        <f>+IF(J124=0,0,IF(J124="","",VLOOKUP('INFORME FINAL ENE - FEB'!J124,PLANTILLA!$H$139:$I$191,2,0)))</f>
        <v>433978</v>
      </c>
      <c r="L124" s="295"/>
      <c r="M124" s="300"/>
    </row>
    <row r="125" spans="2:118" s="298" customFormat="1" ht="93" customHeight="1" x14ac:dyDescent="0.35">
      <c r="B125" s="289">
        <v>44957</v>
      </c>
      <c r="C125" s="290">
        <v>0.52083333333333337</v>
      </c>
      <c r="D125" s="290">
        <v>0.6875</v>
      </c>
      <c r="E125" s="291" t="s">
        <v>537</v>
      </c>
      <c r="F125" s="291" t="s">
        <v>551</v>
      </c>
      <c r="G125" s="291" t="s">
        <v>500</v>
      </c>
      <c r="H125" s="291" t="s">
        <v>539</v>
      </c>
      <c r="I125" s="292" t="str">
        <f t="shared" si="0"/>
        <v>04 HORAS</v>
      </c>
      <c r="J125" s="293" t="s">
        <v>344</v>
      </c>
      <c r="K125" s="294">
        <f>+IF(J125=0,0,IF(J125="","",VLOOKUP('INFORME FINAL ENE - FEB'!J125,PLANTILLA!$H$139:$I$191,2,0)))</f>
        <v>374201</v>
      </c>
      <c r="L125" s="295"/>
      <c r="M125" s="300"/>
    </row>
    <row r="126" spans="2:118" s="298" customFormat="1" ht="93" customHeight="1" x14ac:dyDescent="0.35">
      <c r="B126" s="289">
        <v>44957</v>
      </c>
      <c r="C126" s="290">
        <v>0.52083333333333337</v>
      </c>
      <c r="D126" s="290">
        <v>0.6875</v>
      </c>
      <c r="E126" s="291" t="s">
        <v>537</v>
      </c>
      <c r="F126" s="291" t="s">
        <v>551</v>
      </c>
      <c r="G126" s="291" t="s">
        <v>500</v>
      </c>
      <c r="H126" s="291" t="s">
        <v>539</v>
      </c>
      <c r="I126" s="292" t="str">
        <f t="shared" si="0"/>
        <v>06 HORAS</v>
      </c>
      <c r="J126" s="293" t="s">
        <v>360</v>
      </c>
      <c r="K126" s="294">
        <f>+IF(J126=0,0,IF(J126="","",VLOOKUP('INFORME FINAL ENE - FEB'!J126,PLANTILLA!$H$139:$I$191,2,0)))</f>
        <v>41562</v>
      </c>
      <c r="L126" s="295"/>
      <c r="M126" s="300"/>
    </row>
    <row r="127" spans="2:118" s="298" customFormat="1" ht="93" customHeight="1" x14ac:dyDescent="0.35">
      <c r="B127" s="289">
        <v>44957</v>
      </c>
      <c r="C127" s="290">
        <v>0.33333333333333331</v>
      </c>
      <c r="D127" s="290">
        <v>0.66666666666666663</v>
      </c>
      <c r="E127" s="291" t="s">
        <v>537</v>
      </c>
      <c r="F127" s="291" t="s">
        <v>551</v>
      </c>
      <c r="G127" s="291" t="s">
        <v>500</v>
      </c>
      <c r="H127" s="291" t="s">
        <v>539</v>
      </c>
      <c r="I127" s="292" t="str">
        <f t="shared" si="0"/>
        <v>09 HORAS</v>
      </c>
      <c r="J127" s="293" t="s">
        <v>353</v>
      </c>
      <c r="K127" s="294">
        <f>+IF(J127=0,0,IF(J127="","",VLOOKUP('INFORME FINAL ENE - FEB'!J127,PLANTILLA!$H$139:$I$191,2,0)))</f>
        <v>242399</v>
      </c>
      <c r="L127" s="295"/>
      <c r="M127" s="300"/>
    </row>
    <row r="128" spans="2:118" s="298" customFormat="1" ht="93" customHeight="1" x14ac:dyDescent="0.35">
      <c r="B128" s="289">
        <v>44958</v>
      </c>
      <c r="C128" s="290">
        <v>0.33333333333333331</v>
      </c>
      <c r="D128" s="290">
        <v>0.6875</v>
      </c>
      <c r="E128" s="291" t="s">
        <v>537</v>
      </c>
      <c r="F128" s="291" t="s">
        <v>551</v>
      </c>
      <c r="G128" s="291" t="s">
        <v>500</v>
      </c>
      <c r="H128" s="291" t="s">
        <v>539</v>
      </c>
      <c r="I128" s="292" t="str">
        <f t="shared" si="0"/>
        <v>09 HORAS</v>
      </c>
      <c r="J128" s="293" t="s">
        <v>353</v>
      </c>
      <c r="K128" s="294">
        <f>+IF(J128=0,0,IF(J128="","",VLOOKUP('INFORME FINAL ENE - FEB'!J128,PLANTILLA!$H$139:$I$191,2,0)))</f>
        <v>242399</v>
      </c>
      <c r="L128" s="295"/>
      <c r="M128" s="300"/>
    </row>
    <row r="129" spans="2:13" s="298" customFormat="1" ht="93" customHeight="1" x14ac:dyDescent="0.35">
      <c r="B129" s="289">
        <v>44958</v>
      </c>
      <c r="C129" s="290">
        <v>0.33333333333333331</v>
      </c>
      <c r="D129" s="290">
        <v>0.6875</v>
      </c>
      <c r="E129" s="291" t="s">
        <v>537</v>
      </c>
      <c r="F129" s="291" t="s">
        <v>551</v>
      </c>
      <c r="G129" s="291" t="s">
        <v>500</v>
      </c>
      <c r="H129" s="291" t="s">
        <v>539</v>
      </c>
      <c r="I129" s="292" t="str">
        <f t="shared" si="0"/>
        <v>08 HORAS</v>
      </c>
      <c r="J129" s="293" t="s">
        <v>542</v>
      </c>
      <c r="K129" s="294">
        <f>+IF(J129=0,0,IF(J129="","",VLOOKUP('INFORME FINAL ENE - FEB'!J129,PLANTILLA!$H$139:$I$191,2,0)))</f>
        <v>535770</v>
      </c>
      <c r="L129" s="295"/>
      <c r="M129" s="300"/>
    </row>
    <row r="130" spans="2:13" s="298" customFormat="1" ht="93" customHeight="1" x14ac:dyDescent="0.35">
      <c r="B130" s="289">
        <v>44952</v>
      </c>
      <c r="C130" s="290">
        <v>0.33333333333333331</v>
      </c>
      <c r="D130" s="290">
        <v>0.75</v>
      </c>
      <c r="E130" s="291" t="s">
        <v>537</v>
      </c>
      <c r="F130" s="291" t="s">
        <v>538</v>
      </c>
      <c r="G130" s="291" t="s">
        <v>500</v>
      </c>
      <c r="H130" s="291" t="s">
        <v>539</v>
      </c>
      <c r="I130" s="292" t="str">
        <f t="shared" si="0"/>
        <v>06 HORAS</v>
      </c>
      <c r="J130" s="293" t="s">
        <v>540</v>
      </c>
      <c r="K130" s="294">
        <f>+IF(J130=0,0,IF(J130="","",VLOOKUP('INFORME FINAL ENE - FEB'!J130,PLANTILLA!$H$139:$I$191,2,0)))</f>
        <v>249372</v>
      </c>
      <c r="L130" s="295"/>
      <c r="M130" s="300"/>
    </row>
    <row r="131" spans="2:13" s="298" customFormat="1" ht="93" customHeight="1" x14ac:dyDescent="0.35">
      <c r="B131" s="289">
        <v>44958</v>
      </c>
      <c r="C131" s="290">
        <v>0.33333333333333331</v>
      </c>
      <c r="D131" s="290">
        <v>0.6875</v>
      </c>
      <c r="E131" s="291" t="s">
        <v>537</v>
      </c>
      <c r="F131" s="291" t="s">
        <v>551</v>
      </c>
      <c r="G131" s="291" t="s">
        <v>500</v>
      </c>
      <c r="H131" s="291" t="s">
        <v>539</v>
      </c>
      <c r="I131" s="292" t="str">
        <f t="shared" si="0"/>
        <v>06 HORAS</v>
      </c>
      <c r="J131" s="293" t="s">
        <v>360</v>
      </c>
      <c r="K131" s="294">
        <f>+IF(J131=0,0,IF(J131="","",VLOOKUP('INFORME FINAL ENE - FEB'!J131,PLANTILLA!$H$139:$I$191,2,0)))</f>
        <v>41562</v>
      </c>
      <c r="L131" s="295"/>
      <c r="M131" s="300"/>
    </row>
    <row r="132" spans="2:13" s="298" customFormat="1" ht="93" customHeight="1" x14ac:dyDescent="0.35">
      <c r="B132" s="289">
        <v>44958</v>
      </c>
      <c r="C132" s="290">
        <v>0.33333333333333331</v>
      </c>
      <c r="D132" s="290">
        <v>0.6875</v>
      </c>
      <c r="E132" s="291" t="s">
        <v>537</v>
      </c>
      <c r="F132" s="291" t="s">
        <v>551</v>
      </c>
      <c r="G132" s="291" t="s">
        <v>500</v>
      </c>
      <c r="H132" s="291" t="s">
        <v>539</v>
      </c>
      <c r="I132" s="292" t="str">
        <f t="shared" si="0"/>
        <v>06 HORAS</v>
      </c>
      <c r="J132" s="293" t="s">
        <v>360</v>
      </c>
      <c r="K132" s="294">
        <f>+IF(J132=0,0,IF(J132="","",VLOOKUP('INFORME FINAL ENE - FEB'!J132,PLANTILLA!$H$139:$I$191,2,0)))</f>
        <v>41562</v>
      </c>
      <c r="L132" s="295"/>
      <c r="M132" s="300"/>
    </row>
    <row r="133" spans="2:13" s="298" customFormat="1" ht="76.5" customHeight="1" x14ac:dyDescent="0.35">
      <c r="B133" s="289">
        <v>44958</v>
      </c>
      <c r="C133" s="290">
        <v>0.33333333333333331</v>
      </c>
      <c r="D133" s="290">
        <v>0.6875</v>
      </c>
      <c r="E133" s="291" t="s">
        <v>537</v>
      </c>
      <c r="F133" s="291" t="s">
        <v>551</v>
      </c>
      <c r="G133" s="291" t="s">
        <v>500</v>
      </c>
      <c r="H133" s="291" t="s">
        <v>539</v>
      </c>
      <c r="I133" s="292" t="str">
        <f t="shared" si="0"/>
        <v>06 HORAS</v>
      </c>
      <c r="J133" s="293" t="s">
        <v>360</v>
      </c>
      <c r="K133" s="294">
        <f>+IF(J133=0,0,IF(J133="","",VLOOKUP('INFORME FINAL ENE - FEB'!J133,PLANTILLA!$H$139:$I$191,2,0)))</f>
        <v>41562</v>
      </c>
      <c r="L133" s="295"/>
      <c r="M133" s="300"/>
    </row>
    <row r="134" spans="2:13" s="298" customFormat="1" ht="76.5" customHeight="1" x14ac:dyDescent="0.35">
      <c r="B134" s="289">
        <v>44959</v>
      </c>
      <c r="C134" s="290">
        <v>0.14583333333333334</v>
      </c>
      <c r="D134" s="290">
        <v>0.39583333333333331</v>
      </c>
      <c r="E134" s="291" t="s">
        <v>537</v>
      </c>
      <c r="F134" s="291" t="s">
        <v>551</v>
      </c>
      <c r="G134" s="291" t="s">
        <v>500</v>
      </c>
      <c r="H134" s="291" t="s">
        <v>539</v>
      </c>
      <c r="I134" s="292" t="str">
        <f t="shared" si="0"/>
        <v>06 HORAS</v>
      </c>
      <c r="J134" s="293" t="s">
        <v>541</v>
      </c>
      <c r="K134" s="294">
        <f>+IF(J134=0,0,IF(J134="","",VLOOKUP('INFORME FINAL ENE - FEB'!J134,PLANTILLA!$H$139:$I$191,2,0)))</f>
        <v>332496</v>
      </c>
      <c r="L134" s="295"/>
      <c r="M134" s="300"/>
    </row>
    <row r="135" spans="2:13" s="298" customFormat="1" ht="76.5" customHeight="1" x14ac:dyDescent="0.35">
      <c r="B135" s="289">
        <v>44959</v>
      </c>
      <c r="C135" s="290">
        <v>0.14583333333333334</v>
      </c>
      <c r="D135" s="290">
        <v>0.39583333333333331</v>
      </c>
      <c r="E135" s="291" t="s">
        <v>537</v>
      </c>
      <c r="F135" s="291" t="s">
        <v>551</v>
      </c>
      <c r="G135" s="291" t="s">
        <v>500</v>
      </c>
      <c r="H135" s="291" t="s">
        <v>539</v>
      </c>
      <c r="I135" s="292" t="str">
        <f t="shared" si="0"/>
        <v>06 HORAS</v>
      </c>
      <c r="J135" s="293" t="s">
        <v>541</v>
      </c>
      <c r="K135" s="294">
        <f>+IF(J135=0,0,IF(J135="","",VLOOKUP('INFORME FINAL ENE - FEB'!J135,PLANTILLA!$H$139:$I$191,2,0)))</f>
        <v>332496</v>
      </c>
      <c r="L135" s="295"/>
      <c r="M135" s="300"/>
    </row>
    <row r="136" spans="2:13" s="298" customFormat="1" ht="76.5" customHeight="1" x14ac:dyDescent="0.35">
      <c r="B136" s="289"/>
      <c r="C136" s="290"/>
      <c r="D136" s="290"/>
      <c r="E136" s="291"/>
      <c r="F136" s="291"/>
      <c r="G136" s="291"/>
      <c r="H136" s="291"/>
      <c r="I136" s="292">
        <f t="shared" si="0"/>
        <v>0</v>
      </c>
      <c r="J136" s="293"/>
      <c r="K136" s="294">
        <f>+IF(J136=0,0,IF(J136="","",VLOOKUP('INFORME FINAL ENE - FEB'!J136,PLANTILLA!$H$139:$I$191,2,0)))</f>
        <v>0</v>
      </c>
      <c r="L136" s="295"/>
      <c r="M136" s="300"/>
    </row>
    <row r="137" spans="2:13" s="298" customFormat="1" ht="76.5" customHeight="1" x14ac:dyDescent="0.35">
      <c r="B137" s="289"/>
      <c r="C137" s="290"/>
      <c r="D137" s="290"/>
      <c r="E137" s="291"/>
      <c r="F137" s="291"/>
      <c r="G137" s="291"/>
      <c r="H137" s="291"/>
      <c r="I137" s="292">
        <f t="shared" si="0"/>
        <v>0</v>
      </c>
      <c r="J137" s="293"/>
      <c r="K137" s="294">
        <f>+IF(J137=0,0,IF(J137="","",VLOOKUP('INFORME FINAL ENE - FEB'!J137,PLANTILLA!$H$139:$I$191,2,0)))</f>
        <v>0</v>
      </c>
      <c r="L137" s="295"/>
      <c r="M137" s="300"/>
    </row>
    <row r="138" spans="2:13" s="298" customFormat="1" ht="76.5" customHeight="1" x14ac:dyDescent="0.35">
      <c r="B138" s="289"/>
      <c r="C138" s="290"/>
      <c r="D138" s="290"/>
      <c r="E138" s="291"/>
      <c r="F138" s="291"/>
      <c r="G138" s="291"/>
      <c r="H138" s="291"/>
      <c r="I138" s="292">
        <f t="shared" si="0"/>
        <v>0</v>
      </c>
      <c r="J138" s="293"/>
      <c r="K138" s="294">
        <f>+IF(J138=0,0,IF(J138="","",VLOOKUP('INFORME FINAL ENE - FEB'!J138,PLANTILLA!$H$139:$I$191,2,0)))</f>
        <v>0</v>
      </c>
      <c r="L138" s="295"/>
      <c r="M138" s="300"/>
    </row>
    <row r="139" spans="2:13" s="298" customFormat="1" ht="76.5" customHeight="1" x14ac:dyDescent="0.35">
      <c r="B139" s="289"/>
      <c r="C139" s="290"/>
      <c r="D139" s="290"/>
      <c r="E139" s="291"/>
      <c r="F139" s="291"/>
      <c r="G139" s="291"/>
      <c r="H139" s="291"/>
      <c r="I139" s="292">
        <f t="shared" si="0"/>
        <v>0</v>
      </c>
      <c r="J139" s="293"/>
      <c r="K139" s="294">
        <f>+IF(J139=0,0,IF(J139="","",VLOOKUP('INFORME FINAL ENE - FEB'!J139,PLANTILLA!$H$139:$I$191,2,0)))</f>
        <v>0</v>
      </c>
      <c r="L139" s="295"/>
      <c r="M139" s="300"/>
    </row>
    <row r="140" spans="2:13" s="298" customFormat="1" ht="76.5" customHeight="1" x14ac:dyDescent="0.35">
      <c r="B140" s="289"/>
      <c r="C140" s="290"/>
      <c r="D140" s="290"/>
      <c r="E140" s="291"/>
      <c r="F140" s="291"/>
      <c r="G140" s="291"/>
      <c r="H140" s="291"/>
      <c r="I140" s="292">
        <f t="shared" si="0"/>
        <v>0</v>
      </c>
      <c r="J140" s="293"/>
      <c r="K140" s="294">
        <f>+IF(J140=0,0,IF(J140="","",VLOOKUP('INFORME FINAL ENE - FEB'!J140,PLANTILLA!$H$139:$I$191,2,0)))</f>
        <v>0</v>
      </c>
      <c r="L140" s="295"/>
      <c r="M140" s="300"/>
    </row>
    <row r="141" spans="2:13" s="298" customFormat="1" ht="76.5" customHeight="1" x14ac:dyDescent="0.35">
      <c r="B141" s="289"/>
      <c r="C141" s="290"/>
      <c r="D141" s="290"/>
      <c r="E141" s="291"/>
      <c r="F141" s="291"/>
      <c r="G141" s="291"/>
      <c r="H141" s="291"/>
      <c r="I141" s="292">
        <f t="shared" si="0"/>
        <v>0</v>
      </c>
      <c r="J141" s="293"/>
      <c r="K141" s="294">
        <f>+IF(J141=0,0,IF(J141="","",VLOOKUP('INFORME FINAL ENE - FEB'!J141,PLANTILLA!$H$139:$I$191,2,0)))</f>
        <v>0</v>
      </c>
      <c r="L141" s="295"/>
      <c r="M141" s="300"/>
    </row>
    <row r="142" spans="2:13" s="298" customFormat="1" ht="76.5" customHeight="1" x14ac:dyDescent="0.35">
      <c r="B142" s="289"/>
      <c r="C142" s="290"/>
      <c r="D142" s="290"/>
      <c r="E142" s="291"/>
      <c r="F142" s="291"/>
      <c r="G142" s="291"/>
      <c r="H142" s="291"/>
      <c r="I142" s="292">
        <f t="shared" si="0"/>
        <v>0</v>
      </c>
      <c r="J142" s="293"/>
      <c r="K142" s="294">
        <f>+IF(J142=0,0,IF(J142="","",VLOOKUP('INFORME FINAL ENE - FEB'!J142,PLANTILLA!$H$139:$I$191,2,0)))</f>
        <v>0</v>
      </c>
      <c r="L142" s="295"/>
      <c r="M142" s="300"/>
    </row>
    <row r="143" spans="2:13" s="298" customFormat="1" ht="27" x14ac:dyDescent="0.35">
      <c r="B143" s="289"/>
      <c r="C143" s="304"/>
      <c r="D143" s="304"/>
      <c r="E143" s="291"/>
      <c r="F143" s="305"/>
      <c r="G143" s="305"/>
      <c r="H143" s="305"/>
      <c r="I143" s="292">
        <f t="shared" si="0"/>
        <v>0</v>
      </c>
      <c r="J143" s="293"/>
      <c r="K143" s="294">
        <f>+IF(J143=0,0,IF(J143="","",VLOOKUP('INFORME FINAL ENE - FEB'!J143,PLANTILLA!$H$139:$I$191,2,0)))</f>
        <v>0</v>
      </c>
      <c r="L143" s="295"/>
      <c r="M143" s="300"/>
    </row>
    <row r="144" spans="2:13" s="298" customFormat="1" ht="27" x14ac:dyDescent="0.35">
      <c r="B144" s="289"/>
      <c r="C144" s="304"/>
      <c r="D144" s="304"/>
      <c r="E144" s="291"/>
      <c r="F144" s="305"/>
      <c r="G144" s="305"/>
      <c r="H144" s="305"/>
      <c r="I144" s="292">
        <f t="shared" si="0"/>
        <v>0</v>
      </c>
      <c r="J144" s="293"/>
      <c r="K144" s="294">
        <f>+IF(J144=0,0,IF(J144="","",VLOOKUP('INFORME FINAL ENE - FEB'!J144,PLANTILLA!$H$139:$I$191,2,0)))</f>
        <v>0</v>
      </c>
      <c r="L144" s="295"/>
      <c r="M144" s="300"/>
    </row>
    <row r="145" spans="2:13" s="298" customFormat="1" ht="27" x14ac:dyDescent="0.35">
      <c r="B145" s="289"/>
      <c r="C145" s="290"/>
      <c r="D145" s="290"/>
      <c r="E145" s="291"/>
      <c r="F145" s="291"/>
      <c r="G145" s="291"/>
      <c r="H145" s="291"/>
      <c r="I145" s="292">
        <f t="shared" si="0"/>
        <v>0</v>
      </c>
      <c r="J145" s="293"/>
      <c r="K145" s="294">
        <f>+IF(J145=0,0,IF(J145="","",VLOOKUP('INFORME FINAL ENE - FEB'!J145,PLANTILLA!$H$139:$I$191,2,0)))</f>
        <v>0</v>
      </c>
      <c r="L145" s="295"/>
      <c r="M145" s="300"/>
    </row>
    <row r="146" spans="2:13" s="298" customFormat="1" ht="27" x14ac:dyDescent="0.35">
      <c r="B146" s="289"/>
      <c r="C146" s="304"/>
      <c r="D146" s="304"/>
      <c r="E146" s="305"/>
      <c r="F146" s="305"/>
      <c r="G146" s="305"/>
      <c r="H146" s="305"/>
      <c r="I146" s="292">
        <f t="shared" si="0"/>
        <v>0</v>
      </c>
      <c r="J146" s="293"/>
      <c r="K146" s="294">
        <f>+IF(J146=0,0,IF(J146="","",VLOOKUP('INFORME FINAL ENE - FEB'!J146,PLANTILLA!$H$139:$I$191,2,0)))</f>
        <v>0</v>
      </c>
      <c r="L146" s="295"/>
      <c r="M146" s="300"/>
    </row>
    <row r="147" spans="2:13" s="298" customFormat="1" ht="27" x14ac:dyDescent="0.35">
      <c r="B147" s="289"/>
      <c r="C147" s="304"/>
      <c r="D147" s="304"/>
      <c r="E147" s="305"/>
      <c r="F147" s="305"/>
      <c r="G147" s="305"/>
      <c r="H147" s="305"/>
      <c r="I147" s="292">
        <f t="shared" ref="I147:I164" si="2">+IF(J147=0,0,CONCATENATE(MID(J147,FIND("-",J147,1)+1,4),"ORAS"))</f>
        <v>0</v>
      </c>
      <c r="J147" s="293"/>
      <c r="K147" s="294">
        <f>+IF(J147=0,0,IF(J147="","",VLOOKUP('INFORME FINAL ENE - FEB'!J147,PLANTILLA!$H$139:$I$191,2,0)))</f>
        <v>0</v>
      </c>
      <c r="L147" s="295"/>
      <c r="M147" s="300"/>
    </row>
    <row r="148" spans="2:13" s="298" customFormat="1" ht="27" x14ac:dyDescent="0.35">
      <c r="B148" s="289"/>
      <c r="C148" s="290"/>
      <c r="D148" s="290"/>
      <c r="E148" s="291"/>
      <c r="F148" s="291"/>
      <c r="G148" s="291"/>
      <c r="H148" s="291"/>
      <c r="I148" s="292">
        <f t="shared" si="2"/>
        <v>0</v>
      </c>
      <c r="J148" s="293"/>
      <c r="K148" s="294">
        <f>+IF(J148=0,0,IF(J148="","",VLOOKUP('INFORME FINAL ENE - FEB'!J148,PLANTILLA!$H$139:$I$191,2,0)))</f>
        <v>0</v>
      </c>
      <c r="L148" s="295"/>
      <c r="M148" s="300"/>
    </row>
    <row r="149" spans="2:13" s="298" customFormat="1" ht="27" x14ac:dyDescent="0.35">
      <c r="B149" s="289"/>
      <c r="C149" s="290"/>
      <c r="D149" s="290"/>
      <c r="E149" s="291"/>
      <c r="F149" s="291"/>
      <c r="G149" s="291"/>
      <c r="H149" s="291"/>
      <c r="I149" s="292">
        <f t="shared" si="2"/>
        <v>0</v>
      </c>
      <c r="J149" s="293"/>
      <c r="K149" s="294">
        <f>+IF(J149=0,0,IF(J149="","",VLOOKUP('INFORME FINAL ENE - FEB'!J149,PLANTILLA!$H$139:$I$191,2,0)))</f>
        <v>0</v>
      </c>
      <c r="L149" s="295"/>
      <c r="M149" s="300"/>
    </row>
    <row r="150" spans="2:13" s="298" customFormat="1" ht="27" x14ac:dyDescent="0.35">
      <c r="B150" s="289"/>
      <c r="C150" s="290"/>
      <c r="D150" s="290"/>
      <c r="E150" s="291"/>
      <c r="F150" s="291"/>
      <c r="G150" s="291"/>
      <c r="H150" s="291"/>
      <c r="I150" s="292">
        <f t="shared" si="2"/>
        <v>0</v>
      </c>
      <c r="J150" s="293"/>
      <c r="K150" s="294">
        <f>+IF(J150=0,0,IF(J150="","",VLOOKUP('INFORME FINAL ENE - FEB'!J150,PLANTILLA!$H$139:$I$191,2,0)))</f>
        <v>0</v>
      </c>
      <c r="L150" s="295"/>
      <c r="M150" s="300"/>
    </row>
    <row r="151" spans="2:13" s="298" customFormat="1" ht="27" x14ac:dyDescent="0.35">
      <c r="B151" s="289"/>
      <c r="C151" s="290"/>
      <c r="D151" s="290"/>
      <c r="E151" s="291"/>
      <c r="F151" s="291"/>
      <c r="G151" s="291"/>
      <c r="H151" s="291"/>
      <c r="I151" s="292">
        <f t="shared" si="2"/>
        <v>0</v>
      </c>
      <c r="J151" s="293"/>
      <c r="K151" s="294">
        <f>+IF(J151=0,0,IF(J151="","",VLOOKUP('INFORME FINAL ENE - FEB'!J151,PLANTILLA!$H$139:$I$191,2,0)))</f>
        <v>0</v>
      </c>
      <c r="L151" s="295"/>
      <c r="M151" s="300"/>
    </row>
    <row r="152" spans="2:13" s="298" customFormat="1" ht="27" x14ac:dyDescent="0.35">
      <c r="B152" s="289"/>
      <c r="C152" s="290"/>
      <c r="D152" s="290"/>
      <c r="E152" s="291"/>
      <c r="F152" s="291"/>
      <c r="G152" s="291"/>
      <c r="H152" s="291"/>
      <c r="I152" s="292">
        <f t="shared" si="2"/>
        <v>0</v>
      </c>
      <c r="J152" s="293"/>
      <c r="K152" s="294">
        <f>+IF(J152=0,0,IF(J152="","",VLOOKUP('INFORME FINAL ENE - FEB'!J152,PLANTILLA!$H$139:$I$191,2,0)))</f>
        <v>0</v>
      </c>
      <c r="L152" s="295"/>
      <c r="M152" s="300"/>
    </row>
    <row r="153" spans="2:13" s="298" customFormat="1" ht="27" x14ac:dyDescent="0.35">
      <c r="B153" s="289"/>
      <c r="C153" s="290"/>
      <c r="D153" s="290"/>
      <c r="E153" s="291"/>
      <c r="F153" s="291"/>
      <c r="G153" s="291"/>
      <c r="H153" s="291"/>
      <c r="I153" s="292">
        <f t="shared" si="2"/>
        <v>0</v>
      </c>
      <c r="J153" s="293"/>
      <c r="K153" s="294">
        <f>+IF(J153=0,0,IF(J153="","",VLOOKUP('INFORME FINAL ENE - FEB'!J153,PLANTILLA!$H$139:$I$191,2,0)))</f>
        <v>0</v>
      </c>
      <c r="L153" s="295"/>
      <c r="M153" s="300"/>
    </row>
    <row r="154" spans="2:13" s="298" customFormat="1" ht="27" x14ac:dyDescent="0.35">
      <c r="B154" s="289"/>
      <c r="C154" s="290"/>
      <c r="D154" s="290"/>
      <c r="E154" s="291"/>
      <c r="F154" s="291"/>
      <c r="G154" s="291"/>
      <c r="H154" s="291"/>
      <c r="I154" s="292">
        <f t="shared" si="2"/>
        <v>0</v>
      </c>
      <c r="J154" s="293"/>
      <c r="K154" s="294">
        <f>+IF(J154=0,0,IF(J154="","",VLOOKUP('INFORME FINAL ENE - FEB'!J154,PLANTILLA!$H$139:$I$191,2,0)))</f>
        <v>0</v>
      </c>
      <c r="L154" s="295"/>
      <c r="M154" s="300"/>
    </row>
    <row r="155" spans="2:13" s="298" customFormat="1" ht="27" x14ac:dyDescent="0.35">
      <c r="B155" s="289"/>
      <c r="C155" s="290"/>
      <c r="D155" s="290"/>
      <c r="E155" s="291"/>
      <c r="F155" s="291"/>
      <c r="G155" s="291"/>
      <c r="H155" s="291"/>
      <c r="I155" s="292">
        <f t="shared" si="2"/>
        <v>0</v>
      </c>
      <c r="J155" s="293"/>
      <c r="K155" s="294">
        <f>+IF(J155=0,0,IF(J155="","",VLOOKUP('INFORME FINAL ENE - FEB'!J155,PLANTILLA!$H$139:$I$191,2,0)))</f>
        <v>0</v>
      </c>
      <c r="L155" s="295"/>
      <c r="M155" s="300"/>
    </row>
    <row r="156" spans="2:13" s="298" customFormat="1" ht="27" x14ac:dyDescent="0.35">
      <c r="B156" s="289"/>
      <c r="C156" s="290"/>
      <c r="D156" s="290"/>
      <c r="E156" s="291"/>
      <c r="F156" s="291"/>
      <c r="G156" s="291"/>
      <c r="H156" s="291"/>
      <c r="I156" s="292">
        <f t="shared" si="2"/>
        <v>0</v>
      </c>
      <c r="J156" s="293"/>
      <c r="K156" s="294">
        <f>+IF(J156=0,0,IF(J156="","",VLOOKUP('INFORME FINAL ENE - FEB'!J156,PLANTILLA!$H$139:$I$191,2,0)))</f>
        <v>0</v>
      </c>
      <c r="L156" s="295"/>
      <c r="M156" s="300"/>
    </row>
    <row r="157" spans="2:13" s="298" customFormat="1" ht="27" x14ac:dyDescent="0.35">
      <c r="B157" s="289"/>
      <c r="C157" s="290"/>
      <c r="D157" s="290"/>
      <c r="E157" s="291"/>
      <c r="F157" s="291"/>
      <c r="G157" s="291"/>
      <c r="H157" s="291"/>
      <c r="I157" s="292">
        <f t="shared" si="2"/>
        <v>0</v>
      </c>
      <c r="J157" s="293"/>
      <c r="K157" s="294">
        <f>+IF(J157=0,0,IF(J157="","",VLOOKUP('INFORME FINAL ENE - FEB'!J157,PLANTILLA!$H$139:$I$191,2,0)))</f>
        <v>0</v>
      </c>
      <c r="L157" s="295"/>
      <c r="M157" s="300"/>
    </row>
    <row r="158" spans="2:13" s="298" customFormat="1" ht="27" x14ac:dyDescent="0.35">
      <c r="B158" s="289"/>
      <c r="C158" s="290"/>
      <c r="D158" s="290"/>
      <c r="E158" s="291"/>
      <c r="F158" s="291"/>
      <c r="G158" s="291"/>
      <c r="H158" s="291"/>
      <c r="I158" s="292">
        <f t="shared" si="2"/>
        <v>0</v>
      </c>
      <c r="J158" s="293"/>
      <c r="K158" s="294">
        <f>+IF(J158=0,0,IF(J158="","",VLOOKUP('INFORME FINAL ENE - FEB'!J158,PLANTILLA!$H$139:$I$191,2,0)))</f>
        <v>0</v>
      </c>
      <c r="L158" s="295"/>
      <c r="M158" s="300"/>
    </row>
    <row r="159" spans="2:13" s="298" customFormat="1" ht="27" x14ac:dyDescent="0.35">
      <c r="B159" s="289"/>
      <c r="C159" s="290"/>
      <c r="D159" s="290"/>
      <c r="E159" s="291"/>
      <c r="F159" s="291"/>
      <c r="G159" s="291"/>
      <c r="H159" s="291"/>
      <c r="I159" s="292">
        <f t="shared" si="2"/>
        <v>0</v>
      </c>
      <c r="J159" s="293"/>
      <c r="K159" s="294">
        <f>+IF(J159=0,0,IF(J159="","",VLOOKUP('INFORME FINAL ENE - FEB'!J159,PLANTILLA!$H$139:$I$191,2,0)))</f>
        <v>0</v>
      </c>
      <c r="L159" s="295"/>
      <c r="M159" s="300"/>
    </row>
    <row r="160" spans="2:13" s="298" customFormat="1" ht="27" x14ac:dyDescent="0.35">
      <c r="B160" s="289"/>
      <c r="C160" s="290"/>
      <c r="D160" s="290"/>
      <c r="E160" s="291"/>
      <c r="F160" s="291"/>
      <c r="G160" s="291"/>
      <c r="H160" s="291"/>
      <c r="I160" s="292">
        <f t="shared" si="2"/>
        <v>0</v>
      </c>
      <c r="J160" s="293"/>
      <c r="K160" s="294">
        <f>+IF(J160=0,0,IF(J160="","",VLOOKUP('INFORME FINAL ENE - FEB'!J160,PLANTILLA!$H$139:$I$191,2,0)))</f>
        <v>0</v>
      </c>
      <c r="L160" s="295"/>
      <c r="M160" s="300"/>
    </row>
    <row r="161" spans="2:18" s="298" customFormat="1" ht="27" x14ac:dyDescent="0.35">
      <c r="B161" s="289"/>
      <c r="C161" s="290"/>
      <c r="D161" s="290"/>
      <c r="E161" s="291"/>
      <c r="F161" s="291"/>
      <c r="G161" s="291"/>
      <c r="H161" s="291"/>
      <c r="I161" s="292">
        <f t="shared" si="2"/>
        <v>0</v>
      </c>
      <c r="J161" s="293"/>
      <c r="K161" s="294">
        <f>+IF(J161=0,0,IF(J161="","",VLOOKUP('INFORME FINAL ENE - FEB'!J161,PLANTILLA!$H$139:$I$191,2,0)))</f>
        <v>0</v>
      </c>
      <c r="L161" s="295"/>
      <c r="M161" s="300"/>
    </row>
    <row r="162" spans="2:18" s="298" customFormat="1" ht="27" x14ac:dyDescent="0.35">
      <c r="B162" s="289"/>
      <c r="C162" s="290"/>
      <c r="D162" s="290"/>
      <c r="E162" s="291"/>
      <c r="F162" s="291"/>
      <c r="G162" s="291"/>
      <c r="H162" s="291"/>
      <c r="I162" s="292">
        <f t="shared" si="2"/>
        <v>0</v>
      </c>
      <c r="J162" s="293"/>
      <c r="K162" s="294">
        <f>+IF(J162=0,0,IF(J162="","",VLOOKUP('INFORME FINAL ENE - FEB'!J162,PLANTILLA!$H$139:$I$191,2,0)))</f>
        <v>0</v>
      </c>
      <c r="L162" s="295"/>
      <c r="M162" s="300"/>
    </row>
    <row r="163" spans="2:18" s="298" customFormat="1" ht="27" x14ac:dyDescent="0.35">
      <c r="B163" s="289"/>
      <c r="C163" s="290"/>
      <c r="D163" s="290"/>
      <c r="E163" s="291"/>
      <c r="F163" s="291"/>
      <c r="G163" s="291"/>
      <c r="H163" s="291"/>
      <c r="I163" s="292">
        <f t="shared" si="2"/>
        <v>0</v>
      </c>
      <c r="J163" s="293"/>
      <c r="K163" s="294">
        <f>+IF(J163=0,0,IF(J163="","",VLOOKUP('INFORME FINAL ENE - FEB'!J163,PLANTILLA!$H$139:$I$191,2,0)))</f>
        <v>0</v>
      </c>
      <c r="L163" s="295"/>
      <c r="M163" s="300"/>
    </row>
    <row r="164" spans="2:18" s="298" customFormat="1" ht="27" x14ac:dyDescent="0.35">
      <c r="B164" s="289"/>
      <c r="C164" s="290"/>
      <c r="D164" s="290"/>
      <c r="E164" s="291"/>
      <c r="F164" s="291"/>
      <c r="G164" s="291"/>
      <c r="H164" s="291"/>
      <c r="I164" s="292">
        <f t="shared" si="2"/>
        <v>0</v>
      </c>
      <c r="J164" s="293"/>
      <c r="K164" s="294">
        <f>+IF(J164=0,0,IF(J164="","",VLOOKUP('INFORME FINAL ENE - FEB'!J164,PLANTILLA!$H$139:$I$191,2,0)))</f>
        <v>0</v>
      </c>
      <c r="L164" s="295"/>
      <c r="M164" s="300"/>
    </row>
    <row r="165" spans="2:18" s="298" customFormat="1" ht="27" x14ac:dyDescent="0.35">
      <c r="B165" s="306"/>
      <c r="C165" s="307"/>
      <c r="D165" s="307"/>
      <c r="E165" s="308"/>
      <c r="F165" s="308"/>
      <c r="G165" s="308"/>
      <c r="H165" s="308"/>
      <c r="I165" s="292"/>
      <c r="J165" s="293"/>
      <c r="K165" s="294"/>
      <c r="L165" s="295"/>
      <c r="M165" s="300"/>
    </row>
    <row r="166" spans="2:18" ht="60" customHeight="1" thickBot="1" x14ac:dyDescent="0.3">
      <c r="B166" s="309"/>
      <c r="C166" s="309"/>
      <c r="D166" s="309"/>
      <c r="E166" s="310"/>
      <c r="F166" s="310"/>
      <c r="G166" s="310"/>
      <c r="H166" s="310"/>
      <c r="I166" s="426" t="s">
        <v>506</v>
      </c>
      <c r="J166" s="427"/>
      <c r="K166" s="311">
        <f>SUM(K83:K165)</f>
        <v>16209517</v>
      </c>
      <c r="L166" s="312"/>
      <c r="M166" s="313"/>
      <c r="N166" s="313"/>
      <c r="O166" s="313"/>
      <c r="P166" s="314"/>
    </row>
    <row r="167" spans="2:18" ht="33.200000000000003" customHeight="1" thickTop="1" thickBot="1" x14ac:dyDescent="0.25">
      <c r="F167" s="315"/>
      <c r="H167" s="2" t="s">
        <v>473</v>
      </c>
      <c r="L167" s="316" t="s">
        <v>473</v>
      </c>
      <c r="M167" s="313"/>
      <c r="N167" s="313"/>
      <c r="O167" s="313"/>
    </row>
    <row r="168" spans="2:18" ht="45" customHeight="1" thickBot="1" x14ac:dyDescent="0.3">
      <c r="B168" s="317"/>
      <c r="C168" s="318"/>
      <c r="D168" s="319"/>
      <c r="E168" s="428" t="s">
        <v>507</v>
      </c>
      <c r="F168" s="428"/>
      <c r="G168" s="428"/>
      <c r="H168" s="428"/>
      <c r="I168" s="429">
        <f>K166+G79+G80+M82</f>
        <v>154283432</v>
      </c>
      <c r="J168" s="429"/>
      <c r="K168" s="429"/>
      <c r="L168" s="429"/>
      <c r="M168" s="430"/>
      <c r="N168" s="430"/>
      <c r="O168" s="320"/>
      <c r="P168" s="320"/>
      <c r="Q168" s="321"/>
      <c r="R168" s="322"/>
    </row>
    <row r="169" spans="2:18" ht="11.85" customHeight="1" x14ac:dyDescent="0.2">
      <c r="B169" s="319"/>
      <c r="C169" s="319"/>
      <c r="D169" s="319"/>
      <c r="E169" s="435" t="s">
        <v>473</v>
      </c>
      <c r="F169" s="435"/>
      <c r="G169" s="435"/>
      <c r="H169" s="435"/>
      <c r="I169" s="435"/>
      <c r="J169" s="436"/>
      <c r="K169" s="436"/>
      <c r="L169" s="436"/>
    </row>
    <row r="170" spans="2:18" ht="26.1" customHeight="1" x14ac:dyDescent="0.2">
      <c r="H170" s="323"/>
      <c r="I170" s="324"/>
      <c r="J170" s="187"/>
      <c r="K170" s="325"/>
    </row>
    <row r="171" spans="2:18" ht="25.5" customHeight="1" x14ac:dyDescent="0.2">
      <c r="H171" s="323"/>
      <c r="I171" s="324"/>
      <c r="J171" s="187"/>
    </row>
    <row r="172" spans="2:18" ht="25.5" customHeight="1" x14ac:dyDescent="0.2">
      <c r="H172" s="323"/>
      <c r="I172" s="324"/>
      <c r="J172" s="187"/>
    </row>
    <row r="174" spans="2:18" ht="40.700000000000003" customHeight="1" x14ac:dyDescent="0.4">
      <c r="F174" s="326"/>
      <c r="J174" s="327"/>
      <c r="K174" s="327"/>
      <c r="M174" s="328"/>
    </row>
    <row r="175" spans="2:18" ht="38.450000000000003" customHeight="1" x14ac:dyDescent="0.35">
      <c r="L175" s="329"/>
    </row>
    <row r="176" spans="2:18" ht="26.1" customHeight="1" x14ac:dyDescent="0.45">
      <c r="F176" s="322"/>
      <c r="M176" s="330"/>
      <c r="N176" s="331"/>
    </row>
    <row r="177" spans="10:13" ht="26.1" customHeight="1" x14ac:dyDescent="0.35">
      <c r="K177" s="332"/>
    </row>
    <row r="178" spans="10:13" ht="26.1" customHeight="1" x14ac:dyDescent="0.2">
      <c r="J178" s="420"/>
      <c r="K178" s="420"/>
      <c r="L178" s="420"/>
      <c r="M178" s="420"/>
    </row>
    <row r="179" spans="10:13" ht="26.1" customHeight="1" x14ac:dyDescent="0.2">
      <c r="J179" s="333"/>
      <c r="K179" s="333"/>
      <c r="L179" s="114"/>
      <c r="M179" s="334"/>
    </row>
    <row r="180" spans="10:13" ht="26.1" customHeight="1" x14ac:dyDescent="0.2">
      <c r="J180" s="420"/>
      <c r="K180" s="420"/>
      <c r="L180" s="420"/>
      <c r="M180" s="420"/>
    </row>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row r="65495" ht="12.75" customHeight="1" x14ac:dyDescent="0.2"/>
    <row r="65496" ht="12.75" customHeight="1" x14ac:dyDescent="0.2"/>
    <row r="65497" ht="12.75" customHeight="1" x14ac:dyDescent="0.2"/>
    <row r="65498" ht="12.75" customHeight="1" x14ac:dyDescent="0.2"/>
    <row r="65499" ht="12.75" customHeight="1" x14ac:dyDescent="0.2"/>
    <row r="65500" ht="12.75" customHeight="1" x14ac:dyDescent="0.2"/>
    <row r="65501" ht="12.75" customHeight="1" x14ac:dyDescent="0.2"/>
    <row r="65502" ht="12.75" customHeight="1" x14ac:dyDescent="0.2"/>
    <row r="65503" ht="12.75" customHeight="1" x14ac:dyDescent="0.2"/>
    <row r="65504" ht="12.75" customHeight="1" x14ac:dyDescent="0.2"/>
    <row r="65505" ht="12.75" customHeight="1" x14ac:dyDescent="0.2"/>
    <row r="65506" ht="12.75" customHeight="1" x14ac:dyDescent="0.2"/>
    <row r="65507" ht="12.75" customHeight="1" x14ac:dyDescent="0.2"/>
    <row r="65508" ht="12.75" customHeight="1" x14ac:dyDescent="0.2"/>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row r="65537" ht="12.75" customHeight="1" x14ac:dyDescent="0.2"/>
    <row r="65538" ht="12.75" customHeight="1" x14ac:dyDescent="0.2"/>
    <row r="65539" ht="12.75" customHeight="1" x14ac:dyDescent="0.2"/>
    <row r="65540" ht="12.75" customHeight="1" x14ac:dyDescent="0.2"/>
    <row r="65541" ht="12.75" customHeight="1" x14ac:dyDescent="0.2"/>
    <row r="65542" ht="12.75" customHeight="1" x14ac:dyDescent="0.2"/>
    <row r="65543" ht="12.75" customHeight="1" x14ac:dyDescent="0.2"/>
    <row r="65544" ht="12.75" customHeight="1" x14ac:dyDescent="0.2"/>
    <row r="65545" ht="12.75" customHeight="1" x14ac:dyDescent="0.2"/>
    <row r="65546" ht="12.75" customHeight="1" x14ac:dyDescent="0.2"/>
    <row r="65547" ht="12.75" customHeight="1" x14ac:dyDescent="0.2"/>
    <row r="65548" ht="12.75" customHeight="1" x14ac:dyDescent="0.2"/>
    <row r="65549" ht="12.75" customHeight="1" x14ac:dyDescent="0.2"/>
    <row r="65550" ht="12.75" customHeight="1" x14ac:dyDescent="0.2"/>
    <row r="65551" ht="12.75" customHeight="1" x14ac:dyDescent="0.2"/>
    <row r="65552" ht="12.75" customHeight="1" x14ac:dyDescent="0.2"/>
    <row r="65553" ht="12.75" customHeight="1" x14ac:dyDescent="0.2"/>
    <row r="65554" ht="12.75" customHeight="1" x14ac:dyDescent="0.2"/>
    <row r="65555" ht="12.75" customHeight="1" x14ac:dyDescent="0.2"/>
    <row r="65556" ht="12.75" customHeight="1" x14ac:dyDescent="0.2"/>
    <row r="65557" ht="12.75" customHeight="1" x14ac:dyDescent="0.2"/>
    <row r="65558" ht="12.75" customHeight="1" x14ac:dyDescent="0.2"/>
    <row r="65559" ht="12.75" customHeight="1" x14ac:dyDescent="0.2"/>
    <row r="65560" ht="12.75" customHeight="1" x14ac:dyDescent="0.2"/>
    <row r="65561" ht="12.75" customHeight="1" x14ac:dyDescent="0.2"/>
    <row r="65562" ht="12.75" customHeight="1" x14ac:dyDescent="0.2"/>
    <row r="65563" ht="12.75" customHeight="1" x14ac:dyDescent="0.2"/>
    <row r="65564" ht="12.75" customHeight="1" x14ac:dyDescent="0.2"/>
    <row r="65565" ht="12.75" customHeight="1" x14ac:dyDescent="0.2"/>
    <row r="65566" ht="12.75" customHeight="1" x14ac:dyDescent="0.2"/>
    <row r="65567" ht="12.75" customHeight="1" x14ac:dyDescent="0.2"/>
    <row r="65568" ht="12.75" customHeight="1" x14ac:dyDescent="0.2"/>
    <row r="65569" ht="12.75" customHeight="1" x14ac:dyDescent="0.2"/>
  </sheetData>
  <sheetProtection selectLockedCells="1" selectUnlockedCells="1"/>
  <autoFilter ref="G82:G164" xr:uid="{2C8FEF9D-4AA8-7B44-8C4B-821782F8B3C3}"/>
  <mergeCells count="51">
    <mergeCell ref="B14:J14"/>
    <mergeCell ref="K14:K17"/>
    <mergeCell ref="B68:J68"/>
    <mergeCell ref="K68:K71"/>
    <mergeCell ref="K72:K75"/>
    <mergeCell ref="B41:J41"/>
    <mergeCell ref="K41:K44"/>
    <mergeCell ref="K18:K21"/>
    <mergeCell ref="B32:J32"/>
    <mergeCell ref="K32:K35"/>
    <mergeCell ref="K36:K39"/>
    <mergeCell ref="B1:J1"/>
    <mergeCell ref="B2:J2"/>
    <mergeCell ref="B5:J5"/>
    <mergeCell ref="K5:K8"/>
    <mergeCell ref="K9:K12"/>
    <mergeCell ref="L19:L20"/>
    <mergeCell ref="M19:M20"/>
    <mergeCell ref="B23:J23"/>
    <mergeCell ref="K23:K26"/>
    <mergeCell ref="K27:K30"/>
    <mergeCell ref="L28:L29"/>
    <mergeCell ref="M28:M29"/>
    <mergeCell ref="L37:L38"/>
    <mergeCell ref="M37:M38"/>
    <mergeCell ref="G79:J79"/>
    <mergeCell ref="K45:K48"/>
    <mergeCell ref="L46:L47"/>
    <mergeCell ref="M46:M47"/>
    <mergeCell ref="B50:J50"/>
    <mergeCell ref="K50:K53"/>
    <mergeCell ref="K54:K57"/>
    <mergeCell ref="L55:L56"/>
    <mergeCell ref="M55:M56"/>
    <mergeCell ref="L73:L74"/>
    <mergeCell ref="M73:M74"/>
    <mergeCell ref="B59:J59"/>
    <mergeCell ref="K59:K62"/>
    <mergeCell ref="K63:K66"/>
    <mergeCell ref="L64:L65"/>
    <mergeCell ref="M64:M65"/>
    <mergeCell ref="E169:I169"/>
    <mergeCell ref="J169:L169"/>
    <mergeCell ref="J178:M178"/>
    <mergeCell ref="J180:M180"/>
    <mergeCell ref="G80:J80"/>
    <mergeCell ref="B81:K81"/>
    <mergeCell ref="I166:J166"/>
    <mergeCell ref="E168:H168"/>
    <mergeCell ref="I168:L168"/>
    <mergeCell ref="M168:N168"/>
  </mergeCells>
  <phoneticPr fontId="28" type="noConversion"/>
  <dataValidations count="4">
    <dataValidation type="list" allowBlank="1" showInputMessage="1" showErrorMessage="1" sqref="H170:H172" xr:uid="{60C2718B-BF72-2C4F-9643-55770A61DE2C}">
      <formula1>$I$204:$I$246</formula1>
    </dataValidation>
    <dataValidation type="list" allowBlank="1" showInputMessage="1" showErrorMessage="1" sqref="I170:I172" xr:uid="{0EB98659-038F-E447-A302-B2CC70FF79A2}">
      <formula1>$E$205:$E$208</formula1>
    </dataValidation>
    <dataValidation type="time" operator="greaterThanOrEqual" allowBlank="1" showInputMessage="1" showErrorMessage="1" sqref="C149:D164 C83:D98 C131:D133 D141:D142 C117:C129 D119:D129 C136:C142" xr:uid="{468C64CE-8DD7-824C-BC43-E5515B661A85}">
      <formula1>0</formula1>
    </dataValidation>
    <dataValidation type="custom" allowBlank="1" showErrorMessage="1" sqref="D134:D140" xr:uid="{512989FC-92E2-5740-8EC5-41C348FAD9EE}">
      <formula1>GTE(D134,(0))</formula1>
    </dataValidation>
  </dataValidations>
  <pageMargins left="0.39374999999999999" right="0.39374999999999999" top="0.63124999999999998" bottom="0.63124999999999998" header="0.39374999999999999" footer="0.39374999999999999"/>
  <pageSetup paperSize="14" scale="10" firstPageNumber="0" orientation="landscape" horizontalDpi="300" verticalDpi="300" r:id="rId1"/>
  <headerFooter alignWithMargins="0">
    <oddHeader>&amp;C&amp;A</oddHeader>
    <oddFooter>&amp;CPágina &amp;P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A2382A91-B904-284C-B3C1-8F886C7221F6}">
          <x14:formula1>
            <xm:f>'05 FEBRERO   '!$H$139:$H$191</xm:f>
          </x14:formula1>
          <xm:sqref>J83:J164</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EE46A-1736-8647-AB4A-100834838C15}">
  <dimension ref="A1:L54"/>
  <sheetViews>
    <sheetView topLeftCell="A28" zoomScale="150" zoomScaleNormal="150" workbookViewId="0">
      <selection activeCell="A46" sqref="A46:E54"/>
    </sheetView>
  </sheetViews>
  <sheetFormatPr baseColWidth="10" defaultRowHeight="15" x14ac:dyDescent="0.25"/>
  <cols>
    <col min="3" max="4" width="26.42578125" customWidth="1"/>
    <col min="5" max="5" width="19.85546875" customWidth="1"/>
    <col min="7" max="7" width="11.140625" hidden="1" customWidth="1"/>
    <col min="9" max="9" width="17.42578125" customWidth="1"/>
    <col min="10" max="10" width="20.28515625" customWidth="1"/>
    <col min="11" max="11" width="18.42578125" customWidth="1"/>
    <col min="12" max="12" width="18.28515625" customWidth="1"/>
    <col min="13" max="13" width="16.28515625" customWidth="1"/>
    <col min="14" max="14" width="31" customWidth="1"/>
    <col min="15" max="15" width="26.42578125" customWidth="1"/>
  </cols>
  <sheetData>
    <row r="1" spans="1:12" ht="18" customHeight="1" x14ac:dyDescent="0.25">
      <c r="A1" s="458" t="s">
        <v>552</v>
      </c>
      <c r="B1" s="458"/>
      <c r="C1" s="458"/>
      <c r="D1" s="458"/>
      <c r="E1" s="458"/>
      <c r="F1" s="347"/>
    </row>
    <row r="2" spans="1:12" ht="30" x14ac:dyDescent="0.25">
      <c r="A2" s="348" t="s">
        <v>516</v>
      </c>
      <c r="B2" s="348" t="s">
        <v>517</v>
      </c>
      <c r="C2" s="348" t="s">
        <v>518</v>
      </c>
      <c r="D2" s="348" t="s">
        <v>519</v>
      </c>
      <c r="E2" s="348" t="s">
        <v>520</v>
      </c>
      <c r="F2" s="347"/>
      <c r="G2" s="349" t="s">
        <v>521</v>
      </c>
    </row>
    <row r="3" spans="1:12" x14ac:dyDescent="0.25">
      <c r="A3" s="350">
        <v>6539</v>
      </c>
      <c r="B3" s="350">
        <v>7850</v>
      </c>
      <c r="C3" s="351">
        <v>50000000</v>
      </c>
      <c r="D3" s="351">
        <f>'[9]INFORME FINAL AGOSTO'!K86+'[9]INFORME FINAL AGOSTO'!K87+'[9]INFORME FINAL AGOSTO'!K107+'[9]INFORME FINAL AGOSTO'!K108+'[9]INFORME FINAL AGOSTO'!K109+'[9]INFORME FINAL AGOSTO'!K110</f>
        <v>2559462</v>
      </c>
      <c r="E3" s="352">
        <f>C3-D3</f>
        <v>47440538</v>
      </c>
      <c r="F3" s="347"/>
    </row>
    <row r="4" spans="1:12" x14ac:dyDescent="0.25">
      <c r="A4" s="350">
        <v>6540</v>
      </c>
      <c r="B4" s="350">
        <v>7851</v>
      </c>
      <c r="C4" s="351">
        <v>60000000</v>
      </c>
      <c r="D4" s="351">
        <f>'[9]INFORME FINAL AGOSTO'!K85+'[9]INFORME FINAL AGOSTO'!K91+'[9]INFORME FINAL AGOSTO'!K92+'[9]INFORME FINAL AGOSTO'!K93+'[9]INFORME FINAL AGOSTO'!K94+'[9]INFORME FINAL AGOSTO'!K95+'[9]INFORME FINAL AGOSTO'!K96+'[9]INFORME FINAL AGOSTO'!K97+'[9]INFORME FINAL AGOSTO'!K98+'[9]INFORME FINAL AGOSTO'!K99+'[9]INFORME FINAL AGOSTO'!K100+'[9]INFORME FINAL AGOSTO'!K101+'[9]INFORME FINAL AGOSTO'!K102+'[9]INFORME FINAL AGOSTO'!K103+'[9]INFORME FINAL AGOSTO'!K104+'[9]INFORME FINAL AGOSTO'!K106</f>
        <v>4468803</v>
      </c>
      <c r="E4" s="352">
        <f t="shared" ref="E4:E7" si="0">C4-D4</f>
        <v>55531197</v>
      </c>
      <c r="F4" s="347"/>
    </row>
    <row r="5" spans="1:12" x14ac:dyDescent="0.25">
      <c r="A5" s="350">
        <v>6538</v>
      </c>
      <c r="B5" s="350">
        <v>7852</v>
      </c>
      <c r="C5" s="351">
        <v>1271023000</v>
      </c>
      <c r="D5" s="351">
        <f>'[9]INFORME FINAL AGOSTO'!M11+'[9]INFORME FINAL AGOSTO'!K74+'[9]INFORME FINAL AGOSTO'!K75+'[9]INFORME FINAL AGOSTO'!K76+'[9]INFORME FINAL AGOSTO'!K77+'[9]INFORME FINAL AGOSTO'!K78+'[9]INFORME FINAL AGOSTO'!K79+'[9]INFORME FINAL AGOSTO'!K80+'[9]INFORME FINAL AGOSTO'!K81+'[9]INFORME FINAL AGOSTO'!K82+'[9]INFORME FINAL AGOSTO'!K83+'[9]INFORME FINAL AGOSTO'!K84+'[9]INFORME FINAL AGOSTO'!K88+'[9]INFORME FINAL AGOSTO'!K89+'[9]INFORME FINAL AGOSTO'!K90</f>
        <v>112482201</v>
      </c>
      <c r="E5" s="352">
        <f t="shared" si="0"/>
        <v>1158540799</v>
      </c>
      <c r="F5" s="347"/>
    </row>
    <row r="6" spans="1:12" x14ac:dyDescent="0.25">
      <c r="A6" s="350">
        <v>6542</v>
      </c>
      <c r="B6" s="350">
        <v>7854</v>
      </c>
      <c r="C6" s="351">
        <v>10300000</v>
      </c>
      <c r="D6" s="351">
        <v>0</v>
      </c>
      <c r="E6" s="352">
        <f t="shared" si="0"/>
        <v>10300000</v>
      </c>
      <c r="F6" s="347"/>
    </row>
    <row r="7" spans="1:12" x14ac:dyDescent="0.25">
      <c r="A7" s="350">
        <v>6541</v>
      </c>
      <c r="B7" s="350" t="s">
        <v>505</v>
      </c>
      <c r="C7" s="351">
        <v>7000000</v>
      </c>
      <c r="D7" s="351">
        <f>'[9]INFORME FINAL AGOSTO'!K105+'[9]INFORME FINAL AGOSTO'!K111</f>
        <v>581682</v>
      </c>
      <c r="E7" s="352">
        <f t="shared" si="0"/>
        <v>6418318</v>
      </c>
      <c r="F7" s="347"/>
    </row>
    <row r="8" spans="1:12" x14ac:dyDescent="0.25">
      <c r="A8" s="457" t="s">
        <v>522</v>
      </c>
      <c r="B8" s="457"/>
      <c r="C8" s="457"/>
      <c r="D8" s="457"/>
      <c r="E8" s="353">
        <f>SUM(E3:E7)</f>
        <v>1278230852</v>
      </c>
      <c r="F8" s="347"/>
    </row>
    <row r="9" spans="1:12" x14ac:dyDescent="0.25">
      <c r="A9" s="347"/>
      <c r="B9" s="347"/>
      <c r="C9" s="354">
        <f>SUM(C3:C7)</f>
        <v>1398323000</v>
      </c>
      <c r="D9" s="355">
        <f>SUM(D3:D7)</f>
        <v>120092148</v>
      </c>
      <c r="E9" s="356"/>
      <c r="F9" s="347"/>
    </row>
    <row r="10" spans="1:12" x14ac:dyDescent="0.25">
      <c r="A10" s="458" t="s">
        <v>552</v>
      </c>
      <c r="B10" s="458"/>
      <c r="C10" s="458"/>
      <c r="D10" s="458"/>
      <c r="E10" s="458"/>
      <c r="F10" s="347"/>
      <c r="I10" t="s">
        <v>523</v>
      </c>
      <c r="J10" t="s">
        <v>524</v>
      </c>
      <c r="K10" t="s">
        <v>525</v>
      </c>
      <c r="L10" t="s">
        <v>526</v>
      </c>
    </row>
    <row r="11" spans="1:12" x14ac:dyDescent="0.25">
      <c r="A11" s="348" t="s">
        <v>516</v>
      </c>
      <c r="B11" s="348" t="s">
        <v>517</v>
      </c>
      <c r="C11" s="348" t="s">
        <v>518</v>
      </c>
      <c r="D11" s="348" t="s">
        <v>527</v>
      </c>
      <c r="E11" s="348" t="s">
        <v>520</v>
      </c>
      <c r="F11" s="347"/>
      <c r="I11" s="357">
        <f>E35</f>
        <v>873857857</v>
      </c>
      <c r="J11" s="358">
        <f>AVERAGE(D9,D18,D27,D36)</f>
        <v>131116285.75</v>
      </c>
      <c r="K11" s="359">
        <f>I11/J11</f>
        <v>6.6647545116263336</v>
      </c>
      <c r="L11" s="360">
        <v>45047</v>
      </c>
    </row>
    <row r="12" spans="1:12" x14ac:dyDescent="0.25">
      <c r="A12" s="350">
        <v>6539</v>
      </c>
      <c r="B12" s="350">
        <v>7850</v>
      </c>
      <c r="C12" s="361">
        <f>E3</f>
        <v>47440538</v>
      </c>
      <c r="D12" s="351">
        <f>SUM('[10]INFORME FINAL SEPTIEMBRE'!$K$75,'[10]INFORME FINAL SEPTIEMBRE'!$K$76,'[10]INFORME FINAL SEPTIEMBRE'!$K$77,'[10]INFORME FINAL SEPTIEMBRE'!$K$80,'[10]INFORME FINAL SEPTIEMBRE'!$K$81,'[10]INFORME FINAL SEPTIEMBRE'!$K$82,'[10]INFORME FINAL SEPTIEMBRE'!$K$84,'[10]INFORME FINAL SEPTIEMBRE'!$K$85,'[10]INFORME FINAL SEPTIEMBRE'!$K$88,'[10]INFORME FINAL SEPTIEMBRE'!$K$89,'[10]INFORME FINAL SEPTIEMBRE'!$K$90,'[10]INFORME FINAL SEPTIEMBRE'!$K$92,'[10]INFORME FINAL SEPTIEMBRE'!$K$93,'[10]INFORME FINAL SEPTIEMBRE'!$K$96,'[10]INFORME FINAL SEPTIEMBRE'!$K$97,'[10]INFORME FINAL SEPTIEMBRE'!$K$98,'[10]INFORME FINAL SEPTIEMBRE'!$K$108,'[10]INFORME FINAL SEPTIEMBRE'!$K$109,'[10]INFORME FINAL SEPTIEMBRE'!$K$112,'[10]INFORME FINAL SEPTIEMBRE'!$K$113,'[10]INFORME FINAL SEPTIEMBRE'!$K$114,'[10]INFORME FINAL SEPTIEMBRE'!$K$115,'[10]INFORME FINAL SEPTIEMBRE'!$K$116,'[10]INFORME FINAL SEPTIEMBRE'!$K$117,'[10]INFORME FINAL SEPTIEMBRE'!$K$118,'[10]INFORME FINAL SEPTIEMBRE'!$K$119,'[10]INFORME FINAL SEPTIEMBRE'!$K$120,'[10]INFORME FINAL SEPTIEMBRE'!$K$121,'[10]INFORME FINAL SEPTIEMBRE'!$K$122,'[10]INFORME FINAL SEPTIEMBRE'!$K$123,'[10]INFORME FINAL SEPTIEMBRE'!$K$124,'[10]INFORME FINAL SEPTIEMBRE'!$K$125,'[10]INFORME FINAL SEPTIEMBRE'!$K$126,'[10]INFORME FINAL SEPTIEMBRE'!$K$127,'[10]INFORME FINAL SEPTIEMBRE'!$K$128,'[10]INFORME FINAL SEPTIEMBRE'!$K$129,'[10]INFORME FINAL SEPTIEMBRE'!$K$130,'[10]INFORME FINAL SEPTIEMBRE'!$K$131,'[10]INFORME FINAL SEPTIEMBRE'!$K$132,'[10]INFORME FINAL SEPTIEMBRE'!$K$133,'[10]INFORME FINAL SEPTIEMBRE'!$K$134,'[10]INFORME FINAL SEPTIEMBRE'!$K$135,'[10]INFORME FINAL SEPTIEMBRE'!$K$136,'[10]INFORME FINAL SEPTIEMBRE'!$K$137,'[10]INFORME FINAL SEPTIEMBRE'!$K$138,'[10]INFORME FINAL SEPTIEMBRE'!$K$139)</f>
        <v>10993500</v>
      </c>
      <c r="E12" s="353">
        <f>C12-D12</f>
        <v>36447038</v>
      </c>
      <c r="F12" s="347"/>
    </row>
    <row r="13" spans="1:12" x14ac:dyDescent="0.25">
      <c r="A13" s="350">
        <v>6540</v>
      </c>
      <c r="B13" s="350">
        <v>7851</v>
      </c>
      <c r="C13" s="361">
        <f>E4</f>
        <v>55531197</v>
      </c>
      <c r="D13" s="351">
        <f>SUM('[10]INFORME FINAL SEPTIEMBRE'!$K$79,'[10]INFORME FINAL SEPTIEMBRE'!$K$94,'[10]INFORME FINAL SEPTIEMBRE'!$K$105,'[10]INFORME FINAL SEPTIEMBRE'!$K$111)</f>
        <v>1308114</v>
      </c>
      <c r="E13" s="353">
        <f t="shared" ref="E13:E16" si="1">C13-D13</f>
        <v>54223083</v>
      </c>
      <c r="F13" s="347"/>
    </row>
    <row r="14" spans="1:12" x14ac:dyDescent="0.25">
      <c r="A14" s="350">
        <v>6538</v>
      </c>
      <c r="B14" s="350">
        <v>7852</v>
      </c>
      <c r="C14" s="361">
        <f>E5</f>
        <v>1158540799</v>
      </c>
      <c r="D14" s="351">
        <f>SUM('[10]INFORME FINAL SEPTIEMBRE'!$K$9:$K$12,'[10]INFORME FINAL SEPTIEMBRE'!$O$70,'[10]INFORME FINAL SEPTIEMBRE'!$K$99,'[10]INFORME FINAL SEPTIEMBRE'!$K$100,'[10]INFORME FINAL SEPTIEMBRE'!$K$101,'[10]INFORME FINAL SEPTIEMBRE'!$K$102,'[10]INFORME FINAL SEPTIEMBRE'!$K$103,'[10]INFORME FINAL SEPTIEMBRE'!$K$104,'[10]INFORME FINAL SEPTIEMBRE'!$K$140,'[10]INFORME FINAL SEPTIEMBRE'!$K$141,'[10]INFORME FINAL SEPTIEMBRE'!$K$142,'[10]INFORME FINAL SEPTIEMBRE'!$K$143,'[10]INFORME FINAL SEPTIEMBRE'!$K$144,'[10]INFORME FINAL SEPTIEMBRE'!$K$145,'[10]INFORME FINAL SEPTIEMBRE'!$K$146,'[10]INFORME FINAL SEPTIEMBRE'!$K$147,'[10]INFORME FINAL SEPTIEMBRE'!$K$148,'[10]INFORME FINAL SEPTIEMBRE'!$K$149,'[10]INFORME FINAL SEPTIEMBRE'!$K$150,'[10]INFORME FINAL SEPTIEMBRE'!$K$151,'[10]INFORME FINAL SEPTIEMBRE'!$K$152,'[10]INFORME FINAL SEPTIEMBRE'!$K$153,'[10]INFORME FINAL SEPTIEMBRE'!$K$154,'[10]INFORME FINAL SEPTIEMBRE'!$K$155)</f>
        <v>102720505</v>
      </c>
      <c r="E14" s="353">
        <f t="shared" si="1"/>
        <v>1055820294</v>
      </c>
      <c r="F14" s="347"/>
    </row>
    <row r="15" spans="1:12" x14ac:dyDescent="0.25">
      <c r="A15" s="350">
        <v>6542</v>
      </c>
      <c r="B15" s="350">
        <v>7854</v>
      </c>
      <c r="C15" s="361">
        <f>E6</f>
        <v>10300000</v>
      </c>
      <c r="D15" s="351">
        <f>SUM('[10]INFORME FINAL SEPTIEMBRE'!$K$78,'[10]INFORME FINAL SEPTIEMBRE'!$K$83,'[10]INFORME FINAL SEPTIEMBRE'!$K$86,'[10]INFORME FINAL SEPTIEMBRE'!$K$87,'[10]INFORME FINAL SEPTIEMBRE'!$K$110)</f>
        <v>1129245</v>
      </c>
      <c r="E15" s="353">
        <f t="shared" si="1"/>
        <v>9170755</v>
      </c>
      <c r="F15" s="347"/>
    </row>
    <row r="16" spans="1:12" x14ac:dyDescent="0.25">
      <c r="A16" s="350">
        <v>6541</v>
      </c>
      <c r="B16" s="350" t="s">
        <v>505</v>
      </c>
      <c r="C16" s="361">
        <f>E7</f>
        <v>6418318</v>
      </c>
      <c r="D16" s="351">
        <f>SUM('[10]INFORME FINAL SEPTIEMBRE'!$K$74,'[10]INFORME FINAL SEPTIEMBRE'!$K$91,'[10]INFORME FINAL SEPTIEMBRE'!$K$95,'[10]INFORME FINAL SEPTIEMBRE'!$K$106,'[10]INFORME FINAL SEPTIEMBRE'!$K$107)</f>
        <v>1432566</v>
      </c>
      <c r="E16" s="353">
        <f t="shared" si="1"/>
        <v>4985752</v>
      </c>
      <c r="F16" s="347"/>
    </row>
    <row r="17" spans="1:10" x14ac:dyDescent="0.25">
      <c r="A17" s="457" t="s">
        <v>522</v>
      </c>
      <c r="B17" s="457"/>
      <c r="C17" s="457"/>
      <c r="D17" s="457"/>
      <c r="E17" s="353">
        <f>SUM(E12:E16)</f>
        <v>1160646922</v>
      </c>
    </row>
    <row r="18" spans="1:10" x14ac:dyDescent="0.25">
      <c r="A18" s="347"/>
      <c r="B18" s="347"/>
      <c r="C18" s="354">
        <f>SUM(C12:C16)</f>
        <v>1278230852</v>
      </c>
      <c r="D18" s="355">
        <f>SUM(D12:D16)</f>
        <v>117583930</v>
      </c>
      <c r="E18" s="356"/>
    </row>
    <row r="19" spans="1:10" x14ac:dyDescent="0.25">
      <c r="A19" s="458" t="s">
        <v>552</v>
      </c>
      <c r="B19" s="458"/>
      <c r="C19" s="458"/>
      <c r="D19" s="458"/>
      <c r="E19" s="458"/>
    </row>
    <row r="20" spans="1:10" x14ac:dyDescent="0.25">
      <c r="A20" s="348" t="s">
        <v>516</v>
      </c>
      <c r="B20" s="348" t="s">
        <v>517</v>
      </c>
      <c r="C20" s="348" t="s">
        <v>518</v>
      </c>
      <c r="D20" s="348" t="s">
        <v>528</v>
      </c>
      <c r="E20" s="348" t="s">
        <v>520</v>
      </c>
    </row>
    <row r="21" spans="1:10" x14ac:dyDescent="0.25">
      <c r="A21" s="350">
        <v>6539</v>
      </c>
      <c r="B21" s="350">
        <v>7850</v>
      </c>
      <c r="C21" s="361">
        <f>E12</f>
        <v>36447038</v>
      </c>
      <c r="D21" s="362">
        <v>5750775</v>
      </c>
      <c r="E21" s="353">
        <f>C21-D21</f>
        <v>30696263</v>
      </c>
      <c r="G21" s="358">
        <v>40455</v>
      </c>
    </row>
    <row r="22" spans="1:10" x14ac:dyDescent="0.25">
      <c r="A22" s="350">
        <v>6540</v>
      </c>
      <c r="B22" s="350">
        <v>7851</v>
      </c>
      <c r="C22" s="361">
        <f>E13</f>
        <v>54223083</v>
      </c>
      <c r="D22" s="362">
        <v>1674612</v>
      </c>
      <c r="E22" s="353">
        <f>C22-D22</f>
        <v>52548471</v>
      </c>
    </row>
    <row r="23" spans="1:10" x14ac:dyDescent="0.25">
      <c r="A23" s="350">
        <v>6538</v>
      </c>
      <c r="B23" s="350">
        <v>7852</v>
      </c>
      <c r="C23" s="361">
        <f>E14</f>
        <v>1055820294</v>
      </c>
      <c r="D23" s="351">
        <v>131977619</v>
      </c>
      <c r="E23" s="353">
        <f>C23-D23</f>
        <v>923842675</v>
      </c>
      <c r="G23" s="358">
        <v>190278</v>
      </c>
      <c r="J23" s="363"/>
    </row>
    <row r="24" spans="1:10" x14ac:dyDescent="0.25">
      <c r="A24" s="350">
        <v>6542</v>
      </c>
      <c r="B24" s="350">
        <v>7854</v>
      </c>
      <c r="C24" s="361">
        <f>E15</f>
        <v>9170755</v>
      </c>
      <c r="D24" s="362">
        <v>2610108</v>
      </c>
      <c r="E24" s="353">
        <f>C24-D24</f>
        <v>6560647</v>
      </c>
    </row>
    <row r="25" spans="1:10" x14ac:dyDescent="0.25">
      <c r="A25" s="350">
        <v>6541</v>
      </c>
      <c r="B25" s="350" t="s">
        <v>505</v>
      </c>
      <c r="C25" s="361">
        <f>E16</f>
        <v>4985752</v>
      </c>
      <c r="D25" s="351">
        <v>290841</v>
      </c>
      <c r="E25" s="353">
        <f>C25-D25</f>
        <v>4694911</v>
      </c>
    </row>
    <row r="26" spans="1:10" x14ac:dyDescent="0.25">
      <c r="A26" s="457" t="s">
        <v>522</v>
      </c>
      <c r="B26" s="457"/>
      <c r="C26" s="457"/>
      <c r="D26" s="457"/>
      <c r="E26" s="353">
        <f>SUM(E21:E25)</f>
        <v>1018342967</v>
      </c>
    </row>
    <row r="27" spans="1:10" x14ac:dyDescent="0.25">
      <c r="C27" s="364">
        <f>SUM(C21:C25)</f>
        <v>1160646922</v>
      </c>
      <c r="D27" s="355">
        <f>SUM(D21:D25)</f>
        <v>142303955</v>
      </c>
    </row>
    <row r="28" spans="1:10" x14ac:dyDescent="0.25">
      <c r="A28" s="458" t="s">
        <v>552</v>
      </c>
      <c r="B28" s="458"/>
      <c r="C28" s="458"/>
      <c r="D28" s="458"/>
      <c r="E28" s="458"/>
    </row>
    <row r="29" spans="1:10" x14ac:dyDescent="0.25">
      <c r="A29" s="348" t="s">
        <v>516</v>
      </c>
      <c r="B29" s="348" t="s">
        <v>517</v>
      </c>
      <c r="C29" s="348" t="s">
        <v>518</v>
      </c>
      <c r="D29" s="348" t="s">
        <v>529</v>
      </c>
      <c r="E29" s="348" t="s">
        <v>520</v>
      </c>
    </row>
    <row r="30" spans="1:10" x14ac:dyDescent="0.25">
      <c r="A30" s="350">
        <v>6539</v>
      </c>
      <c r="B30" s="350">
        <v>7850</v>
      </c>
      <c r="C30" s="365">
        <f>E21</f>
        <v>30696263</v>
      </c>
      <c r="D30" s="365">
        <f>'[11]INFORME FINAL NOVIEMEBRE'!K75+'[11]INFORME FINAL NOVIEMEBRE'!K76+'[11]INFORME FINAL NOVIEMEBRE'!K77+'[11]INFORME FINAL NOVIEMEBRE'!K88+'[11]INFORME FINAL NOVIEMEBRE'!K89+'[11]INFORME FINAL NOVIEMEBRE'!K90+'[11]INFORME FINAL NOVIEMEBRE'!K91+'[11]INFORME FINAL NOVIEMEBRE'!K92+'[11]INFORME FINAL NOVIEMEBRE'!K93</f>
        <v>4507514</v>
      </c>
      <c r="E30" s="365">
        <f>C30-D30</f>
        <v>26188749</v>
      </c>
    </row>
    <row r="31" spans="1:10" x14ac:dyDescent="0.25">
      <c r="A31" s="350">
        <v>6540</v>
      </c>
      <c r="B31" s="350">
        <v>7851</v>
      </c>
      <c r="C31" s="365">
        <f t="shared" ref="C31:C34" si="2">E22</f>
        <v>52548471</v>
      </c>
      <c r="D31" s="365">
        <f>'[11]INFORME FINAL NOVIEMEBRE'!K74+'[11]INFORME FINAL NOVIEMEBRE'!K80+'[11]INFORME FINAL NOVIEMEBRE'!K83+'[11]INFORME FINAL NOVIEMEBRE'!K84+'[11]INFORME FINAL NOVIEMEBRE'!K95+'[11]INFORME FINAL NOVIEMEBRE'!K96+'[11]INFORME FINAL NOVIEMEBRE'!K97+'[11]INFORME FINAL NOVIEMEBRE'!K98+'[11]INFORME FINAL NOVIEMEBRE'!K103+'[11]INFORME FINAL NOVIEMEBRE'!K104+'[11]INFORME FINAL NOVIEMEBRE'!K134</f>
        <v>3317354</v>
      </c>
      <c r="E31" s="365">
        <f t="shared" ref="E31:E34" si="3">C31-D31</f>
        <v>49231117</v>
      </c>
    </row>
    <row r="32" spans="1:10" x14ac:dyDescent="0.25">
      <c r="A32" s="350">
        <v>6538</v>
      </c>
      <c r="B32" s="350">
        <v>7852</v>
      </c>
      <c r="C32" s="365">
        <f t="shared" si="2"/>
        <v>923842675</v>
      </c>
      <c r="D32" s="365">
        <f>'[11]INFORME FINAL NOVIEMEBRE'!O70+'[11]INFORME FINAL NOVIEMEBRE'!L73+'[11]INFORME FINAL NOVIEMEBRE'!K78+'[11]INFORME FINAL NOVIEMEBRE'!K79+'[11]INFORME FINAL NOVIEMEBRE'!K100+'[11]INFORME FINAL NOVIEMEBRE'!K108+'[11]INFORME FINAL NOVIEMEBRE'!K109+'[11]INFORME FINAL NOVIEMEBRE'!K110+'[11]INFORME FINAL NOVIEMEBRE'!K111+'[11]INFORME FINAL NOVIEMEBRE'!K112+'[11]INFORME FINAL NOVIEMEBRE'!K113+'[11]INFORME FINAL NOVIEMEBRE'!K114+'[11]INFORME FINAL NOVIEMEBRE'!K115+'[11]INFORME FINAL NOVIEMEBRE'!K116+'[11]INFORME FINAL NOVIEMEBRE'!K117+'[11]INFORME FINAL NOVIEMEBRE'!K118+'[11]INFORME FINAL NOVIEMEBRE'!K119+'[11]INFORME FINAL NOVIEMEBRE'!K120+'[11]INFORME FINAL NOVIEMEBRE'!K121+'[11]INFORME FINAL NOVIEMEBRE'!K122+'[11]INFORME FINAL NOVIEMEBRE'!K123+'[11]INFORME FINAL NOVIEMEBRE'!K124+'[11]INFORME FINAL NOVIEMEBRE'!K125+'[11]INFORME FINAL NOVIEMEBRE'!K126+'[11]INFORME FINAL NOVIEMEBRE'!K127+'[11]INFORME FINAL NOVIEMEBRE'!K128+'[11]INFORME FINAL NOVIEMEBRE'!K129+'[11]INFORME FINAL NOVIEMEBRE'!K130+'[11]INFORME FINAL NOVIEMEBRE'!K131+'[11]INFORME FINAL NOVIEMEBRE'!K132+'[11]INFORME FINAL NOVIEMEBRE'!K133+'[11]INFORME FINAL NOVIEMEBRE'!K136</f>
        <v>133799308</v>
      </c>
      <c r="E32" s="365">
        <f t="shared" si="3"/>
        <v>790043367</v>
      </c>
    </row>
    <row r="33" spans="1:5" x14ac:dyDescent="0.25">
      <c r="A33" s="350">
        <v>6542</v>
      </c>
      <c r="B33" s="350">
        <v>7854</v>
      </c>
      <c r="C33" s="365">
        <f t="shared" si="2"/>
        <v>6560647</v>
      </c>
      <c r="D33" s="365">
        <f>'[11]INFORME FINAL NOVIEMEBRE'!K81+'[11]INFORME FINAL NOVIEMEBRE'!K82+'[11]INFORME FINAL NOVIEMEBRE'!K85+'[11]INFORME FINAL NOVIEMEBRE'!K86+'[11]INFORME FINAL NOVIEMEBRE'!K87+'[11]INFORME FINAL NOVIEMEBRE'!K99+'[11]INFORME FINAL NOVIEMEBRE'!K101+'[11]INFORME FINAL NOVIEMEBRE'!K102+'[11]INFORME FINAL NOVIEMEBRE'!K105+'[11]INFORME FINAL NOVIEMEBRE'!K106+'[11]INFORME FINAL NOVIEMEBRE'!K107</f>
        <v>2224165</v>
      </c>
      <c r="E33" s="365">
        <f t="shared" si="3"/>
        <v>4336482</v>
      </c>
    </row>
    <row r="34" spans="1:5" x14ac:dyDescent="0.25">
      <c r="A34" s="350">
        <v>6541</v>
      </c>
      <c r="B34" s="350" t="s">
        <v>505</v>
      </c>
      <c r="C34" s="365">
        <f t="shared" si="2"/>
        <v>4694911</v>
      </c>
      <c r="D34" s="365">
        <f>'[11]INFORME FINAL NOVIEMEBRE'!K94+'[11]INFORME FINAL NOVIEMEBRE'!K135</f>
        <v>636769</v>
      </c>
      <c r="E34" s="365">
        <f t="shared" si="3"/>
        <v>4058142</v>
      </c>
    </row>
    <row r="35" spans="1:5" x14ac:dyDescent="0.25">
      <c r="A35" s="457" t="s">
        <v>522</v>
      </c>
      <c r="B35" s="457"/>
      <c r="C35" s="457"/>
      <c r="D35" s="457"/>
      <c r="E35" s="357">
        <f>SUM(E30:E34)</f>
        <v>873857857</v>
      </c>
    </row>
    <row r="36" spans="1:5" x14ac:dyDescent="0.25">
      <c r="C36" s="364">
        <f>E26</f>
        <v>1018342967</v>
      </c>
      <c r="D36" s="355">
        <f>SUM(D30:D34)</f>
        <v>144485110</v>
      </c>
      <c r="E36" s="363"/>
    </row>
    <row r="37" spans="1:5" x14ac:dyDescent="0.25">
      <c r="A37" s="458" t="s">
        <v>552</v>
      </c>
      <c r="B37" s="458"/>
      <c r="C37" s="458"/>
      <c r="D37" s="458"/>
      <c r="E37" s="458"/>
    </row>
    <row r="38" spans="1:5" x14ac:dyDescent="0.25">
      <c r="A38" s="348" t="s">
        <v>516</v>
      </c>
      <c r="B38" s="348" t="s">
        <v>517</v>
      </c>
      <c r="C38" s="348" t="s">
        <v>518</v>
      </c>
      <c r="D38" s="348" t="s">
        <v>530</v>
      </c>
      <c r="E38" s="348" t="s">
        <v>520</v>
      </c>
    </row>
    <row r="39" spans="1:5" x14ac:dyDescent="0.25">
      <c r="A39" s="350">
        <v>6539</v>
      </c>
      <c r="B39" s="350">
        <v>7850</v>
      </c>
      <c r="C39" s="365">
        <f>E30</f>
        <v>26188749</v>
      </c>
      <c r="D39" s="365" t="e">
        <f>SUM('[12]INFORME FINAL DICIEMBRE'!K77,'[12]INFORME FINAL DICIEMBRE'!K78,'[12]INFORME FINAL DICIEMBRE'!K81,'[12]INFORME FINAL DICIEMBRE'!K85,'[12]INFORME FINAL DICIEMBRE'!K86,'[12]INFORME FINAL DICIEMBRE'!K87,'[12]INFORME FINAL DICIEMBRE'!K88,'[12]INFORME FINAL DICIEMBRE'!K89,'[12]INFORME FINAL DICIEMBRE'!K90,'[12]INFORME FINAL DICIEMBRE'!K91:'[12]INFORME FINAL DICIEMBRE'!K92,'[12]INFORME FINAL DICIEMBRE'!K93,'[12]INFORME FINAL DICIEMBRE'!K94,'[12]INFORME FINAL DICIEMBRE'!K98,'[12]INFORME FINAL DICIEMBRE'!K99,'[12]INFORME FINAL DICIEMBRE'!K103,'[12]INFORME FINAL DICIEMBRE'!K106,'[12]INFORME FINAL DICIEMBRE'!K110,'[12]INFORME FINAL DICIEMBRE'!K112,'[12]INFORME FINAL DICIEMBRE'!K113)</f>
        <v>#REF!</v>
      </c>
      <c r="E39" s="365" t="e">
        <f>C39-D39</f>
        <v>#REF!</v>
      </c>
    </row>
    <row r="40" spans="1:5" x14ac:dyDescent="0.25">
      <c r="A40" s="350">
        <v>6540</v>
      </c>
      <c r="B40" s="350">
        <v>7851</v>
      </c>
      <c r="C40" s="365">
        <f>E31</f>
        <v>49231117</v>
      </c>
      <c r="D40" s="365">
        <f>SUM('[12]INFORME FINAL DICIEMBRE'!K76,'[12]INFORME FINAL DICIEMBRE'!K79,'[12]INFORME FINAL DICIEMBRE'!K80,'[12]INFORME FINAL DICIEMBRE'!K102,'[12]INFORME FINAL DICIEMBRE'!K104,'[12]INFORME FINAL DICIEMBRE'!K107,'[12]INFORME FINAL DICIEMBRE'!K114,'[12]INFORME FINAL DICIEMBRE'!K115,'[12]INFORME FINAL DICIEMBRE'!K116,'[12]INFORME FINAL DICIEMBRE'!K117,'[12]INFORME FINAL DICIEMBRE'!K118,'[12]INFORME FINAL DICIEMBRE'!K119,'[12]INFORME FINAL DICIEMBRE'!K120,'[12]INFORME FINAL DICIEMBRE'!K121)</f>
        <v>4036889</v>
      </c>
      <c r="E40" s="365">
        <f t="shared" ref="E40:E43" si="4">C40-D40</f>
        <v>45194228</v>
      </c>
    </row>
    <row r="41" spans="1:5" x14ac:dyDescent="0.25">
      <c r="A41" s="350">
        <v>6538</v>
      </c>
      <c r="B41" s="350">
        <v>7852</v>
      </c>
      <c r="C41" s="365">
        <f>E32</f>
        <v>790043367</v>
      </c>
      <c r="D41" s="365">
        <f>SUM('[12]INFORME FINAL DICIEMBRE'!K9:K12,'[12]INFORME FINAL DICIEMBRE'!O70,'[12]INFORME FINAL DICIEMBRE'!K74,'[12]INFORME FINAL DICIEMBRE'!K75,'[12]INFORME FINAL DICIEMBRE'!K84,'[12]INFORME FINAL DICIEMBRE'!K95,'[12]INFORME FINAL DICIEMBRE'!K100,'[12]INFORME FINAL DICIEMBRE'!K101,'[12]INFORME FINAL DICIEMBRE'!K105,'[12]INFORME FINAL DICIEMBRE'!K111,'[12]INFORME FINAL DICIEMBRE'!K122,'[12]INFORME FINAL DICIEMBRE'!K123,'[12]INFORME FINAL DICIEMBRE'!K124,'[12]INFORME FINAL DICIEMBRE'!K125,'[12]INFORME FINAL DICIEMBRE'!K126,'[12]INFORME FINAL DICIEMBRE'!K127,'[12]INFORME FINAL DICIEMBRE'!K128,'[12]INFORME FINAL DICIEMBRE'!K129,'[12]INFORME FINAL DICIEMBRE'!K130,'[12]INFORME FINAL DICIEMBRE'!K131,'[12]INFORME FINAL DICIEMBRE'!K132,'[12]INFORME FINAL DICIEMBRE'!K133,'[12]INFORME FINAL DICIEMBRE'!K134,'[12]INFORME FINAL DICIEMBRE'!K135,'[12]INFORME FINAL DICIEMBRE'!K136,'[12]INFORME FINAL DICIEMBRE'!K137)</f>
        <v>122970841</v>
      </c>
      <c r="E41" s="365">
        <f t="shared" si="4"/>
        <v>667072526</v>
      </c>
    </row>
    <row r="42" spans="1:5" x14ac:dyDescent="0.25">
      <c r="A42" s="350">
        <v>6542</v>
      </c>
      <c r="B42" s="350">
        <v>7854</v>
      </c>
      <c r="C42" s="365">
        <f>E33</f>
        <v>4336482</v>
      </c>
      <c r="D42" s="365">
        <f>SUM('[12]INFORME FINAL DICIEMBRE'!K82,'[12]INFORME FINAL DICIEMBRE'!K83,'[12]INFORME FINAL DICIEMBRE'!K96,'[12]INFORME FINAL DICIEMBRE'!K97,'[12]INFORME FINAL DICIEMBRE'!K108,'[12]INFORME FINAL DICIEMBRE'!K109)</f>
        <v>1327507</v>
      </c>
      <c r="E42" s="365">
        <f t="shared" si="4"/>
        <v>3008975</v>
      </c>
    </row>
    <row r="43" spans="1:5" x14ac:dyDescent="0.25">
      <c r="A43" s="350">
        <v>6541</v>
      </c>
      <c r="B43" s="350" t="s">
        <v>505</v>
      </c>
      <c r="C43" s="365">
        <f>E34</f>
        <v>4058142</v>
      </c>
      <c r="D43" s="365">
        <v>0</v>
      </c>
      <c r="E43" s="365">
        <f t="shared" si="4"/>
        <v>4058142</v>
      </c>
    </row>
    <row r="44" spans="1:5" x14ac:dyDescent="0.25">
      <c r="A44" s="457" t="s">
        <v>522</v>
      </c>
      <c r="B44" s="457"/>
      <c r="C44" s="457"/>
      <c r="D44" s="457"/>
      <c r="E44" s="357" t="e">
        <f>SUM(E39:E43)</f>
        <v>#REF!</v>
      </c>
    </row>
    <row r="45" spans="1:5" x14ac:dyDescent="0.25">
      <c r="C45" s="364">
        <f>E35</f>
        <v>873857857</v>
      </c>
      <c r="D45" s="355" t="e">
        <f>SUM(D39:D43)</f>
        <v>#REF!</v>
      </c>
      <c r="E45" s="363"/>
    </row>
    <row r="46" spans="1:5" x14ac:dyDescent="0.25">
      <c r="A46" s="458" t="s">
        <v>552</v>
      </c>
      <c r="B46" s="458"/>
      <c r="C46" s="458"/>
      <c r="D46" s="458"/>
      <c r="E46" s="458"/>
    </row>
    <row r="47" spans="1:5" x14ac:dyDescent="0.25">
      <c r="A47" s="348" t="s">
        <v>516</v>
      </c>
      <c r="B47" s="348" t="s">
        <v>517</v>
      </c>
      <c r="C47" s="348" t="s">
        <v>518</v>
      </c>
      <c r="D47" s="348" t="s">
        <v>531</v>
      </c>
      <c r="E47" s="348" t="s">
        <v>520</v>
      </c>
    </row>
    <row r="48" spans="1:5" x14ac:dyDescent="0.25">
      <c r="A48" s="350">
        <v>6539</v>
      </c>
      <c r="B48" s="350">
        <v>7850</v>
      </c>
      <c r="C48" s="365" t="e">
        <f>E39</f>
        <v>#REF!</v>
      </c>
      <c r="D48" s="365">
        <v>0</v>
      </c>
      <c r="E48" s="365" t="e">
        <f>C48-D48</f>
        <v>#REF!</v>
      </c>
    </row>
    <row r="49" spans="1:5" x14ac:dyDescent="0.25">
      <c r="A49" s="350">
        <v>6540</v>
      </c>
      <c r="B49" s="350">
        <v>7851</v>
      </c>
      <c r="C49" s="365">
        <f>E40</f>
        <v>45194228</v>
      </c>
      <c r="D49" s="365">
        <f>SUM('INFORME FINAL ENE - FEB'!K103,'INFORME FINAL ENE - FEB'!K104,'INFORME FINAL ENE - FEB'!K105,'INFORME FINAL ENE - FEB'!K106,'INFORME FINAL ENE - FEB'!K107,'INFORME FINAL ENE - FEB'!K108,'INFORME FINAL ENE - FEB'!K109,'INFORME FINAL ENE - FEB'!K110,'INFORME FINAL ENE - FEB'!K123,'INFORME FINAL ENE - FEB'!K124,'INFORME FINAL ENE - FEB'!K125,'INFORME FINAL ENE - FEB'!K126,'INFORME FINAL ENE - FEB'!K127,'INFORME FINAL ENE - FEB'!K128,'INFORME FINAL ENE - FEB'!K129,'INFORME FINAL ENE - FEB'!K130,'INFORME FINAL ENE - FEB'!K131,'INFORME FINAL ENE - FEB'!K132,'INFORME FINAL ENE - FEB'!K133,'INFORME FINAL ENE - FEB'!K134,'INFORME FINAL ENE - FEB'!K135)</f>
        <v>6132711</v>
      </c>
      <c r="E49" s="365">
        <f t="shared" ref="E49:E52" si="5">C49-D49</f>
        <v>39061517</v>
      </c>
    </row>
    <row r="50" spans="1:5" x14ac:dyDescent="0.25">
      <c r="A50" s="350">
        <v>6538</v>
      </c>
      <c r="B50" s="350">
        <v>7852</v>
      </c>
      <c r="C50" s="365">
        <f>E41</f>
        <v>667072526</v>
      </c>
      <c r="D50" s="365">
        <f>SUM('INFORME FINAL ENE - FEB'!K83,'INFORME FINAL ENE - FEB'!K84,'INFORME FINAL ENE - FEB'!K85,'INFORME FINAL ENE - FEB'!K86,'INFORME FINAL ENE - FEB'!K87,'INFORME FINAL ENE - FEB'!K88,'INFORME FINAL ENE - FEB'!K89,'INFORME FINAL ENE - FEB'!K90,'INFORME FINAL ENE - FEB'!K91,'INFORME FINAL ENE - FEB'!K92,'INFORME FINAL ENE - FEB'!K93,'INFORME FINAL ENE - FEB'!K94,'INFORME FINAL ENE - FEB'!K95,'INFORME FINAL ENE - FEB'!K96,'INFORME FINAL ENE - FEB'!K97,'INFORME FINAL ENE - FEB'!K98,'INFORME FINAL ENE - FEB'!K99,'INFORME FINAL ENE - FEB'!K100,'INFORME FINAL ENE - FEB'!K101,'INFORME FINAL ENE - FEB'!K102,'INFORME FINAL ENE - FEB'!K111,'INFORME FINAL ENE - FEB'!K112,'INFORME FINAL ENE - FEB'!K113,'INFORME FINAL ENE - FEB'!K114,'INFORME FINAL ENE - FEB'!K115,'INFORME FINAL ENE - FEB'!K116,'INFORME FINAL ENE - FEB'!K117,'INFORME FINAL ENE - FEB'!K118,'INFORME FINAL ENE - FEB'!K9:K12,'INFORME FINAL ENE - FEB'!O79)</f>
        <v>146637987</v>
      </c>
      <c r="E50" s="365">
        <f t="shared" si="5"/>
        <v>520434539</v>
      </c>
    </row>
    <row r="51" spans="1:5" x14ac:dyDescent="0.25">
      <c r="A51" s="350">
        <v>6542</v>
      </c>
      <c r="B51" s="350">
        <v>7854</v>
      </c>
      <c r="C51" s="365">
        <f>E42</f>
        <v>3008975</v>
      </c>
      <c r="D51" s="365">
        <f>SUM('INFORME FINAL ENE - FEB'!K119,'INFORME FINAL ENE - FEB'!K120,'INFORME FINAL ENE - FEB'!K121,'INFORME FINAL ENE - FEB'!K122)</f>
        <v>1512734</v>
      </c>
      <c r="E51" s="365">
        <f t="shared" si="5"/>
        <v>1496241</v>
      </c>
    </row>
    <row r="52" spans="1:5" x14ac:dyDescent="0.25">
      <c r="A52" s="350">
        <v>6541</v>
      </c>
      <c r="B52" s="350" t="s">
        <v>505</v>
      </c>
      <c r="C52" s="365">
        <f>E43</f>
        <v>4058142</v>
      </c>
      <c r="D52" s="365">
        <v>0</v>
      </c>
      <c r="E52" s="365">
        <f t="shared" si="5"/>
        <v>4058142</v>
      </c>
    </row>
    <row r="53" spans="1:5" x14ac:dyDescent="0.25">
      <c r="A53" s="457" t="s">
        <v>522</v>
      </c>
      <c r="B53" s="457"/>
      <c r="C53" s="457"/>
      <c r="D53" s="457"/>
      <c r="E53" s="357" t="e">
        <f>SUM(E48:E52)</f>
        <v>#REF!</v>
      </c>
    </row>
    <row r="54" spans="1:5" x14ac:dyDescent="0.25">
      <c r="C54" s="364" t="e">
        <f>E44</f>
        <v>#REF!</v>
      </c>
      <c r="D54" s="355">
        <f>SUM(D48:D52)</f>
        <v>154283432</v>
      </c>
      <c r="E54" s="363"/>
    </row>
  </sheetData>
  <mergeCells count="12">
    <mergeCell ref="A53:D53"/>
    <mergeCell ref="A1:E1"/>
    <mergeCell ref="A8:D8"/>
    <mergeCell ref="A10:E10"/>
    <mergeCell ref="A17:D17"/>
    <mergeCell ref="A19:E19"/>
    <mergeCell ref="A26:D26"/>
    <mergeCell ref="A28:E28"/>
    <mergeCell ref="A35:D35"/>
    <mergeCell ref="A37:E37"/>
    <mergeCell ref="A44:D44"/>
    <mergeCell ref="A46:E46"/>
  </mergeCells>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60BBE-1BB9-6A43-8E6E-259B9B3FBE2F}">
  <sheetPr>
    <tabColor rgb="FF00B050"/>
  </sheetPr>
  <dimension ref="A1:AE191"/>
  <sheetViews>
    <sheetView view="pageBreakPreview" topLeftCell="E180" zoomScaleNormal="59" zoomScaleSheetLayoutView="100" workbookViewId="0">
      <selection activeCell="Y21" sqref="Y21"/>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81" t="s">
        <v>0</v>
      </c>
      <c r="B1" s="381"/>
      <c r="C1" s="381"/>
      <c r="D1" s="381"/>
      <c r="E1" s="381"/>
      <c r="F1" s="381"/>
      <c r="G1" s="381"/>
      <c r="H1" s="1"/>
      <c r="I1" s="1"/>
      <c r="J1" s="1"/>
      <c r="K1" s="1"/>
      <c r="L1" s="1"/>
      <c r="M1" s="1"/>
      <c r="N1" s="1"/>
      <c r="O1" s="1"/>
      <c r="P1" s="1"/>
      <c r="Q1" s="1"/>
      <c r="R1" s="1"/>
      <c r="S1" s="1"/>
      <c r="T1" s="1"/>
      <c r="U1" s="1"/>
      <c r="V1" s="1"/>
      <c r="W1" s="1"/>
      <c r="X1" s="1"/>
      <c r="Y1" s="1"/>
    </row>
    <row r="2" spans="1:31" ht="15.75" x14ac:dyDescent="0.2">
      <c r="A2" s="381" t="s">
        <v>1</v>
      </c>
      <c r="B2" s="381"/>
      <c r="C2" s="381"/>
      <c r="D2" s="381"/>
      <c r="E2" s="381"/>
      <c r="F2" s="381"/>
      <c r="G2" s="381"/>
      <c r="H2" s="1"/>
      <c r="I2" s="382" t="s">
        <v>375</v>
      </c>
      <c r="J2" s="383"/>
      <c r="K2" s="383"/>
      <c r="L2" s="383"/>
      <c r="M2" s="383"/>
      <c r="N2" s="383"/>
      <c r="O2" s="383"/>
      <c r="P2" s="384"/>
      <c r="Q2" s="1"/>
      <c r="R2" s="382" t="s">
        <v>3</v>
      </c>
      <c r="S2" s="383"/>
      <c r="T2" s="383"/>
      <c r="U2" s="383"/>
      <c r="V2" s="383"/>
      <c r="W2" s="383"/>
      <c r="X2" s="383"/>
      <c r="Y2" s="384"/>
      <c r="AA2" s="378"/>
      <c r="AB2" s="378"/>
      <c r="AC2" s="378"/>
      <c r="AD2" s="378"/>
      <c r="AE2" s="378"/>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f t="shared" ref="B4:B10" si="0">+IF(F4=0,0,MID(F4,LEN(F4)-3,1))</f>
        <v>0</v>
      </c>
      <c r="C4" s="10">
        <v>1</v>
      </c>
      <c r="D4" s="10" t="s">
        <v>365</v>
      </c>
      <c r="E4" s="47">
        <f t="shared" ref="E4:E10" si="1">+IF(F4=0,0,CONCATENATE(MID(F4,FIND("-",F4,1)+1,4),"ORAS"))</f>
        <v>0</v>
      </c>
      <c r="F4" s="12">
        <v>0</v>
      </c>
      <c r="G4" s="164">
        <f>+IF(F4="","",VLOOKUP(F4,$H$139:$I$191,2,FALSE))</f>
        <v>0</v>
      </c>
      <c r="H4" s="1"/>
      <c r="I4" s="17" t="s">
        <v>12</v>
      </c>
      <c r="J4" s="12" t="s">
        <v>237</v>
      </c>
      <c r="K4" s="103">
        <v>0</v>
      </c>
      <c r="L4" s="14">
        <v>1</v>
      </c>
      <c r="M4" s="15" t="s">
        <v>365</v>
      </c>
      <c r="N4" s="47">
        <f>+IF(O4=0,0,CONCATENATE(MID(O4,FIND("-",O4,1)+1,4),"ORAS"))</f>
        <v>0</v>
      </c>
      <c r="O4" s="12">
        <v>0</v>
      </c>
      <c r="P4" s="164">
        <f>+IF(O4="","",VLOOKUP(O4,$H$139:$I$191,2,FALSE))</f>
        <v>0</v>
      </c>
      <c r="Q4" s="1"/>
      <c r="R4" s="17" t="s">
        <v>12</v>
      </c>
      <c r="S4" s="40" t="s">
        <v>13</v>
      </c>
      <c r="T4" s="103">
        <f>+IF(X4=0,0,MID(X4,LEN(X4)-3,1))</f>
        <v>0</v>
      </c>
      <c r="U4" s="337">
        <v>1</v>
      </c>
      <c r="V4" s="20" t="s">
        <v>365</v>
      </c>
      <c r="W4" s="47">
        <f>+IF(X4=0,0,CONCATENATE(MID(X4,FIND("-",X4,1)+1,4),"ORAS"))</f>
        <v>0</v>
      </c>
      <c r="X4" s="12">
        <v>0</v>
      </c>
      <c r="Y4" s="164">
        <f t="shared" ref="Y4:Y6" si="2">+IF(X4="","",VLOOKUP(X4,$H$139:$I$191,2,FALSE))</f>
        <v>0</v>
      </c>
      <c r="AA4" s="21"/>
      <c r="AB4" s="22"/>
      <c r="AC4" s="22"/>
      <c r="AD4" s="23"/>
      <c r="AE4" s="24"/>
    </row>
    <row r="5" spans="1:31" ht="15.75" x14ac:dyDescent="0.25">
      <c r="A5" s="12" t="s">
        <v>14</v>
      </c>
      <c r="B5" s="128">
        <f t="shared" si="0"/>
        <v>0</v>
      </c>
      <c r="C5" s="15">
        <v>1</v>
      </c>
      <c r="D5" s="15" t="s">
        <v>365</v>
      </c>
      <c r="E5" s="47">
        <f t="shared" si="1"/>
        <v>0</v>
      </c>
      <c r="F5" s="12">
        <v>0</v>
      </c>
      <c r="G5" s="164">
        <f>+IF(F5="","",VLOOKUP(F5,$H$139:I$191,2,FALSE))</f>
        <v>0</v>
      </c>
      <c r="H5" s="1"/>
      <c r="I5" s="17" t="s">
        <v>12</v>
      </c>
      <c r="J5" s="12" t="s">
        <v>54</v>
      </c>
      <c r="K5" s="103">
        <v>3</v>
      </c>
      <c r="L5" s="14">
        <v>1</v>
      </c>
      <c r="M5" s="15" t="s">
        <v>365</v>
      </c>
      <c r="N5" s="47">
        <f>+IF(O5=0,0,CONCATENATE(MID(O5,FIND("-",O5,1)+1,4),"ORAS"))</f>
        <v>0</v>
      </c>
      <c r="O5" s="12">
        <v>0</v>
      </c>
      <c r="P5" s="164">
        <f t="shared" ref="P5:P8" si="3">+IF(O5="","",VLOOKUP(O5,$H$139:$I$191,2,FALSE))</f>
        <v>0</v>
      </c>
      <c r="Q5" s="1"/>
      <c r="R5" s="17" t="s">
        <v>12</v>
      </c>
      <c r="S5" s="40" t="s">
        <v>15</v>
      </c>
      <c r="T5" s="103">
        <f>+IF(X5=0,0,MID(X5,LEN(X5)-3,1))</f>
        <v>0</v>
      </c>
      <c r="U5" s="337">
        <v>1</v>
      </c>
      <c r="V5" s="20" t="s">
        <v>365</v>
      </c>
      <c r="W5" s="47">
        <f>+IF(X5=0,0,CONCATENATE(MID(X5,FIND("-",X5,1)+1,4),"ORAS"))</f>
        <v>0</v>
      </c>
      <c r="X5" s="12">
        <v>0</v>
      </c>
      <c r="Y5" s="164">
        <f t="shared" si="2"/>
        <v>0</v>
      </c>
      <c r="AA5" s="21"/>
      <c r="AB5" s="22"/>
      <c r="AC5" s="22"/>
      <c r="AD5" s="23"/>
      <c r="AE5" s="24"/>
    </row>
    <row r="6" spans="1:31" ht="15.75" x14ac:dyDescent="0.25">
      <c r="A6" s="12" t="s">
        <v>16</v>
      </c>
      <c r="B6" s="128">
        <f t="shared" si="0"/>
        <v>0</v>
      </c>
      <c r="C6" s="15">
        <v>1</v>
      </c>
      <c r="D6" s="15" t="s">
        <v>365</v>
      </c>
      <c r="E6" s="47">
        <f t="shared" si="1"/>
        <v>0</v>
      </c>
      <c r="F6" s="12">
        <v>0</v>
      </c>
      <c r="G6" s="164">
        <f>+IF(F6="","",VLOOKUP(F6,$H$139:I$191,2,FALSE))</f>
        <v>0</v>
      </c>
      <c r="H6" s="1"/>
      <c r="I6" s="17"/>
      <c r="J6" s="12"/>
      <c r="K6" s="103"/>
      <c r="L6" s="14"/>
      <c r="M6" s="15"/>
      <c r="N6" s="47">
        <f>+IF(O6=0,0,CONCATENATE(MID(O6,FIND("-",O6,1)+1,4),"ORAS"))</f>
        <v>0</v>
      </c>
      <c r="O6" s="12">
        <v>0</v>
      </c>
      <c r="P6" s="164">
        <f t="shared" si="3"/>
        <v>0</v>
      </c>
      <c r="Q6" s="1"/>
      <c r="R6" s="17" t="s">
        <v>12</v>
      </c>
      <c r="S6" s="40" t="s">
        <v>17</v>
      </c>
      <c r="T6" s="103">
        <f>+IF(X6=0,0,MID(X6,LEN(X6)-3,1))</f>
        <v>0</v>
      </c>
      <c r="U6" s="337">
        <v>1</v>
      </c>
      <c r="V6" s="20" t="s">
        <v>365</v>
      </c>
      <c r="W6" s="47">
        <f>+IF(X6=0,0,CONCATENATE(MID(X6,FIND("-",X6,1)+1,4),"ORAS"))</f>
        <v>0</v>
      </c>
      <c r="X6" s="12">
        <v>0</v>
      </c>
      <c r="Y6" s="164">
        <f t="shared" si="2"/>
        <v>0</v>
      </c>
      <c r="AA6" s="21"/>
      <c r="AB6" s="22"/>
      <c r="AC6" s="22"/>
      <c r="AD6" s="23"/>
      <c r="AE6" s="24"/>
    </row>
    <row r="7" spans="1:31" ht="15.75" x14ac:dyDescent="0.25">
      <c r="A7" s="12" t="s">
        <v>28</v>
      </c>
      <c r="B7" s="128">
        <f t="shared" si="0"/>
        <v>0</v>
      </c>
      <c r="C7" s="15">
        <v>1</v>
      </c>
      <c r="D7" s="15" t="s">
        <v>365</v>
      </c>
      <c r="E7" s="47">
        <f t="shared" si="1"/>
        <v>0</v>
      </c>
      <c r="F7" s="12">
        <v>0</v>
      </c>
      <c r="G7" s="164">
        <f>+IF(F7="","",VLOOKUP(F7,$H$139:I$191,2,FALSE))</f>
        <v>0</v>
      </c>
      <c r="H7" s="1"/>
      <c r="I7" s="17"/>
      <c r="J7" s="12"/>
      <c r="K7" s="103"/>
      <c r="L7" s="14"/>
      <c r="M7" s="15"/>
      <c r="N7" s="47"/>
      <c r="O7" s="12">
        <v>0</v>
      </c>
      <c r="P7" s="164">
        <f t="shared" si="3"/>
        <v>0</v>
      </c>
      <c r="Q7" s="1"/>
      <c r="R7" s="29"/>
      <c r="S7" s="338"/>
      <c r="T7" s="103"/>
      <c r="U7" s="339"/>
      <c r="V7" s="10"/>
      <c r="W7" s="47"/>
      <c r="X7" s="12">
        <v>0</v>
      </c>
      <c r="Y7" s="11">
        <f>+IF(X7="","",VLOOKUP(X7,$H$139:$I$185,2,FALSE))</f>
        <v>0</v>
      </c>
      <c r="AA7" s="21"/>
      <c r="AB7" s="21"/>
      <c r="AC7" s="21"/>
      <c r="AD7" s="21"/>
      <c r="AE7" s="21"/>
    </row>
    <row r="8" spans="1:31" ht="15.75" x14ac:dyDescent="0.25">
      <c r="A8" s="12" t="s">
        <v>243</v>
      </c>
      <c r="B8" s="128">
        <f t="shared" si="0"/>
        <v>0</v>
      </c>
      <c r="C8" s="15">
        <v>1</v>
      </c>
      <c r="D8" s="15" t="s">
        <v>365</v>
      </c>
      <c r="E8" s="47">
        <f t="shared" si="1"/>
        <v>0</v>
      </c>
      <c r="F8" s="12">
        <v>0</v>
      </c>
      <c r="G8" s="164">
        <f>+IF(F8="","",VLOOKUP(F8,$H$139:I$191,2,FALSE))</f>
        <v>0</v>
      </c>
      <c r="H8" s="1"/>
      <c r="I8" s="17"/>
      <c r="J8" s="12"/>
      <c r="K8" s="103"/>
      <c r="L8" s="14"/>
      <c r="M8" s="15"/>
      <c r="N8" s="47"/>
      <c r="O8" s="12">
        <v>0</v>
      </c>
      <c r="P8" s="164">
        <f t="shared" si="3"/>
        <v>0</v>
      </c>
      <c r="Q8" s="1"/>
      <c r="R8" s="17"/>
      <c r="S8" s="340"/>
      <c r="T8" s="337"/>
      <c r="U8" s="337">
        <f>+U4+U5+U6+U7</f>
        <v>3</v>
      </c>
      <c r="V8" s="15"/>
      <c r="W8" s="12"/>
      <c r="X8" s="12"/>
      <c r="Y8" s="139"/>
      <c r="AA8" s="21"/>
      <c r="AB8" s="21"/>
      <c r="AC8" s="21"/>
      <c r="AD8" s="21"/>
      <c r="AE8" s="21"/>
    </row>
    <row r="9" spans="1:31" ht="15.75" x14ac:dyDescent="0.25">
      <c r="A9" s="174" t="s">
        <v>366</v>
      </c>
      <c r="B9" s="128">
        <f t="shared" si="0"/>
        <v>0</v>
      </c>
      <c r="C9" s="15">
        <v>1</v>
      </c>
      <c r="D9" s="15" t="s">
        <v>365</v>
      </c>
      <c r="E9" s="47">
        <f t="shared" si="1"/>
        <v>0</v>
      </c>
      <c r="F9" s="12">
        <v>0</v>
      </c>
      <c r="G9" s="164">
        <f>+IF(F9="","",VLOOKUP(F9,$H$139:I$191,2,FALSE))</f>
        <v>0</v>
      </c>
      <c r="H9" s="1"/>
      <c r="I9" s="26"/>
      <c r="J9" s="12"/>
      <c r="K9" s="103"/>
      <c r="L9" s="56"/>
      <c r="M9" s="56"/>
      <c r="N9" s="12"/>
      <c r="O9" s="12"/>
      <c r="P9" s="110"/>
      <c r="Q9" s="1"/>
      <c r="R9" s="33"/>
      <c r="S9" s="341"/>
      <c r="T9" s="341"/>
      <c r="U9" s="341"/>
      <c r="V9" s="35"/>
      <c r="W9" s="35"/>
      <c r="X9" s="35"/>
      <c r="Y9" s="1"/>
      <c r="AA9" s="21"/>
      <c r="AB9" s="21"/>
      <c r="AC9" s="21"/>
      <c r="AD9" s="21"/>
      <c r="AE9" s="21"/>
    </row>
    <row r="10" spans="1:31" ht="15.75" x14ac:dyDescent="0.25">
      <c r="A10" s="174" t="s">
        <v>248</v>
      </c>
      <c r="B10" s="128">
        <f t="shared" si="0"/>
        <v>0</v>
      </c>
      <c r="C10" s="15">
        <v>1</v>
      </c>
      <c r="D10" s="15" t="s">
        <v>365</v>
      </c>
      <c r="E10" s="47">
        <f t="shared" si="1"/>
        <v>0</v>
      </c>
      <c r="F10" s="12">
        <v>0</v>
      </c>
      <c r="G10" s="164">
        <f>+IF(F10="","",VLOOKUP(F10,$H$139:I$191,2,FALSE))</f>
        <v>0</v>
      </c>
      <c r="H10" s="1"/>
      <c r="I10" s="26"/>
      <c r="J10" s="12"/>
      <c r="K10" s="103"/>
      <c r="L10" s="56"/>
      <c r="M10" s="56"/>
      <c r="N10" s="12"/>
      <c r="O10" s="12"/>
      <c r="P10" s="110"/>
      <c r="Q10" s="1"/>
      <c r="R10" s="33"/>
      <c r="S10" s="341"/>
      <c r="T10" s="341"/>
      <c r="U10" s="34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1"/>
      <c r="T11" s="341"/>
      <c r="U11" s="34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1"/>
      <c r="T12" s="341"/>
      <c r="U12" s="341"/>
      <c r="V12" s="35"/>
      <c r="W12" s="35"/>
      <c r="X12" s="35"/>
      <c r="Y12" s="1"/>
      <c r="AA12" s="21"/>
      <c r="AB12" s="21"/>
      <c r="AC12" s="21"/>
      <c r="AD12" s="21"/>
      <c r="AE12" s="21"/>
    </row>
    <row r="13" spans="1:31" ht="15.75" x14ac:dyDescent="0.25">
      <c r="A13" s="37"/>
      <c r="B13" s="128">
        <f>+B10+B9+B8+B7+B6+B5+B4</f>
        <v>0</v>
      </c>
      <c r="C13" s="128">
        <f>+C10+C9+C8+C7+C6+C5+C4</f>
        <v>7</v>
      </c>
      <c r="D13" s="28"/>
      <c r="E13" s="28"/>
      <c r="F13" s="12"/>
      <c r="G13" s="52">
        <f>SUM(G4:G12)</f>
        <v>0</v>
      </c>
      <c r="H13" s="1"/>
      <c r="I13" s="26"/>
      <c r="J13" s="12"/>
      <c r="K13" s="103"/>
      <c r="L13" s="14"/>
      <c r="M13" s="56"/>
      <c r="N13" s="12"/>
      <c r="O13" s="12"/>
      <c r="P13" s="36"/>
      <c r="Q13" s="1"/>
      <c r="R13" s="382" t="s">
        <v>21</v>
      </c>
      <c r="S13" s="383"/>
      <c r="T13" s="383"/>
      <c r="U13" s="383"/>
      <c r="V13" s="383"/>
      <c r="W13" s="383"/>
      <c r="X13" s="383"/>
      <c r="Y13" s="384"/>
      <c r="AA13" s="21"/>
      <c r="AB13" s="21"/>
      <c r="AC13" s="21"/>
      <c r="AD13" s="21"/>
      <c r="AE13" s="21"/>
    </row>
    <row r="14" spans="1:31" ht="16.5" customHeight="1" x14ac:dyDescent="0.25">
      <c r="A14" s="395" t="s">
        <v>22</v>
      </c>
      <c r="B14" s="395"/>
      <c r="C14" s="395"/>
      <c r="D14" s="395"/>
      <c r="E14" s="395"/>
      <c r="F14" s="395"/>
      <c r="G14" s="395"/>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f>+IF(X15=0,0,CONCATENATE(MID(X15,FIND("-",X15,1)+1,4),"ORAS"))</f>
        <v>0</v>
      </c>
      <c r="X15" s="12">
        <v>0</v>
      </c>
      <c r="Y15" s="164">
        <f t="shared" ref="Y15:Y16" si="4">+IF(X15="","",VLOOKUP(X15,$H$139:$I$191,2,FALSE))</f>
        <v>0</v>
      </c>
    </row>
    <row r="16" spans="1:31" ht="18.75" customHeight="1" x14ac:dyDescent="0.2">
      <c r="A16" s="174" t="s">
        <v>244</v>
      </c>
      <c r="B16" s="102">
        <f>+IF(F16=0,0,MID(F16,LEN(F16)-3,1))</f>
        <v>0</v>
      </c>
      <c r="C16" s="339">
        <v>1</v>
      </c>
      <c r="D16" s="10" t="s">
        <v>365</v>
      </c>
      <c r="E16" s="47">
        <f>+IF(F16=0,0,CONCATENATE(MID(F16,FIND("-",F16,1)+1,4),"ORAS"))</f>
        <v>0</v>
      </c>
      <c r="F16" s="12">
        <v>0</v>
      </c>
      <c r="G16" s="164">
        <f>+IF(F16="","",VLOOKUP(F16,$H$139:I$191,2,FALSE))</f>
        <v>0</v>
      </c>
      <c r="H16" s="1"/>
      <c r="I16" s="396" t="s">
        <v>25</v>
      </c>
      <c r="J16" s="397"/>
      <c r="K16" s="397"/>
      <c r="L16" s="397"/>
      <c r="M16" s="397"/>
      <c r="N16" s="397"/>
      <c r="O16" s="397"/>
      <c r="P16" s="398"/>
      <c r="Q16" s="1"/>
      <c r="R16" s="39" t="s">
        <v>12</v>
      </c>
      <c r="S16" s="40" t="s">
        <v>236</v>
      </c>
      <c r="T16" s="103">
        <v>2</v>
      </c>
      <c r="U16" s="40">
        <v>0</v>
      </c>
      <c r="V16" s="40" t="s">
        <v>377</v>
      </c>
      <c r="W16" s="12">
        <f>+IF(X16=0,0,CONCATENATE(MID(X16,FIND("-",X16,1)+1,4),"ORAS"))</f>
        <v>0</v>
      </c>
      <c r="X16" s="12">
        <v>0</v>
      </c>
      <c r="Y16" s="164">
        <f t="shared" si="4"/>
        <v>0</v>
      </c>
    </row>
    <row r="17" spans="1:31" ht="23.25" customHeight="1" x14ac:dyDescent="0.2">
      <c r="A17" s="129"/>
      <c r="B17" s="103"/>
      <c r="C17" s="33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337"/>
      <c r="D18" s="15"/>
      <c r="E18" s="12"/>
      <c r="F18" s="12"/>
      <c r="G18" s="11"/>
      <c r="H18" s="1"/>
      <c r="I18" s="17" t="s">
        <v>535</v>
      </c>
      <c r="J18" s="12" t="s">
        <v>536</v>
      </c>
      <c r="K18" s="103"/>
      <c r="L18" s="14">
        <v>1</v>
      </c>
      <c r="M18" s="15" t="s">
        <v>365</v>
      </c>
      <c r="N18" s="47">
        <f>+IF(O18=0,0,CONCATENATE(MID(O18,FIND("-",O18,1)+1,4),"ORAS"))</f>
        <v>0</v>
      </c>
      <c r="O18" s="12">
        <v>0</v>
      </c>
      <c r="P18" s="164">
        <f t="shared" ref="P18:P19" si="5">+IF(O18="","",VLOOKUP(O18,$H$139:$I$191,2,FALSE))</f>
        <v>0</v>
      </c>
      <c r="Q18" s="1"/>
      <c r="R18" s="382" t="s">
        <v>376</v>
      </c>
      <c r="S18" s="383"/>
      <c r="T18" s="383"/>
      <c r="U18" s="383"/>
      <c r="V18" s="383"/>
      <c r="W18" s="383"/>
      <c r="X18" s="383"/>
      <c r="Y18" s="384"/>
    </row>
    <row r="19" spans="1:31" ht="15.75" x14ac:dyDescent="0.25">
      <c r="A19" s="69"/>
      <c r="B19" s="103"/>
      <c r="C19" s="15"/>
      <c r="D19" s="15"/>
      <c r="E19" s="12"/>
      <c r="F19" s="12"/>
      <c r="G19" s="11"/>
      <c r="H19" s="1"/>
      <c r="I19" s="17"/>
      <c r="J19" s="12"/>
      <c r="K19" s="103"/>
      <c r="L19" s="27"/>
      <c r="M19" s="27"/>
      <c r="N19" s="47">
        <f>+IF(O19=0,0,CONCATENATE(MID(O19,FIND("-",O19,1)+1,4),"ORAS"))</f>
        <v>0</v>
      </c>
      <c r="O19" s="12">
        <v>0</v>
      </c>
      <c r="P19" s="164">
        <f t="shared" si="5"/>
        <v>0</v>
      </c>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f>+IF(X20=0,0,CONCATENATE(MID(X20,FIND("-",X20,1)+1,4),"ORAS"))</f>
        <v>0</v>
      </c>
      <c r="X20" s="12">
        <v>0</v>
      </c>
      <c r="Y20" s="164">
        <f t="shared" ref="Y20:Y23" si="6">+IF(X20="","",VLOOKUP(X20,$H$139:$I$191,2,FALSE))</f>
        <v>0</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f>+IF(X21=0,0,CONCATENATE(MID(X21,FIND("-",X21,1)+1,4),"ORAS"))</f>
        <v>0</v>
      </c>
      <c r="X21" s="12">
        <v>0</v>
      </c>
      <c r="Y21" s="164">
        <f t="shared" si="6"/>
        <v>0</v>
      </c>
      <c r="AA21" s="21"/>
      <c r="AB21" s="21"/>
      <c r="AC21" s="21"/>
      <c r="AD21" s="21"/>
      <c r="AE21" s="21"/>
    </row>
    <row r="22" spans="1:31" ht="15.75" x14ac:dyDescent="0.25">
      <c r="A22" s="50" t="s">
        <v>29</v>
      </c>
      <c r="B22" s="133">
        <f>SUM(B4:B13)+B16+B17+B18+B19+B20+B21</f>
        <v>0</v>
      </c>
      <c r="C22" s="133">
        <f>+C4+C5+C6+C7+C8+C9+C10+C16</f>
        <v>8</v>
      </c>
      <c r="D22" s="51"/>
      <c r="E22" s="131"/>
      <c r="F22" s="51"/>
      <c r="G22" s="52">
        <f>SUM(G13,G16:G21)</f>
        <v>0</v>
      </c>
      <c r="H22" s="1"/>
      <c r="I22" s="26"/>
      <c r="J22" s="12"/>
      <c r="K22" s="103"/>
      <c r="L22" s="27"/>
      <c r="M22" s="27"/>
      <c r="N22" s="47"/>
      <c r="O22" s="12"/>
      <c r="P22" s="43"/>
      <c r="Q22" s="1"/>
      <c r="R22" s="39" t="s">
        <v>12</v>
      </c>
      <c r="S22" s="40" t="s">
        <v>23</v>
      </c>
      <c r="T22" s="103" t="s">
        <v>377</v>
      </c>
      <c r="U22" s="40" t="s">
        <v>377</v>
      </c>
      <c r="V22" s="15" t="s">
        <v>365</v>
      </c>
      <c r="W22" s="12">
        <f>+IF(X22=0,0,CONCATENATE(MID(X22,FIND("-",X22,1)+1,4),"ORAS"))</f>
        <v>0</v>
      </c>
      <c r="X22" s="12">
        <v>0</v>
      </c>
      <c r="Y22" s="164">
        <f t="shared" si="6"/>
        <v>0</v>
      </c>
      <c r="AA22" s="21"/>
      <c r="AB22" s="21"/>
      <c r="AC22" s="21"/>
      <c r="AD22" s="21"/>
      <c r="AE22" s="21"/>
    </row>
    <row r="23" spans="1:31" ht="15.75" x14ac:dyDescent="0.25">
      <c r="A23" s="399" t="s">
        <v>30</v>
      </c>
      <c r="B23" s="399"/>
      <c r="C23" s="399"/>
      <c r="D23" s="399"/>
      <c r="E23" s="399"/>
      <c r="F23" s="399"/>
      <c r="G23" s="399"/>
      <c r="H23" s="1"/>
      <c r="I23" s="53"/>
      <c r="J23" s="12"/>
      <c r="K23" s="103"/>
      <c r="L23" s="27"/>
      <c r="M23" s="20"/>
      <c r="N23" s="47"/>
      <c r="O23" s="12"/>
      <c r="P23" s="54"/>
      <c r="Q23" s="1"/>
      <c r="R23" s="183" t="s">
        <v>57</v>
      </c>
      <c r="S23" s="40" t="s">
        <v>23</v>
      </c>
      <c r="T23" s="103" t="s">
        <v>377</v>
      </c>
      <c r="U23" s="40" t="s">
        <v>377</v>
      </c>
      <c r="V23" s="15" t="s">
        <v>365</v>
      </c>
      <c r="W23" s="12">
        <f>+IF(X23=0,0,CONCATENATE(MID(X23,FIND("-",X23,1)+1,4),"ORAS"))</f>
        <v>0</v>
      </c>
      <c r="X23" s="12">
        <v>0</v>
      </c>
      <c r="Y23" s="164">
        <f t="shared" si="6"/>
        <v>0</v>
      </c>
      <c r="AA23" s="21"/>
      <c r="AB23" s="21"/>
      <c r="AC23" s="21"/>
      <c r="AD23" s="21"/>
      <c r="AE23" s="21"/>
    </row>
    <row r="24" spans="1:31" ht="15.75" x14ac:dyDescent="0.25">
      <c r="A24" s="399" t="s">
        <v>1</v>
      </c>
      <c r="B24" s="399"/>
      <c r="C24" s="399"/>
      <c r="D24" s="399"/>
      <c r="E24" s="399"/>
      <c r="F24" s="399"/>
      <c r="G24" s="399"/>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SUM(K4:K15,K18:K24)</f>
        <v>3</v>
      </c>
      <c r="L25" s="136">
        <f>SUM(L4:L24)</f>
        <v>3</v>
      </c>
      <c r="M25" s="60"/>
      <c r="N25" s="60"/>
      <c r="O25" s="60"/>
      <c r="P25" s="137">
        <f>SUM(P4:P24)</f>
        <v>0</v>
      </c>
      <c r="Q25" s="1"/>
      <c r="R25" s="1"/>
      <c r="S25" s="62" t="s">
        <v>31</v>
      </c>
      <c r="T25" s="140">
        <f>+T15+T16+T4+T5+T6+T7</f>
        <v>5</v>
      </c>
      <c r="U25" s="140">
        <f>SUM(U4:U7,U21)</f>
        <v>4</v>
      </c>
      <c r="V25" s="62"/>
      <c r="W25" s="62"/>
      <c r="X25" s="62"/>
      <c r="Y25" s="63">
        <f>SUM(Y4:Y23)</f>
        <v>0</v>
      </c>
      <c r="AA25" s="64"/>
      <c r="AB25" s="64"/>
      <c r="AC25" s="64"/>
      <c r="AD25" s="64"/>
      <c r="AE25" s="65"/>
    </row>
    <row r="26" spans="1:31" ht="15.75" x14ac:dyDescent="0.2">
      <c r="A26" s="175" t="s">
        <v>36</v>
      </c>
      <c r="B26" s="128">
        <f>+IF(F26=0,0,MID(F26,LEN(F26)-3,1))</f>
        <v>0</v>
      </c>
      <c r="C26" s="10">
        <v>1</v>
      </c>
      <c r="D26" s="10" t="s">
        <v>365</v>
      </c>
      <c r="E26" s="47">
        <f>+IF(F26=0,0,CONCATENATE(MID(F26,FIND("-",F26,1)+1,4),"ORAS"))</f>
        <v>0</v>
      </c>
      <c r="F26" s="12">
        <v>0</v>
      </c>
      <c r="G26" s="164">
        <f>+IF(F26="","",VLOOKUP(F26,$H$139:I$191,2,FALSE))</f>
        <v>0</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f>+IF(F27=0,0,MID(F27,LEN(F27)-3,1))</f>
        <v>0</v>
      </c>
      <c r="C27" s="68">
        <v>1</v>
      </c>
      <c r="D27" s="20" t="s">
        <v>365</v>
      </c>
      <c r="E27" s="47">
        <f>+IF(F27=0,0,CONCATENATE(MID(F27,FIND("-",F27,1)+1,4),"ORAS"))</f>
        <v>0</v>
      </c>
      <c r="F27" s="12">
        <v>0</v>
      </c>
      <c r="G27" s="164">
        <f>+IF(F27="","",VLOOKUP(F27,$H$139:I$191,2,FALSE))</f>
        <v>0</v>
      </c>
      <c r="H27" s="1"/>
      <c r="I27" s="1"/>
      <c r="J27" s="1"/>
      <c r="K27" s="1"/>
      <c r="L27" s="1"/>
      <c r="M27" s="1"/>
      <c r="N27" s="1"/>
      <c r="O27" s="1"/>
      <c r="P27" s="1"/>
      <c r="Q27" s="1"/>
      <c r="R27" s="1"/>
      <c r="S27" s="1"/>
      <c r="T27" s="1"/>
      <c r="U27" s="1"/>
      <c r="V27" s="1"/>
      <c r="W27" s="1"/>
      <c r="X27" s="1"/>
      <c r="Y27" s="1"/>
    </row>
    <row r="28" spans="1:31" ht="15.75" customHeight="1" x14ac:dyDescent="0.2">
      <c r="A28" s="175" t="s">
        <v>34</v>
      </c>
      <c r="B28" s="102">
        <f>+IF(F28=0,0,MID(F28,LEN(F28)-3,1))</f>
        <v>0</v>
      </c>
      <c r="C28" s="68">
        <v>1</v>
      </c>
      <c r="D28" s="20" t="s">
        <v>365</v>
      </c>
      <c r="E28" s="47">
        <f>+IF(F28=0,0,CONCATENATE(MID(F28,FIND("-",F28,1)+1,4),"ORAS"))</f>
        <v>0</v>
      </c>
      <c r="F28" s="12">
        <v>0</v>
      </c>
      <c r="G28" s="164">
        <f>+IF(F28="","",VLOOKUP(F28,$H$139:I$191,2,FALSE))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400" t="s">
        <v>22</v>
      </c>
      <c r="B32" s="400"/>
      <c r="C32" s="400"/>
      <c r="D32" s="400"/>
      <c r="E32" s="400"/>
      <c r="F32" s="400"/>
      <c r="G32" s="400"/>
      <c r="H32" s="1"/>
      <c r="I32" s="1"/>
      <c r="J32" s="1"/>
      <c r="K32" s="1"/>
      <c r="L32" s="1"/>
      <c r="M32" s="1"/>
      <c r="N32" s="1"/>
      <c r="O32" s="1"/>
      <c r="P32" s="1"/>
      <c r="Q32" s="1"/>
      <c r="R32" s="1"/>
      <c r="S32" s="1"/>
      <c r="T32" s="1"/>
      <c r="U32" s="1"/>
      <c r="V32" s="1"/>
      <c r="W32" s="1"/>
      <c r="X32" s="1"/>
      <c r="Y32" s="1"/>
    </row>
    <row r="33" spans="1:25" ht="15.75" x14ac:dyDescent="0.2">
      <c r="A33" s="58"/>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f>+IF(F34=0,0,MID(F34,LEN(F34)-3,1))</f>
        <v>0</v>
      </c>
      <c r="C34" s="342">
        <v>1</v>
      </c>
      <c r="D34" s="20" t="s">
        <v>365</v>
      </c>
      <c r="E34" s="47">
        <f>+IF(F34=0,0,CONCATENATE(MID(F34,FIND("-",F34,1)+1,4),"ORAS"))</f>
        <v>0</v>
      </c>
      <c r="F34" s="12">
        <v>0</v>
      </c>
      <c r="G34" s="164">
        <f>+IF(F34="","",VLOOKUP(F34,$H$139:I$191,2,FALSE))</f>
        <v>0</v>
      </c>
      <c r="H34" s="1"/>
      <c r="I34" s="1"/>
      <c r="J34" s="1"/>
      <c r="K34" s="1"/>
      <c r="L34" s="1"/>
      <c r="M34" s="1"/>
      <c r="N34" s="1"/>
      <c r="O34" s="1"/>
      <c r="P34" s="1"/>
      <c r="Q34" s="1"/>
      <c r="R34" s="1"/>
      <c r="S34" s="1"/>
      <c r="T34" s="1"/>
      <c r="U34" s="1"/>
      <c r="V34" s="1"/>
      <c r="W34" s="1"/>
      <c r="X34" s="1"/>
      <c r="Y34" s="111"/>
    </row>
    <row r="35" spans="1:25" ht="15.75" x14ac:dyDescent="0.25">
      <c r="A35" s="175" t="s">
        <v>38</v>
      </c>
      <c r="B35" s="102">
        <f>+IF(F35=0,0,MID(F35,LEN(F35)-3,1))</f>
        <v>0</v>
      </c>
      <c r="C35" s="342">
        <v>1</v>
      </c>
      <c r="D35" s="20" t="s">
        <v>365</v>
      </c>
      <c r="E35" s="47">
        <f>+IF(F35=0,0,CONCATENATE(MID(F35,FIND("-",F35,1)+1,4),"ORAS"))</f>
        <v>0</v>
      </c>
      <c r="F35" s="12">
        <v>0</v>
      </c>
      <c r="G35" s="164">
        <f>+IF(F35="","",VLOOKUP(F35,$H$139:I$191,2,FALSE))</f>
        <v>0</v>
      </c>
      <c r="H35" s="1"/>
      <c r="I35" s="1"/>
      <c r="J35" s="1"/>
      <c r="K35" s="1"/>
      <c r="L35" s="1"/>
      <c r="M35" s="1"/>
      <c r="N35" s="1"/>
      <c r="O35" s="1"/>
      <c r="P35" s="1"/>
      <c r="Q35" s="1"/>
      <c r="R35" s="1"/>
      <c r="S35" s="1"/>
      <c r="T35" s="1"/>
      <c r="U35" s="1"/>
      <c r="V35" s="1"/>
      <c r="W35" s="1"/>
      <c r="X35" s="1"/>
      <c r="Y35" s="1"/>
    </row>
    <row r="36" spans="1:25" ht="15.75" x14ac:dyDescent="0.25">
      <c r="A36" s="175" t="s">
        <v>33</v>
      </c>
      <c r="B36" s="102">
        <f>+IF(F36=0,0,MID(F36,LEN(F36)-3,1))</f>
        <v>0</v>
      </c>
      <c r="C36" s="342">
        <v>1</v>
      </c>
      <c r="D36" s="20" t="s">
        <v>365</v>
      </c>
      <c r="E36" s="47">
        <f>+IF(F36=0,0,CONCATENATE(MID(F36,FIND("-",F36,1)+1,4),"ORAS"))</f>
        <v>0</v>
      </c>
      <c r="F36" s="12">
        <v>0</v>
      </c>
      <c r="G36" s="164">
        <f>+IF(F36="","",VLOOKUP(F36,$H$139:I$191,2,FALSE))</f>
        <v>0</v>
      </c>
      <c r="H36" s="1"/>
      <c r="I36" s="1"/>
      <c r="J36" s="1"/>
      <c r="K36" s="1"/>
      <c r="L36" s="1"/>
      <c r="M36" s="1"/>
      <c r="N36" s="1"/>
      <c r="O36" s="1"/>
      <c r="P36" s="1"/>
      <c r="Q36" s="1"/>
      <c r="R36" s="1"/>
      <c r="S36" s="1"/>
      <c r="T36" s="1"/>
      <c r="U36" s="1"/>
      <c r="V36" s="1"/>
      <c r="W36" s="1"/>
      <c r="X36" s="1"/>
      <c r="Y36" s="1"/>
    </row>
    <row r="37" spans="1:25" ht="15.75" x14ac:dyDescent="0.25">
      <c r="A37" s="26" t="s">
        <v>393</v>
      </c>
      <c r="B37" s="102">
        <f>+IF(F37=0,0,MID(F37,LEN(F37)-3,1))</f>
        <v>0</v>
      </c>
      <c r="C37" s="342">
        <v>1</v>
      </c>
      <c r="D37" s="20" t="s">
        <v>365</v>
      </c>
      <c r="E37" s="47">
        <f>+IF(F37=0,0,CONCATENATE(MID(F37,FIND("-",F37,1)+1,4),"ORAS"))</f>
        <v>0</v>
      </c>
      <c r="F37" s="12">
        <v>0</v>
      </c>
      <c r="G37" s="164">
        <f>+IF(F37="","",VLOOKUP(F37,$H$139:I$191,2,FALSE))</f>
        <v>0</v>
      </c>
      <c r="H37" s="1"/>
      <c r="I37" s="1"/>
      <c r="J37" s="1"/>
      <c r="K37" s="1"/>
      <c r="L37" s="1"/>
      <c r="M37" s="1"/>
      <c r="N37" s="1"/>
      <c r="O37" s="1"/>
      <c r="P37" s="1"/>
      <c r="Q37" s="1"/>
      <c r="R37" s="1"/>
      <c r="S37" s="1"/>
      <c r="T37" s="1"/>
      <c r="U37" s="1"/>
      <c r="V37" s="1"/>
      <c r="W37" s="1"/>
      <c r="X37" s="1"/>
      <c r="Y37" s="1"/>
    </row>
    <row r="38" spans="1:25" ht="15.75" x14ac:dyDescent="0.25">
      <c r="A38" s="176" t="s">
        <v>241</v>
      </c>
      <c r="B38" s="102">
        <f>+IF(F38=0,0,MID(F38,LEN(F38)-3,1))</f>
        <v>0</v>
      </c>
      <c r="C38" s="342">
        <v>1</v>
      </c>
      <c r="D38" s="20" t="s">
        <v>365</v>
      </c>
      <c r="E38" s="47">
        <f>+IF(F38=0,0,CONCATENATE(MID(F38,FIND("-",F38,1)+1,4),"ORAS"))</f>
        <v>0</v>
      </c>
      <c r="F38" s="12">
        <v>0</v>
      </c>
      <c r="G38" s="164">
        <f>+IF(F38="","",VLOOKUP(F38,$H$139:I$191,2,FALSE))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0</v>
      </c>
      <c r="C40" s="51">
        <f>SUM(C26:C32)+C34+C35+C36+C37+C38+C39</f>
        <v>8</v>
      </c>
      <c r="D40" s="51"/>
      <c r="E40" s="47">
        <f>+IF(F40=0,0,CONCATENATE(MID(F40,FIND("-",F40,1)+1,3),"ORAS"))</f>
        <v>0</v>
      </c>
      <c r="F40" s="51"/>
      <c r="G40" s="52">
        <f>SUM(G26:G31,G34:G39)</f>
        <v>0</v>
      </c>
      <c r="H40" s="1"/>
      <c r="I40" s="1"/>
      <c r="J40" s="1"/>
      <c r="K40" s="1"/>
      <c r="L40" s="1"/>
      <c r="M40" s="1"/>
      <c r="N40" s="1"/>
      <c r="O40" s="1"/>
      <c r="P40" s="1"/>
      <c r="Q40" s="1"/>
      <c r="R40" s="1"/>
      <c r="S40" s="1"/>
      <c r="T40" s="1"/>
      <c r="U40" s="1"/>
      <c r="V40" s="1"/>
      <c r="W40" s="1"/>
      <c r="X40" s="1"/>
      <c r="Y40" s="1"/>
    </row>
    <row r="41" spans="1:25" ht="15.75" x14ac:dyDescent="0.2">
      <c r="A41" s="401" t="s">
        <v>40</v>
      </c>
      <c r="B41" s="401"/>
      <c r="C41" s="401"/>
      <c r="D41" s="401"/>
      <c r="E41" s="401"/>
      <c r="F41" s="401"/>
      <c r="G41" s="401"/>
      <c r="H41" s="1"/>
      <c r="I41" s="1"/>
      <c r="J41" s="1"/>
      <c r="K41" s="1"/>
      <c r="L41" s="1"/>
      <c r="M41" s="1"/>
      <c r="N41" s="1"/>
      <c r="O41" s="1"/>
      <c r="P41" s="1"/>
      <c r="Q41" s="1"/>
      <c r="R41" s="1"/>
      <c r="S41" s="1"/>
      <c r="T41" s="1"/>
      <c r="U41" s="1"/>
      <c r="V41" s="1"/>
      <c r="W41" s="1"/>
      <c r="X41" s="1"/>
      <c r="Y41" s="1"/>
    </row>
    <row r="42" spans="1:25" ht="15.75" x14ac:dyDescent="0.2">
      <c r="A42" s="401" t="s">
        <v>1</v>
      </c>
      <c r="B42" s="401"/>
      <c r="C42" s="401"/>
      <c r="D42" s="401"/>
      <c r="E42" s="401"/>
      <c r="F42" s="401"/>
      <c r="G42" s="401"/>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342"/>
      <c r="D46" s="20"/>
      <c r="E46" s="47"/>
      <c r="F46" s="67"/>
      <c r="G46" s="67"/>
      <c r="H46" s="1"/>
      <c r="I46" s="1"/>
      <c r="J46" s="402"/>
      <c r="K46" s="402"/>
      <c r="L46" s="402"/>
      <c r="M46" s="402"/>
      <c r="N46" s="402"/>
      <c r="O46" s="402"/>
      <c r="P46" s="402"/>
      <c r="Q46" s="1"/>
      <c r="R46" s="1"/>
      <c r="S46" s="1"/>
      <c r="T46" s="1"/>
      <c r="U46" s="1"/>
      <c r="V46" s="1"/>
      <c r="W46" s="1"/>
      <c r="X46" s="1"/>
      <c r="Y46" s="1"/>
    </row>
    <row r="47" spans="1:25" ht="15.75" x14ac:dyDescent="0.2">
      <c r="A47" s="80"/>
      <c r="B47" s="103"/>
      <c r="C47" s="67"/>
      <c r="D47" s="67"/>
      <c r="E47" s="47"/>
      <c r="F47" s="67"/>
      <c r="G47" s="67"/>
      <c r="H47" s="1"/>
      <c r="I47" s="1"/>
      <c r="J47" s="402"/>
      <c r="K47" s="402"/>
      <c r="L47" s="402"/>
      <c r="M47" s="402"/>
      <c r="N47" s="402"/>
      <c r="O47" s="402"/>
      <c r="P47" s="402"/>
      <c r="Q47" s="1"/>
      <c r="R47" s="1"/>
      <c r="S47" s="1"/>
      <c r="T47" s="1"/>
      <c r="U47" s="1"/>
      <c r="V47" s="1"/>
      <c r="W47" s="1"/>
      <c r="X47" s="1"/>
      <c r="Y47" s="1"/>
    </row>
    <row r="48" spans="1:25" ht="15.75" x14ac:dyDescent="0.2">
      <c r="A48" s="80"/>
      <c r="B48" s="103"/>
      <c r="C48" s="67"/>
      <c r="D48" s="67"/>
      <c r="E48" s="47"/>
      <c r="F48" s="67"/>
      <c r="G48" s="67"/>
      <c r="H48" s="1"/>
      <c r="I48" s="1"/>
      <c r="J48" s="402"/>
      <c r="K48" s="402"/>
      <c r="L48" s="402"/>
      <c r="M48" s="402"/>
      <c r="N48" s="402"/>
      <c r="O48" s="402"/>
      <c r="P48" s="402"/>
      <c r="Q48" s="1"/>
      <c r="R48" s="1"/>
      <c r="S48" s="1"/>
      <c r="T48" s="1"/>
      <c r="U48" s="1"/>
      <c r="V48" s="1"/>
      <c r="W48" s="1"/>
      <c r="X48" s="1"/>
      <c r="Y48" s="1"/>
    </row>
    <row r="49" spans="1:25" ht="15.75" x14ac:dyDescent="0.2">
      <c r="A49" s="80"/>
      <c r="B49" s="103"/>
      <c r="C49" s="67"/>
      <c r="D49" s="67"/>
      <c r="E49" s="47"/>
      <c r="F49" s="67"/>
      <c r="G49" s="67"/>
      <c r="H49" s="1"/>
      <c r="I49" s="1"/>
      <c r="J49" s="402"/>
      <c r="K49" s="402"/>
      <c r="L49" s="402"/>
      <c r="M49" s="402"/>
      <c r="N49" s="402"/>
      <c r="O49" s="402"/>
      <c r="P49" s="402"/>
      <c r="Q49" s="1"/>
      <c r="R49" s="1"/>
      <c r="S49" s="1"/>
      <c r="T49" s="1"/>
      <c r="U49" s="1"/>
      <c r="V49" s="1"/>
      <c r="W49" s="1"/>
      <c r="X49" s="1"/>
      <c r="Y49" s="1"/>
    </row>
    <row r="50" spans="1:25" ht="15.75" x14ac:dyDescent="0.2">
      <c r="A50" s="80"/>
      <c r="B50" s="67"/>
      <c r="C50" s="67"/>
      <c r="D50" s="67"/>
      <c r="E50" s="47"/>
      <c r="F50" s="67"/>
      <c r="G50" s="67"/>
      <c r="H50" s="1"/>
      <c r="I50" s="1"/>
      <c r="J50" s="402"/>
      <c r="K50" s="402"/>
      <c r="L50" s="402"/>
      <c r="M50" s="402"/>
      <c r="N50" s="402"/>
      <c r="O50" s="402"/>
      <c r="P50" s="402"/>
      <c r="Q50" s="1"/>
      <c r="R50" s="1"/>
      <c r="S50" s="1"/>
      <c r="T50" s="1"/>
      <c r="U50" s="1"/>
      <c r="V50" s="1"/>
      <c r="W50" s="1"/>
      <c r="X50" s="1"/>
      <c r="Y50" s="1"/>
    </row>
    <row r="51" spans="1:25" ht="15.75" x14ac:dyDescent="0.2">
      <c r="A51" s="80"/>
      <c r="B51" s="67"/>
      <c r="C51" s="67"/>
      <c r="D51" s="67"/>
      <c r="E51" s="47"/>
      <c r="F51" s="67"/>
      <c r="G51" s="67"/>
      <c r="H51" s="1"/>
      <c r="I51" s="1"/>
      <c r="J51" s="402"/>
      <c r="K51" s="402"/>
      <c r="L51" s="402"/>
      <c r="M51" s="402"/>
      <c r="N51" s="402"/>
      <c r="O51" s="402"/>
      <c r="P51" s="402"/>
      <c r="Q51" s="1"/>
      <c r="R51" s="1"/>
      <c r="S51" s="1"/>
      <c r="T51" s="1"/>
      <c r="U51" s="1"/>
      <c r="V51" s="1"/>
      <c r="W51" s="1"/>
      <c r="X51" s="1"/>
      <c r="Y51" s="1"/>
    </row>
    <row r="52" spans="1:25" ht="15.75" x14ac:dyDescent="0.2">
      <c r="A52" s="403" t="s">
        <v>22</v>
      </c>
      <c r="B52" s="403"/>
      <c r="C52" s="403"/>
      <c r="D52" s="403"/>
      <c r="E52" s="403"/>
      <c r="F52" s="403"/>
      <c r="G52" s="403"/>
      <c r="H52" s="1"/>
      <c r="I52" s="1"/>
      <c r="J52" s="402"/>
      <c r="K52" s="402"/>
      <c r="L52" s="402"/>
      <c r="M52" s="402"/>
      <c r="N52" s="402"/>
      <c r="O52" s="402"/>
      <c r="P52" s="402"/>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402"/>
      <c r="K53" s="402"/>
      <c r="L53" s="402"/>
      <c r="M53" s="402"/>
      <c r="N53" s="402"/>
      <c r="O53" s="402"/>
      <c r="P53" s="402"/>
      <c r="Q53" s="1"/>
      <c r="R53" s="1"/>
      <c r="S53" s="1"/>
      <c r="T53" s="1"/>
      <c r="U53" s="1"/>
      <c r="V53" s="1"/>
      <c r="W53" s="1"/>
      <c r="X53" s="1"/>
      <c r="Y53" s="1"/>
    </row>
    <row r="54" spans="1:25" ht="15.75" x14ac:dyDescent="0.25">
      <c r="A54" s="69" t="s">
        <v>41</v>
      </c>
      <c r="B54" s="103">
        <f t="shared" ref="B54:B63" si="7">+IF(F54=0,0,MID(F54,LEN(F54)-3,1))</f>
        <v>0</v>
      </c>
      <c r="C54" s="342">
        <v>1</v>
      </c>
      <c r="D54" s="20" t="s">
        <v>365</v>
      </c>
      <c r="E54" s="47">
        <f t="shared" ref="E54:E63" si="8">+IF(F54=0,0,CONCATENATE(MID(F54,FIND("-",F54,1)+1,4),"ORAS"))</f>
        <v>0</v>
      </c>
      <c r="F54" s="12">
        <v>0</v>
      </c>
      <c r="G54" s="164">
        <f>+IF(F54="","",VLOOKUP(F54,$H$139:I$191,2,FALSE))</f>
        <v>0</v>
      </c>
      <c r="H54" s="1"/>
      <c r="I54" s="1"/>
      <c r="J54" s="402"/>
      <c r="K54" s="402"/>
      <c r="L54" s="402"/>
      <c r="M54" s="402"/>
      <c r="N54" s="402"/>
      <c r="O54" s="402"/>
      <c r="P54" s="402"/>
      <c r="Q54" s="1"/>
      <c r="R54" s="1"/>
      <c r="S54" s="1"/>
      <c r="T54" s="1"/>
      <c r="U54" s="1"/>
      <c r="V54" s="1"/>
      <c r="W54" s="1"/>
      <c r="X54" s="1"/>
      <c r="Y54" s="1"/>
    </row>
    <row r="55" spans="1:25" ht="15.75" x14ac:dyDescent="0.25">
      <c r="A55" s="69" t="s">
        <v>42</v>
      </c>
      <c r="B55" s="103">
        <f t="shared" si="7"/>
        <v>0</v>
      </c>
      <c r="C55" s="342">
        <v>1</v>
      </c>
      <c r="D55" s="20" t="s">
        <v>365</v>
      </c>
      <c r="E55" s="47">
        <f t="shared" si="8"/>
        <v>0</v>
      </c>
      <c r="F55" s="12">
        <v>0</v>
      </c>
      <c r="G55" s="164">
        <f>+IF(F55="","",VLOOKUP(F55,$H$139:I$191,2,FALSE))</f>
        <v>0</v>
      </c>
      <c r="H55" s="1"/>
      <c r="I55" s="1"/>
      <c r="J55" s="402"/>
      <c r="K55" s="402"/>
      <c r="L55" s="402"/>
      <c r="M55" s="402"/>
      <c r="N55" s="402"/>
      <c r="O55" s="402"/>
      <c r="P55" s="402"/>
      <c r="Q55" s="1"/>
      <c r="R55" s="1"/>
      <c r="S55" s="1"/>
      <c r="T55" s="1"/>
      <c r="U55" s="1"/>
      <c r="V55" s="1"/>
      <c r="W55" s="1"/>
      <c r="X55" s="1"/>
      <c r="Y55" s="1"/>
    </row>
    <row r="56" spans="1:25" ht="15.75" x14ac:dyDescent="0.25">
      <c r="A56" s="69" t="s">
        <v>253</v>
      </c>
      <c r="B56" s="103">
        <f t="shared" si="7"/>
        <v>0</v>
      </c>
      <c r="C56" s="342">
        <v>1</v>
      </c>
      <c r="D56" s="20" t="s">
        <v>365</v>
      </c>
      <c r="E56" s="47">
        <f t="shared" si="8"/>
        <v>0</v>
      </c>
      <c r="F56" s="12">
        <v>0</v>
      </c>
      <c r="G56" s="164">
        <f>+IF(F56="","",VLOOKUP(F56,$H$139:I$191,2,FALSE))</f>
        <v>0</v>
      </c>
      <c r="H56" s="1"/>
      <c r="I56" s="1"/>
      <c r="J56" s="402"/>
      <c r="K56" s="402"/>
      <c r="L56" s="402"/>
      <c r="M56" s="402"/>
      <c r="N56" s="402"/>
      <c r="O56" s="402"/>
      <c r="P56" s="402"/>
      <c r="Q56" s="1"/>
      <c r="R56" s="1"/>
      <c r="S56" s="1"/>
      <c r="T56" s="1"/>
      <c r="U56" s="1"/>
      <c r="V56" s="1"/>
      <c r="W56" s="1"/>
      <c r="X56" s="1"/>
      <c r="Y56" s="1"/>
    </row>
    <row r="57" spans="1:25" ht="15.75" x14ac:dyDescent="0.25">
      <c r="A57" s="69" t="s">
        <v>367</v>
      </c>
      <c r="B57" s="103">
        <f t="shared" si="7"/>
        <v>0</v>
      </c>
      <c r="C57" s="342">
        <v>1</v>
      </c>
      <c r="D57" s="20" t="s">
        <v>365</v>
      </c>
      <c r="E57" s="47">
        <f t="shared" si="8"/>
        <v>0</v>
      </c>
      <c r="F57" s="12">
        <v>0</v>
      </c>
      <c r="G57" s="164">
        <f>+IF(F57="","",VLOOKUP(F57,$H$139:I$191,2,FALSE))</f>
        <v>0</v>
      </c>
      <c r="H57" s="1"/>
      <c r="I57" s="1"/>
      <c r="J57" s="402"/>
      <c r="K57" s="402"/>
      <c r="L57" s="402"/>
      <c r="M57" s="402"/>
      <c r="N57" s="402"/>
      <c r="O57" s="402"/>
      <c r="P57" s="402"/>
      <c r="Q57" s="1"/>
      <c r="R57" s="1"/>
      <c r="S57" s="1"/>
      <c r="T57" s="1"/>
      <c r="U57" s="1"/>
      <c r="V57" s="1"/>
      <c r="W57" s="1"/>
      <c r="X57" s="1"/>
      <c r="Y57" s="1"/>
    </row>
    <row r="58" spans="1:25" ht="15.75" x14ac:dyDescent="0.25">
      <c r="A58" s="134" t="s">
        <v>368</v>
      </c>
      <c r="B58" s="103">
        <f t="shared" si="7"/>
        <v>0</v>
      </c>
      <c r="C58" s="342">
        <v>1</v>
      </c>
      <c r="D58" s="20" t="s">
        <v>365</v>
      </c>
      <c r="E58" s="47">
        <f t="shared" si="8"/>
        <v>0</v>
      </c>
      <c r="F58" s="12">
        <v>0</v>
      </c>
      <c r="G58" s="164">
        <f>+IF(F58="","",VLOOKUP(F58,$H$139:I$191,2,FALSE))</f>
        <v>0</v>
      </c>
      <c r="H58" s="1"/>
      <c r="I58" s="1"/>
      <c r="J58" s="402"/>
      <c r="K58" s="402"/>
      <c r="L58" s="402"/>
      <c r="M58" s="402"/>
      <c r="N58" s="402"/>
      <c r="O58" s="402"/>
      <c r="P58" s="402"/>
      <c r="Q58" s="1"/>
      <c r="R58" s="1"/>
      <c r="S58" s="1"/>
      <c r="T58" s="1"/>
      <c r="U58" s="1"/>
      <c r="V58" s="1"/>
      <c r="W58" s="1"/>
      <c r="X58" s="1"/>
      <c r="Y58" s="1"/>
    </row>
    <row r="59" spans="1:25" ht="15.75" x14ac:dyDescent="0.25">
      <c r="A59" s="134" t="s">
        <v>369</v>
      </c>
      <c r="B59" s="103">
        <f t="shared" si="7"/>
        <v>0</v>
      </c>
      <c r="C59" s="342">
        <v>1</v>
      </c>
      <c r="D59" s="20" t="s">
        <v>365</v>
      </c>
      <c r="E59" s="47">
        <f t="shared" si="8"/>
        <v>0</v>
      </c>
      <c r="F59" s="12">
        <v>0</v>
      </c>
      <c r="G59" s="164">
        <f>+IF(F59="","",VLOOKUP(F59,$H$139:I$191,2,FALSE))</f>
        <v>0</v>
      </c>
      <c r="H59" s="1"/>
      <c r="I59" s="1"/>
      <c r="J59" s="402"/>
      <c r="K59" s="402"/>
      <c r="L59" s="402"/>
      <c r="M59" s="402"/>
      <c r="N59" s="402"/>
      <c r="O59" s="402"/>
      <c r="P59" s="402"/>
      <c r="Q59" s="1"/>
      <c r="R59" s="1"/>
      <c r="S59" s="1"/>
      <c r="T59" s="1"/>
      <c r="U59" s="1"/>
      <c r="V59" s="1"/>
      <c r="W59" s="1"/>
      <c r="X59" s="1"/>
      <c r="Y59" s="1"/>
    </row>
    <row r="60" spans="1:25" ht="15.75" x14ac:dyDescent="0.25">
      <c r="A60" s="134" t="s">
        <v>370</v>
      </c>
      <c r="B60" s="103">
        <f t="shared" si="7"/>
        <v>0</v>
      </c>
      <c r="C60" s="342">
        <v>1</v>
      </c>
      <c r="D60" s="20" t="s">
        <v>365</v>
      </c>
      <c r="E60" s="47">
        <f t="shared" si="8"/>
        <v>0</v>
      </c>
      <c r="F60" s="12">
        <v>0</v>
      </c>
      <c r="G60" s="164">
        <f>+IF(F60="","",VLOOKUP(F60,$H$139:I$191,2,FALSE))</f>
        <v>0</v>
      </c>
      <c r="H60" s="1"/>
      <c r="I60" s="1"/>
      <c r="J60" s="402"/>
      <c r="K60" s="402"/>
      <c r="L60" s="402"/>
      <c r="M60" s="402"/>
      <c r="N60" s="402"/>
      <c r="O60" s="402"/>
      <c r="P60" s="402"/>
      <c r="Q60" s="1"/>
      <c r="R60" s="1"/>
      <c r="S60" s="1"/>
      <c r="T60" s="1"/>
      <c r="U60" s="1"/>
      <c r="V60" s="1"/>
      <c r="W60" s="1"/>
      <c r="X60" s="1"/>
      <c r="Y60" s="1"/>
    </row>
    <row r="61" spans="1:25" ht="15.75" x14ac:dyDescent="0.25">
      <c r="A61" s="134" t="s">
        <v>371</v>
      </c>
      <c r="B61" s="103">
        <f t="shared" si="7"/>
        <v>0</v>
      </c>
      <c r="C61" s="342">
        <v>1</v>
      </c>
      <c r="D61" s="20" t="s">
        <v>365</v>
      </c>
      <c r="E61" s="47">
        <f t="shared" si="8"/>
        <v>0</v>
      </c>
      <c r="F61" s="12">
        <v>0</v>
      </c>
      <c r="G61" s="164">
        <f>+IF(F61="","",VLOOKUP(F61,$H$139:I$191,2,FALSE))</f>
        <v>0</v>
      </c>
      <c r="H61" s="1"/>
      <c r="I61" s="1"/>
      <c r="J61" s="402"/>
      <c r="K61" s="402"/>
      <c r="L61" s="402"/>
      <c r="M61" s="402"/>
      <c r="N61" s="402"/>
      <c r="O61" s="402"/>
      <c r="P61" s="402"/>
      <c r="Q61" s="1"/>
      <c r="R61" s="1"/>
      <c r="S61" s="1"/>
      <c r="T61" s="1"/>
      <c r="U61" s="1"/>
      <c r="V61" s="1"/>
      <c r="W61" s="1"/>
      <c r="X61" s="1"/>
      <c r="Y61" s="1"/>
    </row>
    <row r="62" spans="1:25" ht="15.75" x14ac:dyDescent="0.25">
      <c r="A62" s="25" t="s">
        <v>372</v>
      </c>
      <c r="B62" s="103">
        <f t="shared" si="7"/>
        <v>0</v>
      </c>
      <c r="C62" s="342">
        <v>1</v>
      </c>
      <c r="D62" s="20" t="s">
        <v>365</v>
      </c>
      <c r="E62" s="47">
        <f t="shared" si="8"/>
        <v>0</v>
      </c>
      <c r="F62" s="12">
        <v>0</v>
      </c>
      <c r="G62" s="164">
        <f>+IF(F62="","",VLOOKUP(F62,$H$139:I$191,2,FALSE))</f>
        <v>0</v>
      </c>
      <c r="H62" s="1"/>
      <c r="I62" s="1"/>
      <c r="J62" s="402"/>
      <c r="K62" s="402"/>
      <c r="L62" s="402"/>
      <c r="M62" s="402"/>
      <c r="N62" s="402"/>
      <c r="O62" s="402"/>
      <c r="P62" s="402"/>
      <c r="Q62" s="1"/>
      <c r="R62" s="1"/>
      <c r="S62" s="1"/>
      <c r="T62" s="1"/>
      <c r="U62" s="1"/>
      <c r="V62" s="1"/>
      <c r="W62" s="1"/>
      <c r="X62" s="1"/>
      <c r="Y62" s="1"/>
    </row>
    <row r="63" spans="1:25" ht="15.75" x14ac:dyDescent="0.25">
      <c r="A63" s="25" t="s">
        <v>373</v>
      </c>
      <c r="B63" s="103">
        <f t="shared" si="7"/>
        <v>0</v>
      </c>
      <c r="C63" s="342">
        <v>1</v>
      </c>
      <c r="D63" s="20" t="s">
        <v>365</v>
      </c>
      <c r="E63" s="47">
        <f t="shared" si="8"/>
        <v>0</v>
      </c>
      <c r="F63" s="12">
        <v>0</v>
      </c>
      <c r="G63" s="164">
        <f>+IF(F63="","",VLOOKUP(F63,$H$139:I$191,2,FALSE))</f>
        <v>0</v>
      </c>
      <c r="H63" s="1"/>
      <c r="I63" s="1"/>
      <c r="J63" s="402"/>
      <c r="K63" s="402"/>
      <c r="L63" s="402"/>
      <c r="M63" s="402"/>
      <c r="N63" s="402"/>
      <c r="O63" s="402"/>
      <c r="P63" s="402"/>
      <c r="Q63" s="1"/>
      <c r="R63" s="1"/>
      <c r="S63" s="1"/>
      <c r="T63" s="1"/>
      <c r="U63" s="1"/>
      <c r="V63" s="1"/>
      <c r="W63" s="1"/>
      <c r="X63" s="1"/>
      <c r="Y63" s="1"/>
    </row>
    <row r="64" spans="1:25" ht="15.75" x14ac:dyDescent="0.25">
      <c r="A64" s="80"/>
      <c r="B64" s="103"/>
      <c r="C64" s="342"/>
      <c r="D64" s="135"/>
      <c r="E64" s="12"/>
      <c r="F64" s="12"/>
      <c r="G64" s="11"/>
      <c r="H64" s="1"/>
      <c r="I64" s="1"/>
      <c r="J64" s="402"/>
      <c r="K64" s="402"/>
      <c r="L64" s="402"/>
      <c r="M64" s="402"/>
      <c r="N64" s="402"/>
      <c r="O64" s="402"/>
      <c r="P64" s="402"/>
      <c r="Q64" s="1"/>
      <c r="R64" s="1"/>
      <c r="S64" s="1"/>
      <c r="T64" s="1"/>
      <c r="U64" s="1"/>
      <c r="V64" s="1"/>
      <c r="W64" s="1"/>
      <c r="X64" s="1"/>
      <c r="Y64" s="1"/>
    </row>
    <row r="65" spans="1:31" ht="15.75" x14ac:dyDescent="0.2">
      <c r="A65" s="80" t="s">
        <v>29</v>
      </c>
      <c r="B65" s="51">
        <f>+B54+B55+B56+B57+B58+B64+B59+B60+B61+B62+B63+B46+B47+B48+B49+B50+B51</f>
        <v>0</v>
      </c>
      <c r="C65" s="51">
        <f>C59+C60+C61+C62+C63+C46+C47+C48+C49+C50+C54+C55+C56+C57+C58+C64</f>
        <v>10</v>
      </c>
      <c r="D65" s="51"/>
      <c r="E65" s="125"/>
      <c r="F65" s="51"/>
      <c r="G65" s="52">
        <f>SUM(G46:G51,G54:G64)</f>
        <v>0</v>
      </c>
      <c r="H65" s="1"/>
      <c r="I65" s="1"/>
      <c r="J65" s="402"/>
      <c r="K65" s="402"/>
      <c r="L65" s="402"/>
      <c r="M65" s="402"/>
      <c r="N65" s="402"/>
      <c r="O65" s="402"/>
      <c r="P65" s="402"/>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0</v>
      </c>
      <c r="C67" s="143">
        <f>C65+C40+C22</f>
        <v>26</v>
      </c>
      <c r="D67" s="62">
        <f>D65+D40+D22</f>
        <v>0</v>
      </c>
      <c r="E67" s="1"/>
      <c r="F67" s="1"/>
      <c r="G67" s="52">
        <f>SUM(G22,G40,G65)</f>
        <v>0</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79">
        <f>SUM(G67,P25,Y25)</f>
        <v>0</v>
      </c>
      <c r="L70" s="380"/>
      <c r="M70" s="98">
        <f>SUM(G22,Y20)</f>
        <v>0</v>
      </c>
      <c r="N70" s="142">
        <f>SUM(G40,P4:P15,P18:P24,Y4:Y8,Y15:Y16,Y21:Y22)</f>
        <v>0</v>
      </c>
      <c r="O70" s="98">
        <f>SUM(G46:G51,G54:G63,Y23)</f>
        <v>0</v>
      </c>
      <c r="P70" s="109">
        <f>SUM(M70:O70)</f>
        <v>0</v>
      </c>
      <c r="R70" s="108"/>
      <c r="S70" s="99"/>
      <c r="T70" s="1"/>
      <c r="U70" s="1"/>
      <c r="V70" s="1"/>
      <c r="W70" s="1"/>
      <c r="X70" s="1"/>
      <c r="Y70" s="1"/>
    </row>
    <row r="71" spans="1:31" ht="13.5" thickBot="1" x14ac:dyDescent="0.25"/>
    <row r="72" spans="1:31" ht="36" customHeight="1" thickBot="1" x14ac:dyDescent="0.25">
      <c r="A72" s="408" t="s">
        <v>394</v>
      </c>
      <c r="B72" s="409"/>
      <c r="C72" s="409"/>
      <c r="D72" s="409"/>
      <c r="E72" s="409"/>
      <c r="F72" s="409"/>
      <c r="G72" s="409"/>
      <c r="H72" s="409"/>
      <c r="I72" s="409"/>
      <c r="J72" s="409"/>
      <c r="K72" s="409"/>
      <c r="L72" s="409"/>
      <c r="M72" s="409"/>
      <c r="N72" s="409"/>
      <c r="O72" s="409"/>
      <c r="P72" s="409"/>
      <c r="Q72" s="409"/>
      <c r="R72" s="409"/>
      <c r="S72" s="409"/>
      <c r="T72" s="409"/>
      <c r="U72" s="409"/>
      <c r="V72" s="409"/>
      <c r="W72" s="409"/>
      <c r="X72" s="409"/>
      <c r="Y72" s="409"/>
      <c r="Z72" s="409"/>
      <c r="AA72" s="409"/>
      <c r="AB72" s="409"/>
      <c r="AC72" s="409"/>
      <c r="AD72" s="409"/>
      <c r="AE72" s="410"/>
    </row>
    <row r="73" spans="1:31" ht="286.5" customHeight="1" x14ac:dyDescent="0.2">
      <c r="A73" s="406" t="s">
        <v>514</v>
      </c>
      <c r="B73" s="407"/>
      <c r="C73" s="407"/>
      <c r="D73" s="407"/>
      <c r="E73" s="407"/>
      <c r="F73" s="407"/>
      <c r="G73" s="407"/>
      <c r="H73" s="407"/>
      <c r="I73" s="407"/>
      <c r="J73" s="407"/>
      <c r="K73" s="407"/>
      <c r="L73" s="407"/>
      <c r="M73" s="407"/>
      <c r="N73" s="407"/>
      <c r="O73" s="407"/>
      <c r="P73" s="407"/>
      <c r="Q73" s="407"/>
      <c r="R73" s="407"/>
      <c r="S73" s="407"/>
      <c r="T73" s="407"/>
      <c r="U73" s="407"/>
      <c r="V73" s="407"/>
      <c r="W73" s="407"/>
      <c r="X73" s="407"/>
      <c r="Y73" s="407"/>
      <c r="Z73" s="407"/>
      <c r="AA73" s="407"/>
      <c r="AB73" s="407"/>
      <c r="AC73" s="407"/>
      <c r="AD73" s="407"/>
      <c r="AE73" s="407"/>
    </row>
    <row r="74" spans="1:31" ht="222.75" customHeight="1" x14ac:dyDescent="0.2">
      <c r="A74" s="406"/>
      <c r="B74" s="407"/>
      <c r="C74" s="407"/>
      <c r="D74" s="407"/>
      <c r="E74" s="407"/>
      <c r="F74" s="407"/>
      <c r="G74" s="407"/>
      <c r="H74" s="407"/>
      <c r="I74" s="407"/>
      <c r="J74" s="407"/>
      <c r="K74" s="407"/>
      <c r="L74" s="407"/>
      <c r="M74" s="407"/>
      <c r="N74" s="407"/>
      <c r="O74" s="407"/>
      <c r="P74" s="407"/>
      <c r="Q74" s="407"/>
      <c r="R74" s="407"/>
      <c r="S74" s="407"/>
      <c r="T74" s="407"/>
      <c r="U74" s="407"/>
      <c r="V74" s="407"/>
      <c r="W74" s="407"/>
      <c r="X74" s="407"/>
      <c r="Y74" s="407"/>
      <c r="Z74" s="407"/>
      <c r="AA74" s="407"/>
      <c r="AB74" s="407"/>
      <c r="AC74" s="407"/>
      <c r="AD74" s="407"/>
      <c r="AE74" s="407"/>
    </row>
    <row r="75" spans="1:31" ht="109.5" customHeight="1" x14ac:dyDescent="0.2">
      <c r="A75" s="406"/>
      <c r="B75" s="407"/>
      <c r="C75" s="407"/>
      <c r="D75" s="407"/>
      <c r="E75" s="407"/>
      <c r="F75" s="407"/>
      <c r="G75" s="407"/>
      <c r="H75" s="407"/>
      <c r="I75" s="407"/>
      <c r="J75" s="407"/>
      <c r="K75" s="407"/>
      <c r="L75" s="407"/>
      <c r="M75" s="407"/>
      <c r="N75" s="407"/>
      <c r="O75" s="407"/>
      <c r="P75" s="407"/>
      <c r="Q75" s="407"/>
      <c r="R75" s="407"/>
      <c r="S75" s="407"/>
      <c r="T75" s="407"/>
      <c r="U75" s="407"/>
      <c r="V75" s="407"/>
      <c r="W75" s="407"/>
      <c r="X75" s="407"/>
      <c r="Y75" s="407"/>
      <c r="Z75" s="407"/>
      <c r="AA75" s="407"/>
      <c r="AB75" s="407"/>
      <c r="AC75" s="407"/>
      <c r="AD75" s="407"/>
      <c r="AE75" s="407"/>
    </row>
    <row r="76" spans="1:31" ht="148.5" customHeight="1" x14ac:dyDescent="0.2">
      <c r="A76" s="406"/>
      <c r="B76" s="407"/>
      <c r="C76" s="407"/>
      <c r="D76" s="407"/>
      <c r="E76" s="407"/>
      <c r="F76" s="407"/>
      <c r="G76" s="407"/>
      <c r="H76" s="407"/>
      <c r="I76" s="407"/>
      <c r="J76" s="407"/>
      <c r="K76" s="407"/>
      <c r="L76" s="407"/>
      <c r="M76" s="407"/>
      <c r="N76" s="407"/>
      <c r="O76" s="407"/>
      <c r="P76" s="407"/>
      <c r="Q76" s="407"/>
      <c r="R76" s="407"/>
      <c r="S76" s="407"/>
      <c r="T76" s="407"/>
      <c r="U76" s="407"/>
      <c r="V76" s="407"/>
      <c r="W76" s="407"/>
      <c r="X76" s="407"/>
      <c r="Y76" s="407"/>
      <c r="Z76" s="407"/>
      <c r="AA76" s="407"/>
      <c r="AB76" s="407"/>
      <c r="AC76" s="407"/>
      <c r="AD76" s="407"/>
      <c r="AE76" s="407"/>
    </row>
    <row r="77" spans="1:31" ht="90" customHeight="1" x14ac:dyDescent="0.2">
      <c r="A77" s="406"/>
      <c r="B77" s="407"/>
      <c r="C77" s="407"/>
      <c r="D77" s="407"/>
      <c r="E77" s="407"/>
      <c r="F77" s="407"/>
      <c r="G77" s="407"/>
      <c r="H77" s="407"/>
      <c r="I77" s="407"/>
      <c r="J77" s="407"/>
      <c r="K77" s="407"/>
      <c r="L77" s="407"/>
      <c r="M77" s="407"/>
      <c r="N77" s="407"/>
      <c r="O77" s="407"/>
      <c r="P77" s="407"/>
      <c r="Q77" s="407"/>
      <c r="R77" s="407"/>
      <c r="S77" s="407"/>
      <c r="T77" s="407"/>
      <c r="U77" s="407"/>
      <c r="V77" s="407"/>
      <c r="W77" s="407"/>
      <c r="X77" s="407"/>
      <c r="Y77" s="407"/>
      <c r="Z77" s="407"/>
      <c r="AA77" s="407"/>
      <c r="AB77" s="407"/>
      <c r="AC77" s="407"/>
      <c r="AD77" s="407"/>
      <c r="AE77" s="407"/>
    </row>
    <row r="78" spans="1:31" ht="156" customHeight="1" x14ac:dyDescent="0.2">
      <c r="A78" s="406"/>
      <c r="B78" s="407"/>
      <c r="C78" s="407"/>
      <c r="D78" s="407"/>
      <c r="E78" s="407"/>
      <c r="F78" s="407"/>
      <c r="G78" s="407"/>
      <c r="H78" s="407"/>
      <c r="I78" s="407"/>
      <c r="J78" s="407"/>
      <c r="K78" s="407"/>
      <c r="L78" s="407"/>
      <c r="M78" s="407"/>
      <c r="N78" s="407"/>
      <c r="O78" s="407"/>
      <c r="P78" s="407"/>
      <c r="Q78" s="407"/>
      <c r="R78" s="407"/>
      <c r="S78" s="407"/>
      <c r="T78" s="407"/>
      <c r="U78" s="407"/>
      <c r="V78" s="407"/>
      <c r="W78" s="407"/>
      <c r="X78" s="407"/>
      <c r="Y78" s="407"/>
      <c r="Z78" s="407"/>
      <c r="AA78" s="407"/>
      <c r="AB78" s="407"/>
      <c r="AC78" s="407"/>
      <c r="AD78" s="407"/>
      <c r="AE78" s="407"/>
    </row>
    <row r="79" spans="1:31" ht="258" customHeight="1" x14ac:dyDescent="0.2">
      <c r="A79" s="406"/>
      <c r="B79" s="407"/>
      <c r="C79" s="407"/>
      <c r="D79" s="407"/>
      <c r="E79" s="407"/>
      <c r="F79" s="407"/>
      <c r="G79" s="407"/>
      <c r="H79" s="407"/>
      <c r="I79" s="407"/>
      <c r="J79" s="407"/>
      <c r="K79" s="407"/>
      <c r="L79" s="407"/>
      <c r="M79" s="407"/>
      <c r="N79" s="407"/>
      <c r="O79" s="407"/>
      <c r="P79" s="407"/>
      <c r="Q79" s="407"/>
      <c r="R79" s="407"/>
      <c r="S79" s="407"/>
      <c r="T79" s="407"/>
      <c r="U79" s="407"/>
      <c r="V79" s="407"/>
      <c r="W79" s="407"/>
      <c r="X79" s="407"/>
      <c r="Y79" s="407"/>
      <c r="Z79" s="407"/>
      <c r="AA79" s="407"/>
      <c r="AB79" s="407"/>
      <c r="AC79" s="407"/>
      <c r="AD79" s="407"/>
      <c r="AE79" s="407"/>
    </row>
    <row r="80" spans="1:31" ht="18.75" x14ac:dyDescent="0.2">
      <c r="S80" s="87"/>
      <c r="T80" s="88"/>
      <c r="U80" s="87"/>
    </row>
    <row r="81" spans="1:21" ht="18.75" x14ac:dyDescent="0.2">
      <c r="S81" s="87"/>
      <c r="T81" s="88"/>
      <c r="U81" s="87"/>
    </row>
    <row r="82" spans="1:21" ht="18.75" x14ac:dyDescent="0.2">
      <c r="A82" s="389"/>
      <c r="S82" s="87"/>
      <c r="T82" s="88"/>
      <c r="U82" s="87"/>
    </row>
    <row r="83" spans="1:21" ht="18.75" x14ac:dyDescent="0.2">
      <c r="A83" s="389"/>
      <c r="S83" s="87"/>
      <c r="T83" s="88"/>
      <c r="U83" s="87"/>
    </row>
    <row r="84" spans="1:21" ht="18.75" x14ac:dyDescent="0.2">
      <c r="A84" s="389"/>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89" t="s">
        <v>50</v>
      </c>
      <c r="B88" s="391"/>
      <c r="S88" s="87"/>
      <c r="T88" s="88"/>
      <c r="U88" s="87"/>
    </row>
    <row r="89" spans="1:21" ht="18.75" x14ac:dyDescent="0.2">
      <c r="A89" s="390"/>
      <c r="B89" s="391"/>
      <c r="S89" s="87"/>
      <c r="T89" s="88"/>
      <c r="U89" s="87"/>
    </row>
    <row r="90" spans="1:21" ht="18.75" x14ac:dyDescent="0.2">
      <c r="A90" s="390"/>
      <c r="B90" s="391"/>
      <c r="S90" s="87"/>
      <c r="T90" s="88"/>
      <c r="U90" s="87"/>
    </row>
    <row r="91" spans="1:21" ht="18.75" x14ac:dyDescent="0.25">
      <c r="A91" s="89"/>
      <c r="B91" s="91"/>
      <c r="S91" s="87"/>
      <c r="T91" s="88"/>
      <c r="U91" s="87"/>
    </row>
    <row r="92" spans="1:21" ht="12.75" customHeight="1" x14ac:dyDescent="0.25">
      <c r="A92" s="92"/>
    </row>
    <row r="93" spans="1:21" ht="12.75" customHeight="1" x14ac:dyDescent="0.2">
      <c r="A93" s="385" t="s">
        <v>51</v>
      </c>
    </row>
    <row r="94" spans="1:21" ht="12.75" customHeight="1" x14ac:dyDescent="0.2">
      <c r="A94" s="386"/>
    </row>
    <row r="95" spans="1:21" ht="12.75" customHeight="1" x14ac:dyDescent="0.2">
      <c r="A95" s="386"/>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x14ac:dyDescent="0.2">
      <c r="F139" s="114">
        <v>0</v>
      </c>
      <c r="G139" s="114">
        <v>0</v>
      </c>
      <c r="H139" s="114">
        <v>0</v>
      </c>
      <c r="I139" s="114">
        <v>0</v>
      </c>
      <c r="J139" s="114">
        <v>0</v>
      </c>
      <c r="K139" s="114">
        <v>0</v>
      </c>
      <c r="L139" s="114">
        <v>0</v>
      </c>
      <c r="M139" s="114">
        <v>0</v>
      </c>
      <c r="N139" s="114" t="str">
        <f>+CONCATENATE(G139,"VEHICULO",M139)</f>
        <v>0VEHICULO0</v>
      </c>
    </row>
    <row r="140" spans="6:14" s="114" customFormat="1" x14ac:dyDescent="0.2">
      <c r="F140" s="114" t="s">
        <v>280</v>
      </c>
      <c r="G140" s="114" t="s">
        <v>150</v>
      </c>
      <c r="H140" s="114" t="s">
        <v>319</v>
      </c>
      <c r="I140" s="115">
        <v>582964</v>
      </c>
      <c r="J140" s="115" t="s">
        <v>144</v>
      </c>
      <c r="K140" s="126">
        <v>4</v>
      </c>
      <c r="L140" s="114" t="s">
        <v>258</v>
      </c>
      <c r="M140" s="114" t="s">
        <v>149</v>
      </c>
      <c r="N140" s="114" t="str">
        <f t="shared" ref="N140:N186" si="9">+CONCATENATE(G140,F140)</f>
        <v>1.40m³-15H-4OP</v>
      </c>
    </row>
    <row r="141" spans="6:14" s="114" customFormat="1" x14ac:dyDescent="0.2">
      <c r="F141" s="114" t="s">
        <v>281</v>
      </c>
      <c r="G141" s="114" t="s">
        <v>151</v>
      </c>
      <c r="H141" s="114" t="s">
        <v>320</v>
      </c>
      <c r="I141" s="115">
        <v>514916</v>
      </c>
      <c r="J141" s="115" t="s">
        <v>144</v>
      </c>
      <c r="K141" s="126">
        <v>3</v>
      </c>
      <c r="L141" s="114" t="s">
        <v>259</v>
      </c>
      <c r="M141" s="114" t="s">
        <v>149</v>
      </c>
      <c r="N141" s="114" t="str">
        <f t="shared" si="9"/>
        <v>2.40m³-15H-3OP</v>
      </c>
    </row>
    <row r="142" spans="6:14" s="114" customFormat="1" x14ac:dyDescent="0.2">
      <c r="F142" s="114" t="s">
        <v>282</v>
      </c>
      <c r="G142" s="114" t="s">
        <v>152</v>
      </c>
      <c r="H142" s="114" t="s">
        <v>321</v>
      </c>
      <c r="I142" s="115">
        <v>448638</v>
      </c>
      <c r="J142" s="115" t="s">
        <v>144</v>
      </c>
      <c r="K142" s="126">
        <v>2</v>
      </c>
      <c r="L142" s="114" t="s">
        <v>260</v>
      </c>
      <c r="M142" s="114" t="s">
        <v>149</v>
      </c>
      <c r="N142" s="114" t="str">
        <f t="shared" si="9"/>
        <v>3.40m³-15H-2OP</v>
      </c>
    </row>
    <row r="143" spans="6:14" s="114" customFormat="1" x14ac:dyDescent="0.2">
      <c r="F143" s="114" t="s">
        <v>283</v>
      </c>
      <c r="G143" s="114" t="s">
        <v>153</v>
      </c>
      <c r="H143" s="114" t="s">
        <v>322</v>
      </c>
      <c r="I143" s="115">
        <v>381163</v>
      </c>
      <c r="J143" s="115" t="s">
        <v>144</v>
      </c>
      <c r="K143" s="126">
        <v>1</v>
      </c>
      <c r="L143" s="114" t="s">
        <v>261</v>
      </c>
      <c r="M143" s="114" t="s">
        <v>149</v>
      </c>
      <c r="N143" s="114" t="str">
        <f t="shared" si="9"/>
        <v>4.40m³-15H-1OP</v>
      </c>
    </row>
    <row r="144" spans="6:14" s="114" customFormat="1" x14ac:dyDescent="0.2">
      <c r="F144" s="114" t="s">
        <v>284</v>
      </c>
      <c r="G144" s="114" t="s">
        <v>154</v>
      </c>
      <c r="H144" s="114" t="s">
        <v>323</v>
      </c>
      <c r="I144" s="115">
        <v>321680</v>
      </c>
      <c r="J144" s="115" t="s">
        <v>144</v>
      </c>
      <c r="K144" s="126">
        <v>0</v>
      </c>
      <c r="L144" s="114" t="s">
        <v>262</v>
      </c>
      <c r="M144" s="114" t="s">
        <v>149</v>
      </c>
      <c r="N144" s="114" t="str">
        <f t="shared" si="9"/>
        <v>5.40m³-15H-0OP</v>
      </c>
    </row>
    <row r="145" spans="6:14" s="114" customFormat="1" x14ac:dyDescent="0.2">
      <c r="F145" s="114" t="s">
        <v>285</v>
      </c>
      <c r="G145" s="114" t="s">
        <v>155</v>
      </c>
      <c r="H145" s="114" t="s">
        <v>324</v>
      </c>
      <c r="I145" s="115">
        <v>509192</v>
      </c>
      <c r="J145" s="115" t="s">
        <v>146</v>
      </c>
      <c r="K145" s="126">
        <v>4</v>
      </c>
      <c r="L145" s="114" t="s">
        <v>107</v>
      </c>
      <c r="M145" s="114" t="s">
        <v>149</v>
      </c>
      <c r="N145" s="114" t="str">
        <f t="shared" si="9"/>
        <v>6.40m³-9H-4OP</v>
      </c>
    </row>
    <row r="146" spans="6:14" s="114" customFormat="1" x14ac:dyDescent="0.2">
      <c r="F146" s="114" t="s">
        <v>286</v>
      </c>
      <c r="G146" s="114" t="s">
        <v>156</v>
      </c>
      <c r="H146" s="114" t="s">
        <v>325</v>
      </c>
      <c r="I146" s="115">
        <v>450204</v>
      </c>
      <c r="J146" s="115" t="s">
        <v>146</v>
      </c>
      <c r="K146" s="126">
        <v>3</v>
      </c>
      <c r="L146" s="114" t="s">
        <v>108</v>
      </c>
      <c r="M146" s="114" t="s">
        <v>149</v>
      </c>
      <c r="N146" s="114" t="str">
        <f t="shared" si="9"/>
        <v>7.40m³-9H-3OP</v>
      </c>
    </row>
    <row r="147" spans="6:14" s="114" customFormat="1" x14ac:dyDescent="0.2">
      <c r="F147" s="114" t="s">
        <v>287</v>
      </c>
      <c r="G147" s="114" t="s">
        <v>157</v>
      </c>
      <c r="H147" s="114" t="s">
        <v>326</v>
      </c>
      <c r="I147" s="115">
        <v>392186</v>
      </c>
      <c r="J147" s="115" t="s">
        <v>146</v>
      </c>
      <c r="K147" s="126">
        <v>2</v>
      </c>
      <c r="L147" s="114" t="s">
        <v>109</v>
      </c>
      <c r="M147" s="114" t="s">
        <v>149</v>
      </c>
      <c r="N147" s="114" t="str">
        <f t="shared" si="9"/>
        <v>8.40m³-9H-2OP</v>
      </c>
    </row>
    <row r="148" spans="6:14" s="114" customFormat="1" x14ac:dyDescent="0.2">
      <c r="F148" s="114" t="s">
        <v>288</v>
      </c>
      <c r="G148" s="114" t="s">
        <v>158</v>
      </c>
      <c r="H148" s="114" t="s">
        <v>327</v>
      </c>
      <c r="I148" s="115">
        <v>329397</v>
      </c>
      <c r="J148" s="115" t="s">
        <v>146</v>
      </c>
      <c r="K148" s="126">
        <v>1</v>
      </c>
      <c r="L148" s="114" t="s">
        <v>110</v>
      </c>
      <c r="M148" s="114" t="s">
        <v>149</v>
      </c>
      <c r="N148" s="114" t="str">
        <f t="shared" si="9"/>
        <v>9.40m³-9H-1OP</v>
      </c>
    </row>
    <row r="149" spans="6:14" s="114" customFormat="1" x14ac:dyDescent="0.2">
      <c r="F149" s="114" t="s">
        <v>289</v>
      </c>
      <c r="G149" s="114" t="s">
        <v>159</v>
      </c>
      <c r="H149" s="114" t="s">
        <v>328</v>
      </c>
      <c r="I149" s="115">
        <v>280919</v>
      </c>
      <c r="J149" s="115" t="s">
        <v>146</v>
      </c>
      <c r="K149" s="126">
        <v>0</v>
      </c>
      <c r="L149" s="114" t="s">
        <v>111</v>
      </c>
      <c r="M149" s="114" t="s">
        <v>149</v>
      </c>
      <c r="N149" s="114" t="str">
        <f t="shared" si="9"/>
        <v>10.40m³-9H-0OP</v>
      </c>
    </row>
    <row r="150" spans="6:14" s="114" customFormat="1" x14ac:dyDescent="0.2">
      <c r="F150" s="114" t="s">
        <v>290</v>
      </c>
      <c r="G150" s="114" t="s">
        <v>160</v>
      </c>
      <c r="H150" s="114" t="s">
        <v>329</v>
      </c>
      <c r="I150" s="115">
        <v>420585</v>
      </c>
      <c r="J150" s="115" t="s">
        <v>145</v>
      </c>
      <c r="K150" s="126">
        <v>4</v>
      </c>
      <c r="L150" s="114" t="s">
        <v>112</v>
      </c>
      <c r="M150" s="114" t="s">
        <v>149</v>
      </c>
      <c r="N150" s="114" t="str">
        <f t="shared" si="9"/>
        <v>11.40m³-4H-4OP</v>
      </c>
    </row>
    <row r="151" spans="6:14" s="114" customFormat="1" x14ac:dyDescent="0.2">
      <c r="F151" s="114" t="s">
        <v>291</v>
      </c>
      <c r="G151" s="114" t="s">
        <v>161</v>
      </c>
      <c r="H151" s="114" t="s">
        <v>330</v>
      </c>
      <c r="I151" s="115">
        <v>369327</v>
      </c>
      <c r="J151" s="115" t="s">
        <v>145</v>
      </c>
      <c r="K151" s="126">
        <v>3</v>
      </c>
      <c r="L151" s="114" t="s">
        <v>113</v>
      </c>
      <c r="M151" s="114" t="s">
        <v>149</v>
      </c>
      <c r="N151" s="114" t="str">
        <f t="shared" si="9"/>
        <v>12.40m³-4H-3OP</v>
      </c>
    </row>
    <row r="152" spans="6:14" s="114" customFormat="1" x14ac:dyDescent="0.2">
      <c r="F152" s="114" t="s">
        <v>292</v>
      </c>
      <c r="G152" s="114" t="s">
        <v>162</v>
      </c>
      <c r="H152" s="114" t="s">
        <v>331</v>
      </c>
      <c r="I152" s="115">
        <v>323463</v>
      </c>
      <c r="J152" s="115" t="s">
        <v>145</v>
      </c>
      <c r="K152" s="126">
        <v>2</v>
      </c>
      <c r="L152" s="114" t="s">
        <v>114</v>
      </c>
      <c r="M152" s="114" t="s">
        <v>149</v>
      </c>
      <c r="N152" s="114" t="str">
        <f t="shared" si="9"/>
        <v>13.40m³-4H-2OP</v>
      </c>
    </row>
    <row r="153" spans="6:14" s="114" customFormat="1" x14ac:dyDescent="0.2">
      <c r="F153" s="114" t="s">
        <v>293</v>
      </c>
      <c r="G153" s="114" t="s">
        <v>163</v>
      </c>
      <c r="H153" s="114" t="s">
        <v>332</v>
      </c>
      <c r="I153" s="115">
        <v>270330</v>
      </c>
      <c r="J153" s="115" t="s">
        <v>145</v>
      </c>
      <c r="K153" s="126">
        <v>1</v>
      </c>
      <c r="L153" s="114" t="s">
        <v>115</v>
      </c>
      <c r="M153" s="114" t="s">
        <v>149</v>
      </c>
      <c r="N153" s="114" t="str">
        <f t="shared" si="9"/>
        <v>14.40m³-4H-1OP</v>
      </c>
    </row>
    <row r="154" spans="6:14" s="114" customFormat="1" x14ac:dyDescent="0.2">
      <c r="F154" s="114" t="s">
        <v>294</v>
      </c>
      <c r="G154" s="114" t="s">
        <v>164</v>
      </c>
      <c r="H154" s="114" t="s">
        <v>333</v>
      </c>
      <c r="I154" s="115">
        <v>221709</v>
      </c>
      <c r="J154" s="115" t="s">
        <v>145</v>
      </c>
      <c r="K154" s="126">
        <v>0</v>
      </c>
      <c r="L154" s="114" t="s">
        <v>116</v>
      </c>
      <c r="M154" s="114" t="s">
        <v>149</v>
      </c>
      <c r="N154" s="114" t="str">
        <f t="shared" si="9"/>
        <v>15.40m³-4H-0OP</v>
      </c>
    </row>
    <row r="155" spans="6:14" s="114" customFormat="1" x14ac:dyDescent="0.2">
      <c r="F155" s="114" t="s">
        <v>295</v>
      </c>
      <c r="G155" s="114" t="s">
        <v>165</v>
      </c>
      <c r="H155" s="114" t="s">
        <v>334</v>
      </c>
      <c r="I155" s="115">
        <v>501739</v>
      </c>
      <c r="J155" s="115" t="s">
        <v>144</v>
      </c>
      <c r="K155" s="126">
        <v>4</v>
      </c>
      <c r="L155" s="114" t="s">
        <v>263</v>
      </c>
      <c r="M155" s="114" t="s">
        <v>149</v>
      </c>
      <c r="N155" s="114" t="str">
        <f t="shared" si="9"/>
        <v>16.25m³-15H-4OP</v>
      </c>
    </row>
    <row r="156" spans="6:14" s="114" customFormat="1" x14ac:dyDescent="0.2">
      <c r="F156" s="114" t="s">
        <v>296</v>
      </c>
      <c r="G156" s="114" t="s">
        <v>166</v>
      </c>
      <c r="H156" s="114" t="s">
        <v>335</v>
      </c>
      <c r="I156" s="115">
        <v>443323</v>
      </c>
      <c r="J156" s="115" t="s">
        <v>144</v>
      </c>
      <c r="K156" s="126">
        <v>3</v>
      </c>
      <c r="L156" s="114" t="s">
        <v>264</v>
      </c>
      <c r="M156" s="114" t="s">
        <v>149</v>
      </c>
      <c r="N156" s="114" t="str">
        <f t="shared" si="9"/>
        <v>17.25m³-15H-3OP</v>
      </c>
    </row>
    <row r="157" spans="6:14" s="114" customFormat="1" x14ac:dyDescent="0.2">
      <c r="F157" s="114" t="s">
        <v>297</v>
      </c>
      <c r="G157" s="114" t="s">
        <v>167</v>
      </c>
      <c r="H157" s="114" t="s">
        <v>336</v>
      </c>
      <c r="I157" s="115">
        <v>388652</v>
      </c>
      <c r="J157" s="115" t="s">
        <v>144</v>
      </c>
      <c r="K157" s="126">
        <v>2</v>
      </c>
      <c r="L157" s="114" t="s">
        <v>265</v>
      </c>
      <c r="M157" s="114" t="s">
        <v>149</v>
      </c>
      <c r="N157" s="114" t="str">
        <f t="shared" si="9"/>
        <v>18.25m³-15H-2OP</v>
      </c>
    </row>
    <row r="158" spans="6:14" s="114" customFormat="1" x14ac:dyDescent="0.2">
      <c r="F158" s="114" t="s">
        <v>298</v>
      </c>
      <c r="G158" s="114" t="s">
        <v>168</v>
      </c>
      <c r="H158" s="114" t="s">
        <v>337</v>
      </c>
      <c r="I158" s="115">
        <v>323189</v>
      </c>
      <c r="J158" s="115" t="s">
        <v>144</v>
      </c>
      <c r="K158" s="126">
        <v>1</v>
      </c>
      <c r="L158" s="114" t="s">
        <v>266</v>
      </c>
      <c r="M158" s="114" t="s">
        <v>149</v>
      </c>
      <c r="N158" s="114" t="str">
        <f t="shared" si="9"/>
        <v>19.25m³-15H-1OP</v>
      </c>
    </row>
    <row r="159" spans="6:14" s="114" customFormat="1" x14ac:dyDescent="0.2">
      <c r="F159" s="114" t="s">
        <v>299</v>
      </c>
      <c r="G159" s="114" t="s">
        <v>169</v>
      </c>
      <c r="H159" s="114" t="s">
        <v>338</v>
      </c>
      <c r="I159" s="115">
        <v>256051</v>
      </c>
      <c r="J159" s="115" t="s">
        <v>144</v>
      </c>
      <c r="K159" s="126">
        <v>0</v>
      </c>
      <c r="L159" s="114" t="s">
        <v>267</v>
      </c>
      <c r="M159" s="114" t="s">
        <v>149</v>
      </c>
      <c r="N159" s="114" t="str">
        <f t="shared" si="9"/>
        <v>20.25m³-15H-0OP</v>
      </c>
    </row>
    <row r="160" spans="6:14" s="114" customFormat="1" x14ac:dyDescent="0.2">
      <c r="F160" s="114" t="s">
        <v>300</v>
      </c>
      <c r="G160" s="114" t="s">
        <v>170</v>
      </c>
      <c r="H160" s="114" t="s">
        <v>339</v>
      </c>
      <c r="I160" s="115">
        <v>433978</v>
      </c>
      <c r="J160" s="115" t="s">
        <v>146</v>
      </c>
      <c r="K160" s="126">
        <v>4</v>
      </c>
      <c r="L160" s="114" t="s">
        <v>122</v>
      </c>
      <c r="M160" s="114" t="s">
        <v>149</v>
      </c>
      <c r="N160" s="114" t="str">
        <f t="shared" si="9"/>
        <v>21.25m³-9H-4OP</v>
      </c>
    </row>
    <row r="161" spans="6:14" s="114" customFormat="1" x14ac:dyDescent="0.2">
      <c r="F161" s="114" t="s">
        <v>301</v>
      </c>
      <c r="G161" s="114" t="s">
        <v>171</v>
      </c>
      <c r="H161" s="114" t="s">
        <v>340</v>
      </c>
      <c r="I161" s="115">
        <v>386383</v>
      </c>
      <c r="J161" s="115" t="s">
        <v>146</v>
      </c>
      <c r="K161" s="126">
        <v>3</v>
      </c>
      <c r="L161" s="114" t="s">
        <v>123</v>
      </c>
      <c r="M161" s="114" t="s">
        <v>149</v>
      </c>
      <c r="N161" s="114" t="str">
        <f t="shared" si="9"/>
        <v>22.25m³-9H-3OP</v>
      </c>
    </row>
    <row r="162" spans="6:14" s="114" customFormat="1" x14ac:dyDescent="0.2">
      <c r="F162" s="114" t="s">
        <v>302</v>
      </c>
      <c r="G162" s="114" t="s">
        <v>172</v>
      </c>
      <c r="H162" s="114" t="s">
        <v>341</v>
      </c>
      <c r="I162" s="115">
        <v>345928</v>
      </c>
      <c r="J162" s="115" t="s">
        <v>146</v>
      </c>
      <c r="K162" s="126">
        <v>2</v>
      </c>
      <c r="L162" s="114" t="s">
        <v>124</v>
      </c>
      <c r="M162" s="114" t="s">
        <v>149</v>
      </c>
      <c r="N162" s="114" t="str">
        <f t="shared" si="9"/>
        <v>23.25m³-9H-2OP</v>
      </c>
    </row>
    <row r="163" spans="6:14" s="114" customFormat="1" x14ac:dyDescent="0.2">
      <c r="F163" s="114" t="s">
        <v>303</v>
      </c>
      <c r="G163" s="114" t="s">
        <v>173</v>
      </c>
      <c r="H163" s="114" t="s">
        <v>342</v>
      </c>
      <c r="I163" s="115">
        <v>290841</v>
      </c>
      <c r="J163" s="115" t="s">
        <v>146</v>
      </c>
      <c r="K163" s="126">
        <v>1</v>
      </c>
      <c r="L163" s="114" t="s">
        <v>125</v>
      </c>
      <c r="M163" s="114" t="s">
        <v>149</v>
      </c>
      <c r="N163" s="114" t="str">
        <f t="shared" si="9"/>
        <v>24.25m³-9H-1OP</v>
      </c>
    </row>
    <row r="164" spans="6:14" s="114" customFormat="1" x14ac:dyDescent="0.2">
      <c r="F164" s="114" t="s">
        <v>304</v>
      </c>
      <c r="G164" s="114" t="s">
        <v>174</v>
      </c>
      <c r="H164" s="114" t="s">
        <v>343</v>
      </c>
      <c r="I164" s="115">
        <v>225849</v>
      </c>
      <c r="J164" s="115" t="s">
        <v>146</v>
      </c>
      <c r="K164" s="126">
        <v>0</v>
      </c>
      <c r="L164" s="114" t="s">
        <v>126</v>
      </c>
      <c r="M164" s="114" t="s">
        <v>149</v>
      </c>
      <c r="N164" s="114" t="str">
        <f t="shared" si="9"/>
        <v>25.25m³-9H-0OP</v>
      </c>
    </row>
    <row r="165" spans="6:14" s="114" customFormat="1" x14ac:dyDescent="0.2">
      <c r="F165" s="114" t="s">
        <v>305</v>
      </c>
      <c r="G165" s="114" t="s">
        <v>175</v>
      </c>
      <c r="H165" s="114" t="s">
        <v>344</v>
      </c>
      <c r="I165" s="115">
        <v>374201</v>
      </c>
      <c r="J165" s="115" t="s">
        <v>145</v>
      </c>
      <c r="K165" s="126">
        <v>4</v>
      </c>
      <c r="L165" s="114" t="s">
        <v>127</v>
      </c>
      <c r="M165" s="114" t="s">
        <v>149</v>
      </c>
      <c r="N165" s="114" t="str">
        <f t="shared" si="9"/>
        <v>26.25m³-4H-4OP</v>
      </c>
    </row>
    <row r="166" spans="6:14" s="114" customFormat="1" x14ac:dyDescent="0.2">
      <c r="F166" s="114" t="s">
        <v>306</v>
      </c>
      <c r="G166" s="114" t="s">
        <v>176</v>
      </c>
      <c r="H166" s="114" t="s">
        <v>345</v>
      </c>
      <c r="I166" s="115">
        <v>323876</v>
      </c>
      <c r="J166" s="115" t="s">
        <v>145</v>
      </c>
      <c r="K166" s="126">
        <v>3</v>
      </c>
      <c r="L166" s="114" t="s">
        <v>128</v>
      </c>
      <c r="M166" s="114" t="s">
        <v>149</v>
      </c>
      <c r="N166" s="114" t="str">
        <f t="shared" si="9"/>
        <v>27.25m³-4H-3OP</v>
      </c>
    </row>
    <row r="167" spans="6:14" s="114" customFormat="1" x14ac:dyDescent="0.2">
      <c r="F167" s="114" t="s">
        <v>307</v>
      </c>
      <c r="G167" s="114" t="s">
        <v>177</v>
      </c>
      <c r="H167" s="114" t="s">
        <v>346</v>
      </c>
      <c r="I167" s="115">
        <v>283531</v>
      </c>
      <c r="J167" s="115" t="s">
        <v>145</v>
      </c>
      <c r="K167" s="126">
        <v>2</v>
      </c>
      <c r="L167" s="114" t="s">
        <v>129</v>
      </c>
      <c r="M167" s="114" t="s">
        <v>149</v>
      </c>
      <c r="N167" s="114" t="str">
        <f t="shared" si="9"/>
        <v>28.25m³-4H-2OP</v>
      </c>
    </row>
    <row r="168" spans="6:14" s="114" customFormat="1" x14ac:dyDescent="0.2">
      <c r="F168" s="114" t="s">
        <v>308</v>
      </c>
      <c r="G168" s="114" t="s">
        <v>178</v>
      </c>
      <c r="H168" s="114" t="s">
        <v>347</v>
      </c>
      <c r="I168" s="115">
        <v>236854</v>
      </c>
      <c r="J168" s="115" t="s">
        <v>145</v>
      </c>
      <c r="K168" s="126">
        <v>1</v>
      </c>
      <c r="L168" s="114" t="s">
        <v>130</v>
      </c>
      <c r="M168" s="114" t="s">
        <v>149</v>
      </c>
      <c r="N168" s="114" t="str">
        <f t="shared" si="9"/>
        <v>29.25m³-4H-1OP</v>
      </c>
    </row>
    <row r="169" spans="6:14" s="114" customFormat="1" x14ac:dyDescent="0.2">
      <c r="F169" s="114" t="s">
        <v>309</v>
      </c>
      <c r="G169" s="114" t="s">
        <v>179</v>
      </c>
      <c r="H169" s="114" t="s">
        <v>348</v>
      </c>
      <c r="I169" s="115">
        <v>179940</v>
      </c>
      <c r="J169" s="115" t="s">
        <v>145</v>
      </c>
      <c r="K169" s="126">
        <v>0</v>
      </c>
      <c r="L169" s="114" t="s">
        <v>131</v>
      </c>
      <c r="M169" s="114" t="s">
        <v>149</v>
      </c>
      <c r="N169" s="114" t="str">
        <f t="shared" si="9"/>
        <v>30.25m³-4H-0OP</v>
      </c>
    </row>
    <row r="170" spans="6:14" s="114" customFormat="1" x14ac:dyDescent="0.2">
      <c r="F170" s="114" t="s">
        <v>315</v>
      </c>
      <c r="G170" s="114" t="s">
        <v>180</v>
      </c>
      <c r="H170" s="114" t="s">
        <v>349</v>
      </c>
      <c r="I170" s="115">
        <v>239262</v>
      </c>
      <c r="J170" s="115" t="s">
        <v>144</v>
      </c>
      <c r="K170" s="126">
        <v>0</v>
      </c>
      <c r="L170" s="114" t="s">
        <v>132</v>
      </c>
      <c r="M170" s="114" t="s">
        <v>149</v>
      </c>
      <c r="N170" s="114" t="str">
        <f t="shared" si="9"/>
        <v>31.FURGON-15H</v>
      </c>
    </row>
    <row r="171" spans="6:14" s="114" customFormat="1" x14ac:dyDescent="0.2">
      <c r="F171" s="114" t="s">
        <v>316</v>
      </c>
      <c r="G171" s="114" t="s">
        <v>181</v>
      </c>
      <c r="H171" s="114" t="s">
        <v>350</v>
      </c>
      <c r="I171" s="115">
        <v>214754</v>
      </c>
      <c r="J171" s="115" t="s">
        <v>146</v>
      </c>
      <c r="K171" s="126">
        <v>0</v>
      </c>
      <c r="L171" s="114" t="s">
        <v>133</v>
      </c>
      <c r="M171" s="114" t="s">
        <v>149</v>
      </c>
      <c r="N171" s="114" t="str">
        <f t="shared" si="9"/>
        <v>32.FURGON-9H</v>
      </c>
    </row>
    <row r="172" spans="6:14" s="114" customFormat="1" x14ac:dyDescent="0.2">
      <c r="F172" s="114" t="s">
        <v>317</v>
      </c>
      <c r="G172" s="114" t="s">
        <v>182</v>
      </c>
      <c r="H172" s="114" t="s">
        <v>351</v>
      </c>
      <c r="I172" s="115">
        <v>173120</v>
      </c>
      <c r="J172" s="115" t="s">
        <v>145</v>
      </c>
      <c r="K172" s="126">
        <v>0</v>
      </c>
      <c r="L172" s="114" t="s">
        <v>134</v>
      </c>
      <c r="M172" s="114" t="s">
        <v>149</v>
      </c>
      <c r="N172" s="114" t="str">
        <f t="shared" si="9"/>
        <v>33.FURGON-4H</v>
      </c>
    </row>
    <row r="173" spans="6:14" s="114" customFormat="1" x14ac:dyDescent="0.2">
      <c r="F173" s="114" t="s">
        <v>272</v>
      </c>
      <c r="G173" s="114" t="s">
        <v>183</v>
      </c>
      <c r="H173" s="114" t="s">
        <v>352</v>
      </c>
      <c r="I173" s="115">
        <v>373234</v>
      </c>
      <c r="J173" s="115" t="s">
        <v>144</v>
      </c>
      <c r="K173" s="126">
        <v>0</v>
      </c>
      <c r="L173" s="114" t="s">
        <v>135</v>
      </c>
      <c r="M173" s="114" t="s">
        <v>149</v>
      </c>
      <c r="N173" s="114" t="str">
        <f t="shared" si="9"/>
        <v>34.4X4-15H</v>
      </c>
    </row>
    <row r="174" spans="6:14" s="114" customFormat="1" x14ac:dyDescent="0.2">
      <c r="F174" s="114" t="s">
        <v>273</v>
      </c>
      <c r="G174" s="114" t="s">
        <v>184</v>
      </c>
      <c r="H174" s="114" t="s">
        <v>353</v>
      </c>
      <c r="I174" s="115">
        <v>242399</v>
      </c>
      <c r="J174" s="115" t="s">
        <v>146</v>
      </c>
      <c r="K174" s="126">
        <v>0</v>
      </c>
      <c r="L174" s="114" t="s">
        <v>136</v>
      </c>
      <c r="M174" s="114" t="s">
        <v>149</v>
      </c>
      <c r="N174" s="114" t="str">
        <f t="shared" si="9"/>
        <v>35.4X4-9H</v>
      </c>
    </row>
    <row r="175" spans="6:14" s="114" customFormat="1" x14ac:dyDescent="0.2">
      <c r="F175" s="114" t="s">
        <v>314</v>
      </c>
      <c r="G175" s="114" t="s">
        <v>185</v>
      </c>
      <c r="H175" s="114" t="s">
        <v>354</v>
      </c>
      <c r="I175" s="115">
        <v>195220</v>
      </c>
      <c r="J175" s="115" t="s">
        <v>145</v>
      </c>
      <c r="K175" s="126">
        <v>0</v>
      </c>
      <c r="L175" s="114" t="s">
        <v>137</v>
      </c>
      <c r="M175" s="114" t="s">
        <v>149</v>
      </c>
      <c r="N175" s="114" t="str">
        <f t="shared" si="9"/>
        <v>36.4X4-4H</v>
      </c>
    </row>
    <row r="176" spans="6:14" s="114" customFormat="1" x14ac:dyDescent="0.2">
      <c r="F176" s="114" t="s">
        <v>274</v>
      </c>
      <c r="G176" s="114" t="s">
        <v>186</v>
      </c>
      <c r="H176" s="114" t="s">
        <v>355</v>
      </c>
      <c r="I176" s="115">
        <v>836001</v>
      </c>
      <c r="J176" s="115" t="s">
        <v>144</v>
      </c>
      <c r="K176" s="126">
        <v>0</v>
      </c>
      <c r="L176" s="114" t="s">
        <v>138</v>
      </c>
      <c r="M176" s="114" t="s">
        <v>149</v>
      </c>
      <c r="N176" s="114" t="str">
        <f t="shared" si="9"/>
        <v>37.MONTACARGA-15H</v>
      </c>
    </row>
    <row r="177" spans="6:14" s="114" customFormat="1" x14ac:dyDescent="0.2">
      <c r="F177" s="114" t="s">
        <v>275</v>
      </c>
      <c r="G177" s="114" t="s">
        <v>187</v>
      </c>
      <c r="H177" s="114" t="s">
        <v>356</v>
      </c>
      <c r="I177" s="115">
        <v>144356</v>
      </c>
      <c r="J177" s="115" t="s">
        <v>147</v>
      </c>
      <c r="K177" s="126">
        <v>0</v>
      </c>
      <c r="L177" s="114" t="s">
        <v>139</v>
      </c>
      <c r="M177" s="114" t="s">
        <v>149</v>
      </c>
      <c r="N177" s="114" t="str">
        <f t="shared" si="9"/>
        <v>38.MONTACARGA-1H</v>
      </c>
    </row>
    <row r="178" spans="6:14" s="114" customFormat="1" x14ac:dyDescent="0.2">
      <c r="F178" s="114" t="s">
        <v>276</v>
      </c>
      <c r="G178" s="114" t="s">
        <v>188</v>
      </c>
      <c r="H178" s="114" t="s">
        <v>357</v>
      </c>
      <c r="I178" s="115">
        <v>828620</v>
      </c>
      <c r="J178" s="115" t="s">
        <v>144</v>
      </c>
      <c r="K178" s="126">
        <v>0</v>
      </c>
      <c r="L178" s="114" t="s">
        <v>140</v>
      </c>
      <c r="M178" s="114" t="s">
        <v>149</v>
      </c>
      <c r="N178" s="114" t="str">
        <f t="shared" si="9"/>
        <v>39.GRUA-15H-</v>
      </c>
    </row>
    <row r="179" spans="6:14" s="114" customFormat="1" x14ac:dyDescent="0.2">
      <c r="F179" s="114" t="s">
        <v>277</v>
      </c>
      <c r="G179" s="114" t="s">
        <v>189</v>
      </c>
      <c r="H179" s="114" t="s">
        <v>358</v>
      </c>
      <c r="I179" s="115">
        <v>148058</v>
      </c>
      <c r="J179" s="115" t="s">
        <v>147</v>
      </c>
      <c r="K179" s="126">
        <v>0</v>
      </c>
      <c r="L179" s="114" t="s">
        <v>141</v>
      </c>
      <c r="M179" s="114" t="s">
        <v>149</v>
      </c>
      <c r="N179" s="114" t="str">
        <f t="shared" si="9"/>
        <v>40.GRUA-1H</v>
      </c>
    </row>
    <row r="180" spans="6:14" s="114" customFormat="1" x14ac:dyDescent="0.2">
      <c r="F180" s="114" t="s">
        <v>278</v>
      </c>
      <c r="G180" s="114" t="s">
        <v>190</v>
      </c>
      <c r="H180" s="114" t="s">
        <v>359</v>
      </c>
      <c r="I180" s="115">
        <v>53577</v>
      </c>
      <c r="J180" s="115" t="s">
        <v>147</v>
      </c>
      <c r="K180" s="126">
        <v>0</v>
      </c>
      <c r="L180" s="114" t="s">
        <v>142</v>
      </c>
      <c r="M180" s="114" t="s">
        <v>149</v>
      </c>
      <c r="N180" s="114" t="str">
        <f t="shared" si="9"/>
        <v>41.OPERARIO-8-H</v>
      </c>
    </row>
    <row r="181" spans="6:14" s="114" customFormat="1" x14ac:dyDescent="0.2">
      <c r="F181" s="114" t="s">
        <v>279</v>
      </c>
      <c r="G181" s="114" t="s">
        <v>191</v>
      </c>
      <c r="H181" s="114" t="s">
        <v>360</v>
      </c>
      <c r="I181" s="115">
        <v>41562</v>
      </c>
      <c r="J181" s="115" t="s">
        <v>147</v>
      </c>
      <c r="K181" s="126">
        <v>0</v>
      </c>
      <c r="L181" s="114" t="s">
        <v>143</v>
      </c>
      <c r="M181" s="114" t="s">
        <v>149</v>
      </c>
      <c r="N181" s="114" t="str">
        <f t="shared" si="9"/>
        <v>42.OPERARIO-6-H</v>
      </c>
    </row>
    <row r="182" spans="6:14" s="114" customFormat="1" x14ac:dyDescent="0.2">
      <c r="F182" s="114" t="s">
        <v>310</v>
      </c>
      <c r="G182" s="114" t="s">
        <v>268</v>
      </c>
      <c r="H182" s="114" t="s">
        <v>361</v>
      </c>
      <c r="I182" s="115">
        <v>628232</v>
      </c>
      <c r="N182" s="114" t="str">
        <f t="shared" si="9"/>
        <v>43.BOGOTA-REGION-40m³-</v>
      </c>
    </row>
    <row r="183" spans="6:14" s="114" customFormat="1" x14ac:dyDescent="0.2">
      <c r="F183" s="114" t="s">
        <v>311</v>
      </c>
      <c r="G183" s="114" t="s">
        <v>269</v>
      </c>
      <c r="H183" s="114" t="s">
        <v>362</v>
      </c>
      <c r="I183" s="115">
        <v>562619</v>
      </c>
      <c r="N183" s="114" t="str">
        <f t="shared" si="9"/>
        <v>44.BOGOTA-REGION-25m³-</v>
      </c>
    </row>
    <row r="184" spans="6:14" s="114" customFormat="1" x14ac:dyDescent="0.2">
      <c r="F184" s="114" t="s">
        <v>312</v>
      </c>
      <c r="G184" s="114" t="s">
        <v>270</v>
      </c>
      <c r="H184" s="114" t="s">
        <v>363</v>
      </c>
      <c r="I184" s="115">
        <v>418264</v>
      </c>
      <c r="N184" s="114" t="str">
        <f t="shared" si="9"/>
        <v>45.BOGOTA-REGION-FURGON-</v>
      </c>
    </row>
    <row r="185" spans="6:14" s="114" customFormat="1" x14ac:dyDescent="0.2">
      <c r="F185" s="114" t="s">
        <v>313</v>
      </c>
      <c r="G185" s="114" t="s">
        <v>271</v>
      </c>
      <c r="H185" s="114" t="s">
        <v>364</v>
      </c>
      <c r="I185" s="115">
        <v>288714</v>
      </c>
      <c r="N185" s="114" t="str">
        <f t="shared" si="9"/>
        <v>46.BOGOTA-REGION-4X4</v>
      </c>
    </row>
    <row r="186" spans="6:14" x14ac:dyDescent="0.2">
      <c r="H186" s="114" t="s">
        <v>540</v>
      </c>
      <c r="I186" s="115">
        <f>41562*6</f>
        <v>249372</v>
      </c>
      <c r="J186" s="115" t="s">
        <v>147</v>
      </c>
      <c r="N186" s="2" t="str">
        <f t="shared" si="9"/>
        <v/>
      </c>
    </row>
    <row r="187" spans="6:14" x14ac:dyDescent="0.2">
      <c r="H187" s="114" t="s">
        <v>541</v>
      </c>
      <c r="I187" s="115">
        <f>41562*8</f>
        <v>332496</v>
      </c>
      <c r="J187" s="115" t="s">
        <v>147</v>
      </c>
    </row>
    <row r="188" spans="6:14" x14ac:dyDescent="0.2">
      <c r="H188" s="114" t="s">
        <v>544</v>
      </c>
      <c r="I188" s="115">
        <f>41562*8</f>
        <v>332496</v>
      </c>
      <c r="J188" s="115" t="s">
        <v>147</v>
      </c>
    </row>
    <row r="189" spans="6:14" x14ac:dyDescent="0.2">
      <c r="H189" s="114" t="s">
        <v>542</v>
      </c>
      <c r="I189" s="115">
        <f>53577*10</f>
        <v>535770</v>
      </c>
      <c r="J189" s="115" t="s">
        <v>147</v>
      </c>
    </row>
    <row r="190" spans="6:14" x14ac:dyDescent="0.2">
      <c r="H190" s="114" t="s">
        <v>543</v>
      </c>
      <c r="I190" s="115">
        <f>53577*8</f>
        <v>428616</v>
      </c>
      <c r="J190" s="115" t="s">
        <v>147</v>
      </c>
    </row>
    <row r="191" spans="6:14" x14ac:dyDescent="0.2">
      <c r="H191" s="114" t="s">
        <v>545</v>
      </c>
      <c r="I191" s="115">
        <f>53577*10</f>
        <v>535770</v>
      </c>
      <c r="J191" s="115" t="s">
        <v>147</v>
      </c>
    </row>
  </sheetData>
  <sheetProtection selectLockedCells="1" selectUnlockedCells="1"/>
  <mergeCells count="23">
    <mergeCell ref="A73:AE79"/>
    <mergeCell ref="A82:A84"/>
    <mergeCell ref="A88:A90"/>
    <mergeCell ref="B88:B90"/>
    <mergeCell ref="A93:A95"/>
    <mergeCell ref="AA2:AE2"/>
    <mergeCell ref="A72:AE72"/>
    <mergeCell ref="A14:G14"/>
    <mergeCell ref="I16:P16"/>
    <mergeCell ref="R18:Y18"/>
    <mergeCell ref="A23:G23"/>
    <mergeCell ref="A24:G24"/>
    <mergeCell ref="A32:G32"/>
    <mergeCell ref="A41:G41"/>
    <mergeCell ref="A42:G42"/>
    <mergeCell ref="J46:P65"/>
    <mergeCell ref="A52:G52"/>
    <mergeCell ref="K70:L70"/>
    <mergeCell ref="R13:Y13"/>
    <mergeCell ref="A1:G1"/>
    <mergeCell ref="A2:G2"/>
    <mergeCell ref="I2:P2"/>
    <mergeCell ref="R2:Y2"/>
  </mergeCells>
  <dataValidations count="4">
    <dataValidation type="list" allowBlank="1" showInputMessage="1" showErrorMessage="1" sqref="F4:F10 F16 F26:F28 F34:F38 F54:F63 O4:O8 O18:O19 X4:X6 X15:X16 X20:X23" xr:uid="{6E3ABD16-E1D5-B14E-BB09-2082CB1A8FAD}">
      <formula1>$H$139:$H$191</formula1>
    </dataValidation>
    <dataValidation type="list" allowBlank="1" showInputMessage="1" showErrorMessage="1" sqref="F29 F20:F21 F11:F13" xr:uid="{FD3324EC-E710-604A-BAD0-18C66B7829BF}">
      <formula1>$H$140:$H$185</formula1>
    </dataValidation>
    <dataValidation type="list" allowBlank="1" showInputMessage="1" showErrorMessage="1" sqref="O9:O15 F64 X7:X8 F30:F31 F17:F19 F46:F51 O20:O24" xr:uid="{9D43EC89-0E2E-4A4D-B078-4E4C79888978}">
      <formula1>$H$139:$H$185</formula1>
    </dataValidation>
    <dataValidation type="list" allowBlank="1" showInputMessage="1" showErrorMessage="1" sqref="F39" xr:uid="{973F8C2F-5211-334B-BE19-670D344C64A8}">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rgb="FFFF0000"/>
  </sheetPr>
  <dimension ref="D9:L45"/>
  <sheetViews>
    <sheetView workbookViewId="0">
      <selection activeCell="A26" sqref="A26"/>
    </sheetView>
  </sheetViews>
  <sheetFormatPr baseColWidth="10" defaultColWidth="11.42578125" defaultRowHeight="15" x14ac:dyDescent="0.25"/>
  <cols>
    <col min="4" max="4" width="43.140625" customWidth="1"/>
    <col min="5" max="5" width="54" bestFit="1" customWidth="1"/>
    <col min="6" max="6" width="24.7109375" customWidth="1"/>
    <col min="7" max="7" width="35.140625" customWidth="1"/>
    <col min="8" max="8" width="11.140625" hidden="1" customWidth="1"/>
    <col min="9" max="9" width="16.28515625" hidden="1" customWidth="1"/>
    <col min="10" max="10" width="46.7109375" customWidth="1"/>
    <col min="11" max="11" width="46" customWidth="1"/>
    <col min="12" max="12" width="40.28515625" customWidth="1"/>
  </cols>
  <sheetData>
    <row r="9" spans="4:12" ht="15.75" thickBot="1" x14ac:dyDescent="0.3"/>
    <row r="10" spans="4:12" ht="15.75" thickBot="1" x14ac:dyDescent="0.3">
      <c r="D10" s="460" t="s">
        <v>381</v>
      </c>
      <c r="E10" s="461"/>
      <c r="F10" s="461"/>
      <c r="G10" s="459"/>
      <c r="H10" s="459"/>
      <c r="I10" s="459"/>
      <c r="J10" s="460" t="s">
        <v>247</v>
      </c>
      <c r="K10" s="461"/>
      <c r="L10" s="462"/>
    </row>
    <row r="11" spans="4:12" ht="15.75" thickBot="1" x14ac:dyDescent="0.3">
      <c r="D11" s="123" t="s">
        <v>238</v>
      </c>
      <c r="E11" s="116" t="s">
        <v>239</v>
      </c>
      <c r="F11" s="116" t="s">
        <v>242</v>
      </c>
      <c r="G11" s="120"/>
      <c r="H11" s="120"/>
      <c r="I11" s="120"/>
      <c r="J11" s="123" t="s">
        <v>238</v>
      </c>
      <c r="K11" s="116" t="s">
        <v>239</v>
      </c>
      <c r="L11" s="116" t="s">
        <v>242</v>
      </c>
    </row>
    <row r="12" spans="4:12" x14ac:dyDescent="0.25">
      <c r="D12" s="117" t="s">
        <v>246</v>
      </c>
      <c r="E12" s="117" t="s">
        <v>256</v>
      </c>
      <c r="F12" s="121" t="s">
        <v>380</v>
      </c>
      <c r="G12" s="120"/>
      <c r="H12" s="120"/>
      <c r="I12" s="120"/>
      <c r="J12" s="117" t="s">
        <v>246</v>
      </c>
      <c r="K12" s="117" t="s">
        <v>256</v>
      </c>
      <c r="L12" s="121">
        <v>0.14583333333333334</v>
      </c>
    </row>
    <row r="13" spans="4:12" x14ac:dyDescent="0.25">
      <c r="D13" s="122" t="s">
        <v>248</v>
      </c>
      <c r="E13" s="117" t="s">
        <v>256</v>
      </c>
      <c r="F13" s="121" t="s">
        <v>380</v>
      </c>
      <c r="G13" s="120"/>
      <c r="H13" s="120"/>
      <c r="I13" s="120"/>
      <c r="J13" s="122" t="s">
        <v>248</v>
      </c>
      <c r="K13" s="117" t="s">
        <v>256</v>
      </c>
      <c r="L13" s="121">
        <v>0.14583333333333334</v>
      </c>
    </row>
    <row r="14" spans="4:12" x14ac:dyDescent="0.25">
      <c r="D14" s="117" t="s">
        <v>10</v>
      </c>
      <c r="E14" s="117" t="s">
        <v>256</v>
      </c>
      <c r="F14" s="121" t="s">
        <v>380</v>
      </c>
      <c r="G14" s="118"/>
      <c r="H14" s="118"/>
      <c r="I14" s="119"/>
      <c r="J14" s="117" t="s">
        <v>10</v>
      </c>
      <c r="K14" s="117" t="s">
        <v>256</v>
      </c>
      <c r="L14" s="121">
        <v>0.14583333333333334</v>
      </c>
    </row>
    <row r="15" spans="4:12" x14ac:dyDescent="0.25">
      <c r="D15" s="117" t="s">
        <v>14</v>
      </c>
      <c r="E15" s="117" t="s">
        <v>256</v>
      </c>
      <c r="F15" s="121" t="s">
        <v>380</v>
      </c>
      <c r="G15" s="118"/>
      <c r="H15" s="118"/>
      <c r="I15" s="119"/>
      <c r="J15" s="117" t="s">
        <v>14</v>
      </c>
      <c r="K15" s="117" t="s">
        <v>256</v>
      </c>
      <c r="L15" s="121">
        <v>0.14583333333333334</v>
      </c>
    </row>
    <row r="16" spans="4:12" x14ac:dyDescent="0.25">
      <c r="D16" s="117" t="s">
        <v>16</v>
      </c>
      <c r="E16" s="117" t="s">
        <v>256</v>
      </c>
      <c r="F16" s="121" t="s">
        <v>380</v>
      </c>
      <c r="J16" s="117" t="s">
        <v>16</v>
      </c>
      <c r="K16" s="117" t="s">
        <v>256</v>
      </c>
      <c r="L16" s="121">
        <v>0.14583333333333334</v>
      </c>
    </row>
    <row r="17" spans="4:12" x14ac:dyDescent="0.25">
      <c r="D17" s="117" t="s">
        <v>28</v>
      </c>
      <c r="E17" s="117" t="s">
        <v>256</v>
      </c>
      <c r="F17" s="121" t="s">
        <v>380</v>
      </c>
      <c r="J17" s="117" t="s">
        <v>28</v>
      </c>
      <c r="K17" s="117" t="s">
        <v>256</v>
      </c>
      <c r="L17" s="121">
        <v>0.14583333333333334</v>
      </c>
    </row>
    <row r="18" spans="4:12" x14ac:dyDescent="0.25">
      <c r="D18" s="117" t="s">
        <v>36</v>
      </c>
      <c r="E18" s="117" t="s">
        <v>256</v>
      </c>
      <c r="F18" s="121" t="s">
        <v>380</v>
      </c>
      <c r="J18" s="117" t="s">
        <v>243</v>
      </c>
      <c r="K18" s="117" t="s">
        <v>256</v>
      </c>
      <c r="L18" s="121">
        <v>0.14583333333333334</v>
      </c>
    </row>
    <row r="19" spans="4:12" x14ac:dyDescent="0.25">
      <c r="D19" s="117" t="s">
        <v>32</v>
      </c>
      <c r="E19" s="117" t="s">
        <v>256</v>
      </c>
      <c r="F19" s="121" t="s">
        <v>380</v>
      </c>
      <c r="J19" s="117" t="s">
        <v>244</v>
      </c>
      <c r="K19" s="117" t="s">
        <v>256</v>
      </c>
      <c r="L19" s="121">
        <v>0.14583333333333334</v>
      </c>
    </row>
    <row r="20" spans="4:12" x14ac:dyDescent="0.25">
      <c r="D20" s="117" t="s">
        <v>34</v>
      </c>
      <c r="E20" s="117" t="s">
        <v>256</v>
      </c>
      <c r="F20" s="121" t="s">
        <v>380</v>
      </c>
      <c r="J20" s="117" t="s">
        <v>36</v>
      </c>
      <c r="K20" s="117" t="s">
        <v>256</v>
      </c>
      <c r="L20" s="121">
        <v>0.14583333333333334</v>
      </c>
    </row>
    <row r="21" spans="4:12" x14ac:dyDescent="0.25">
      <c r="D21" s="117" t="s">
        <v>36</v>
      </c>
      <c r="E21" s="117" t="s">
        <v>256</v>
      </c>
      <c r="F21" s="121" t="s">
        <v>380</v>
      </c>
      <c r="J21" s="117" t="s">
        <v>32</v>
      </c>
      <c r="K21" s="117" t="s">
        <v>256</v>
      </c>
      <c r="L21" s="121">
        <v>0.14583333333333334</v>
      </c>
    </row>
    <row r="22" spans="4:12" x14ac:dyDescent="0.25">
      <c r="D22" s="117" t="s">
        <v>37</v>
      </c>
      <c r="E22" s="117" t="s">
        <v>256</v>
      </c>
      <c r="F22" s="121" t="s">
        <v>380</v>
      </c>
      <c r="J22" s="117" t="s">
        <v>34</v>
      </c>
      <c r="K22" s="117" t="s">
        <v>256</v>
      </c>
      <c r="L22" s="121">
        <v>0.14583333333333334</v>
      </c>
    </row>
    <row r="23" spans="4:12" x14ac:dyDescent="0.25">
      <c r="D23" s="117" t="s">
        <v>38</v>
      </c>
      <c r="E23" s="117" t="s">
        <v>256</v>
      </c>
      <c r="F23" s="121" t="s">
        <v>380</v>
      </c>
      <c r="J23" s="117" t="s">
        <v>36</v>
      </c>
      <c r="K23" s="117" t="s">
        <v>256</v>
      </c>
      <c r="L23" s="121">
        <v>0.14583333333333334</v>
      </c>
    </row>
    <row r="24" spans="4:12" x14ac:dyDescent="0.25">
      <c r="D24" s="117" t="s">
        <v>33</v>
      </c>
      <c r="E24" s="117" t="s">
        <v>256</v>
      </c>
      <c r="F24" s="121" t="s">
        <v>380</v>
      </c>
      <c r="J24" s="117" t="s">
        <v>37</v>
      </c>
      <c r="K24" s="117" t="s">
        <v>256</v>
      </c>
      <c r="L24" s="121">
        <v>0.14583333333333334</v>
      </c>
    </row>
    <row r="25" spans="4:12" x14ac:dyDescent="0.25">
      <c r="D25" s="117" t="s">
        <v>41</v>
      </c>
      <c r="E25" s="117" t="s">
        <v>256</v>
      </c>
      <c r="F25" s="121" t="s">
        <v>380</v>
      </c>
      <c r="J25" s="117" t="s">
        <v>38</v>
      </c>
      <c r="K25" s="117" t="s">
        <v>256</v>
      </c>
      <c r="L25" s="121">
        <v>0.14583333333333334</v>
      </c>
    </row>
    <row r="26" spans="4:12" x14ac:dyDescent="0.25">
      <c r="D26" s="117" t="s">
        <v>42</v>
      </c>
      <c r="E26" s="117" t="s">
        <v>256</v>
      </c>
      <c r="F26" s="121" t="s">
        <v>380</v>
      </c>
      <c r="J26" s="117" t="s">
        <v>33</v>
      </c>
      <c r="K26" s="117" t="s">
        <v>256</v>
      </c>
      <c r="L26" s="121">
        <v>0.14583333333333334</v>
      </c>
    </row>
    <row r="27" spans="4:12" x14ac:dyDescent="0.25">
      <c r="D27" s="124" t="s">
        <v>253</v>
      </c>
      <c r="E27" s="117" t="s">
        <v>256</v>
      </c>
      <c r="F27" s="121" t="s">
        <v>380</v>
      </c>
      <c r="J27" s="117" t="s">
        <v>240</v>
      </c>
      <c r="K27" s="117" t="s">
        <v>256</v>
      </c>
      <c r="L27" s="121">
        <v>0.14583333333333334</v>
      </c>
    </row>
    <row r="28" spans="4:12" x14ac:dyDescent="0.25">
      <c r="D28" s="117" t="s">
        <v>257</v>
      </c>
      <c r="E28" s="117" t="s">
        <v>256</v>
      </c>
      <c r="F28" s="121" t="s">
        <v>380</v>
      </c>
      <c r="J28" s="117" t="s">
        <v>241</v>
      </c>
      <c r="K28" s="117" t="s">
        <v>256</v>
      </c>
      <c r="L28" s="121">
        <v>0.14583333333333334</v>
      </c>
    </row>
    <row r="29" spans="4:12" x14ac:dyDescent="0.25">
      <c r="D29" s="117" t="s">
        <v>249</v>
      </c>
      <c r="E29" s="117" t="s">
        <v>256</v>
      </c>
      <c r="F29" s="121" t="s">
        <v>380</v>
      </c>
      <c r="J29" s="117" t="s">
        <v>41</v>
      </c>
      <c r="K29" s="117" t="s">
        <v>256</v>
      </c>
      <c r="L29" s="121">
        <v>0.14583333333333334</v>
      </c>
    </row>
    <row r="30" spans="4:12" x14ac:dyDescent="0.25">
      <c r="D30" s="117" t="s">
        <v>250</v>
      </c>
      <c r="E30" s="117" t="s">
        <v>256</v>
      </c>
      <c r="F30" s="121" t="s">
        <v>380</v>
      </c>
      <c r="J30" s="117" t="s">
        <v>42</v>
      </c>
      <c r="K30" s="117" t="s">
        <v>256</v>
      </c>
      <c r="L30" s="121">
        <v>0.14583333333333334</v>
      </c>
    </row>
    <row r="31" spans="4:12" x14ac:dyDescent="0.25">
      <c r="D31" s="117" t="s">
        <v>251</v>
      </c>
      <c r="E31" s="117" t="s">
        <v>256</v>
      </c>
      <c r="F31" s="121" t="s">
        <v>380</v>
      </c>
      <c r="J31" s="124" t="s">
        <v>253</v>
      </c>
      <c r="K31" s="117" t="s">
        <v>256</v>
      </c>
      <c r="L31" s="121">
        <v>0.14583333333333334</v>
      </c>
    </row>
    <row r="32" spans="4:12" x14ac:dyDescent="0.25">
      <c r="D32" s="117" t="s">
        <v>252</v>
      </c>
      <c r="E32" s="117" t="s">
        <v>256</v>
      </c>
      <c r="F32" s="121" t="s">
        <v>380</v>
      </c>
      <c r="J32" s="117" t="s">
        <v>257</v>
      </c>
      <c r="K32" s="117" t="s">
        <v>256</v>
      </c>
      <c r="L32" s="121">
        <v>0.14583333333333334</v>
      </c>
    </row>
    <row r="33" spans="4:12" x14ac:dyDescent="0.25">
      <c r="D33" s="117" t="s">
        <v>254</v>
      </c>
      <c r="E33" s="117" t="s">
        <v>256</v>
      </c>
      <c r="F33" s="121" t="s">
        <v>380</v>
      </c>
      <c r="J33" s="117" t="s">
        <v>249</v>
      </c>
      <c r="K33" s="117" t="s">
        <v>256</v>
      </c>
      <c r="L33" s="121">
        <v>0.14583333333333334</v>
      </c>
    </row>
    <row r="34" spans="4:12" x14ac:dyDescent="0.25">
      <c r="D34" s="117" t="s">
        <v>255</v>
      </c>
      <c r="E34" s="117" t="s">
        <v>256</v>
      </c>
      <c r="F34" s="121" t="s">
        <v>380</v>
      </c>
      <c r="J34" s="117" t="s">
        <v>250</v>
      </c>
      <c r="K34" s="117" t="s">
        <v>256</v>
      </c>
      <c r="L34" s="121">
        <v>0.14583333333333334</v>
      </c>
    </row>
    <row r="35" spans="4:12" x14ac:dyDescent="0.25">
      <c r="D35" s="117" t="s">
        <v>237</v>
      </c>
      <c r="E35" s="117" t="s">
        <v>256</v>
      </c>
      <c r="F35" s="121" t="s">
        <v>380</v>
      </c>
      <c r="J35" s="117" t="s">
        <v>251</v>
      </c>
      <c r="K35" s="117" t="s">
        <v>256</v>
      </c>
      <c r="L35" s="121">
        <v>0.14583333333333334</v>
      </c>
    </row>
    <row r="36" spans="4:12" x14ac:dyDescent="0.25">
      <c r="D36" s="117" t="s">
        <v>15</v>
      </c>
      <c r="E36" s="117" t="s">
        <v>256</v>
      </c>
      <c r="F36" s="121" t="s">
        <v>380</v>
      </c>
      <c r="J36" s="117" t="s">
        <v>252</v>
      </c>
      <c r="K36" s="117" t="s">
        <v>256</v>
      </c>
      <c r="L36" s="121">
        <v>0.14583333333333334</v>
      </c>
    </row>
    <row r="37" spans="4:12" x14ac:dyDescent="0.25">
      <c r="D37" s="117" t="s">
        <v>245</v>
      </c>
      <c r="E37" s="117" t="s">
        <v>256</v>
      </c>
      <c r="F37" s="121" t="s">
        <v>380</v>
      </c>
      <c r="J37" s="117" t="s">
        <v>254</v>
      </c>
      <c r="K37" s="117" t="s">
        <v>256</v>
      </c>
      <c r="L37" s="121">
        <v>0.14583333333333334</v>
      </c>
    </row>
    <row r="38" spans="4:12" x14ac:dyDescent="0.25">
      <c r="D38" s="117" t="s">
        <v>17</v>
      </c>
      <c r="E38" s="117" t="s">
        <v>256</v>
      </c>
      <c r="F38" s="121" t="s">
        <v>380</v>
      </c>
      <c r="J38" s="117" t="s">
        <v>255</v>
      </c>
      <c r="K38" s="117" t="s">
        <v>256</v>
      </c>
      <c r="L38" s="121">
        <v>0.14583333333333334</v>
      </c>
    </row>
    <row r="39" spans="4:12" x14ac:dyDescent="0.25">
      <c r="D39" s="117" t="s">
        <v>382</v>
      </c>
      <c r="E39" s="117" t="s">
        <v>384</v>
      </c>
      <c r="F39" s="146" t="s">
        <v>380</v>
      </c>
      <c r="J39" s="117" t="s">
        <v>237</v>
      </c>
      <c r="K39" s="117" t="s">
        <v>256</v>
      </c>
      <c r="L39" s="121">
        <v>0.20833333333333334</v>
      </c>
    </row>
    <row r="40" spans="4:12" x14ac:dyDescent="0.25">
      <c r="D40" s="117" t="s">
        <v>383</v>
      </c>
      <c r="E40" s="117" t="s">
        <v>385</v>
      </c>
      <c r="F40" s="146" t="s">
        <v>380</v>
      </c>
      <c r="J40" s="117" t="s">
        <v>15</v>
      </c>
      <c r="K40" s="117" t="s">
        <v>256</v>
      </c>
      <c r="L40" s="121">
        <v>0.14583333333333334</v>
      </c>
    </row>
    <row r="41" spans="4:12" x14ac:dyDescent="0.25">
      <c r="D41" s="117" t="s">
        <v>383</v>
      </c>
      <c r="E41" s="117" t="s">
        <v>386</v>
      </c>
      <c r="F41" s="146" t="s">
        <v>380</v>
      </c>
      <c r="J41" s="117" t="s">
        <v>245</v>
      </c>
      <c r="K41" s="117" t="s">
        <v>256</v>
      </c>
      <c r="L41" s="121">
        <v>0.14583333333333334</v>
      </c>
    </row>
    <row r="42" spans="4:12" x14ac:dyDescent="0.25">
      <c r="J42" s="117" t="s">
        <v>17</v>
      </c>
      <c r="K42" s="117" t="s">
        <v>256</v>
      </c>
      <c r="L42" s="121">
        <v>0.14583333333333334</v>
      </c>
    </row>
    <row r="43" spans="4:12" x14ac:dyDescent="0.25">
      <c r="J43" s="117" t="s">
        <v>382</v>
      </c>
      <c r="K43" s="117" t="s">
        <v>384</v>
      </c>
      <c r="L43" s="121">
        <v>0.14583333333333334</v>
      </c>
    </row>
    <row r="44" spans="4:12" x14ac:dyDescent="0.25">
      <c r="J44" s="117" t="s">
        <v>383</v>
      </c>
      <c r="K44" s="117" t="s">
        <v>385</v>
      </c>
      <c r="L44" s="121">
        <v>0.14583333333333334</v>
      </c>
    </row>
    <row r="45" spans="4:12" x14ac:dyDescent="0.25">
      <c r="J45" s="117" t="s">
        <v>383</v>
      </c>
      <c r="K45" s="117" t="s">
        <v>386</v>
      </c>
      <c r="L45" s="121">
        <v>0.14583333333333334</v>
      </c>
    </row>
  </sheetData>
  <mergeCells count="3">
    <mergeCell ref="G10:I10"/>
    <mergeCell ref="D10:F10"/>
    <mergeCell ref="J10:L10"/>
  </mergeCells>
  <phoneticPr fontId="2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41</vt:i4>
      </vt:variant>
    </vt:vector>
  </HeadingPairs>
  <TitlesOfParts>
    <vt:vector size="85" baseType="lpstr">
      <vt:lpstr>23 JUNIO</vt:lpstr>
      <vt:lpstr>24 JUNIO </vt:lpstr>
      <vt:lpstr>07 AGOSTO  </vt:lpstr>
      <vt:lpstr>11 AGOSTO</vt:lpstr>
      <vt:lpstr>14 AGOSTO </vt:lpstr>
      <vt:lpstr>15 AGOSTO</vt:lpstr>
      <vt:lpstr>21 AGOSTO</vt:lpstr>
      <vt:lpstr>28 AGOSTO</vt:lpstr>
      <vt:lpstr>04 SEPTIEMBRE </vt:lpstr>
      <vt:lpstr>11 SEPTIEMBRE</vt:lpstr>
      <vt:lpstr>18 SEPTIEMBRE </vt:lpstr>
      <vt:lpstr>22 SEPTIEMBRE MAÑANA</vt:lpstr>
      <vt:lpstr>22 SEPTIEMBRE TARDE</vt:lpstr>
      <vt:lpstr>25 SEPTIEMBRE  </vt:lpstr>
      <vt:lpstr>02 OCTUBRE</vt:lpstr>
      <vt:lpstr>09 OCTUBRE</vt:lpstr>
      <vt:lpstr>16 OCTUBRE </vt:lpstr>
      <vt:lpstr>17 OCTUBRE </vt:lpstr>
      <vt:lpstr>23 OCTUBRE</vt:lpstr>
      <vt:lpstr>30 OCTUBRE</vt:lpstr>
      <vt:lpstr>06 NOVIEMBRE</vt:lpstr>
      <vt:lpstr>07 NOVIEMBRE </vt:lpstr>
      <vt:lpstr>13 NOVIEMBRE</vt:lpstr>
      <vt:lpstr>14 NOVIEMBRE  </vt:lpstr>
      <vt:lpstr>20 NOVIEMBRE </vt:lpstr>
      <vt:lpstr>27 NOVIEMBRE </vt:lpstr>
      <vt:lpstr>04 DICIEMBRE </vt:lpstr>
      <vt:lpstr>08 DICIEMBRE</vt:lpstr>
      <vt:lpstr>11 DICIEMBRE </vt:lpstr>
      <vt:lpstr>15 DICIEMBRE </vt:lpstr>
      <vt:lpstr>18 DICIEMBRE </vt:lpstr>
      <vt:lpstr>25 DICIEMBRE </vt:lpstr>
      <vt:lpstr>8 ENERO</vt:lpstr>
      <vt:lpstr>9 ENERO </vt:lpstr>
      <vt:lpstr>15 ENERO</vt:lpstr>
      <vt:lpstr>22 ENERO</vt:lpstr>
      <vt:lpstr>29 ENERO </vt:lpstr>
      <vt:lpstr>02 FEBRERO MAÑANA </vt:lpstr>
      <vt:lpstr>02 FEBRERO TARDE</vt:lpstr>
      <vt:lpstr>05 FEBRERO   </vt:lpstr>
      <vt:lpstr>INFORME FINAL ENE - FEB</vt:lpstr>
      <vt:lpstr>SALDOS POR PROYECTO</vt:lpstr>
      <vt:lpstr>PLANTILLA</vt:lpstr>
      <vt:lpstr>HORARIOS Y BODEGAS </vt:lpstr>
      <vt:lpstr>'02 FEBRERO MAÑANA '!Área_de_impresión</vt:lpstr>
      <vt:lpstr>'02 FEBRERO TARDE'!Área_de_impresión</vt:lpstr>
      <vt:lpstr>'02 OCTUBRE'!Área_de_impresión</vt:lpstr>
      <vt:lpstr>'04 DICIEMBRE '!Área_de_impresión</vt:lpstr>
      <vt:lpstr>'04 SEPTIEMBRE '!Área_de_impresión</vt:lpstr>
      <vt:lpstr>'05 FEBRERO   '!Área_de_impresión</vt:lpstr>
      <vt:lpstr>'06 NOVIEMBRE'!Área_de_impresión</vt:lpstr>
      <vt:lpstr>'07 AGOSTO  '!Área_de_impresión</vt:lpstr>
      <vt:lpstr>'07 NOVIEMBRE '!Área_de_impresión</vt:lpstr>
      <vt:lpstr>'08 DICIEMBRE'!Área_de_impresión</vt:lpstr>
      <vt:lpstr>'09 OCTUBRE'!Área_de_impresión</vt:lpstr>
      <vt:lpstr>'11 AGOSTO'!Área_de_impresión</vt:lpstr>
      <vt:lpstr>'11 DICIEMBRE '!Área_de_impresión</vt:lpstr>
      <vt:lpstr>'11 SEPTIEMBRE'!Área_de_impresión</vt:lpstr>
      <vt:lpstr>'13 NOVIEMBRE'!Área_de_impresión</vt:lpstr>
      <vt:lpstr>'14 AGOSTO '!Área_de_impresión</vt:lpstr>
      <vt:lpstr>'14 NOVIEMBRE  '!Área_de_impresión</vt:lpstr>
      <vt:lpstr>'15 AGOSTO'!Área_de_impresión</vt:lpstr>
      <vt:lpstr>'15 DICIEMBRE '!Área_de_impresión</vt:lpstr>
      <vt:lpstr>'15 ENERO'!Área_de_impresión</vt:lpstr>
      <vt:lpstr>'16 OCTUBRE '!Área_de_impresión</vt:lpstr>
      <vt:lpstr>'17 OCTUBRE '!Área_de_impresión</vt:lpstr>
      <vt:lpstr>'18 DICIEMBRE '!Área_de_impresión</vt:lpstr>
      <vt:lpstr>'18 SEPTIEMBRE '!Área_de_impresión</vt:lpstr>
      <vt:lpstr>'20 NOVIEMBRE '!Área_de_impresión</vt:lpstr>
      <vt:lpstr>'21 AGOSTO'!Área_de_impresión</vt:lpstr>
      <vt:lpstr>'22 ENERO'!Área_de_impresión</vt:lpstr>
      <vt:lpstr>'22 SEPTIEMBRE MAÑANA'!Área_de_impresión</vt:lpstr>
      <vt:lpstr>'22 SEPTIEMBRE TARDE'!Área_de_impresión</vt:lpstr>
      <vt:lpstr>'23 JUNIO'!Área_de_impresión</vt:lpstr>
      <vt:lpstr>'23 OCTUBRE'!Área_de_impresión</vt:lpstr>
      <vt:lpstr>'24 JUNIO '!Área_de_impresión</vt:lpstr>
      <vt:lpstr>'25 DICIEMBRE '!Área_de_impresión</vt:lpstr>
      <vt:lpstr>'25 SEPTIEMBRE  '!Área_de_impresión</vt:lpstr>
      <vt:lpstr>'27 NOVIEMBRE '!Área_de_impresión</vt:lpstr>
      <vt:lpstr>'28 AGOSTO'!Área_de_impresión</vt:lpstr>
      <vt:lpstr>'29 ENERO '!Área_de_impresión</vt:lpstr>
      <vt:lpstr>'30 OCTUBRE'!Área_de_impresión</vt:lpstr>
      <vt:lpstr>'8 ENERO'!Área_de_impresión</vt:lpstr>
      <vt:lpstr>'9 ENERO '!Área_de_impresión</vt:lpstr>
      <vt:lpstr>PLANTILLA!Área_de_impresión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LIBARDO JUNIOR SANCHEZ TAMBO</dc:creator>
  <cp:lastModifiedBy>Mauricio Orlando Novoa Montenegro</cp:lastModifiedBy>
  <cp:lastPrinted>2022-01-07T18:47:43Z</cp:lastPrinted>
  <dcterms:created xsi:type="dcterms:W3CDTF">2019-06-21T16:43:23Z</dcterms:created>
  <dcterms:modified xsi:type="dcterms:W3CDTF">2023-08-30T00:45:45Z</dcterms:modified>
</cp:coreProperties>
</file>